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OLA\Dropbox\Proyecto de grado Esp\Anexos\"/>
    </mc:Choice>
  </mc:AlternateContent>
  <bookViews>
    <workbookView xWindow="0" yWindow="0" windowWidth="19200" windowHeight="7050"/>
  </bookViews>
  <sheets>
    <sheet name="COSTOS ACCIDENTALIDAD" sheetId="2" r:id="rId1"/>
    <sheet name="COSTOS ENFERMEDAD" sheetId="10" r:id="rId2"/>
  </sheets>
  <definedNames>
    <definedName name="_xlnm._FilterDatabase" localSheetId="0" hidden="1">'COSTOS ACCIDENTALIDAD'!$A$3:$AC$109</definedName>
    <definedName name="_xlnm._FilterDatabase" localSheetId="1" hidden="1">'COSTOS ENFERMEDAD'!$A$3:$C$87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6" i="10" l="1"/>
  <c r="C65" i="10"/>
  <c r="C56" i="10"/>
  <c r="C59" i="10"/>
  <c r="C58" i="10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C77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C78" i="2"/>
  <c r="C57" i="10"/>
  <c r="C36" i="10"/>
  <c r="C81" i="10" l="1"/>
  <c r="C40" i="10"/>
  <c r="C34" i="10"/>
  <c r="C35" i="10"/>
  <c r="C30" i="10"/>
  <c r="C29" i="10" s="1"/>
  <c r="C75" i="10"/>
  <c r="C72" i="10"/>
  <c r="C69" i="10"/>
  <c r="C61" i="10"/>
  <c r="C46" i="10"/>
  <c r="C43" i="10"/>
  <c r="C31" i="10"/>
  <c r="C25" i="10"/>
  <c r="C64" i="10" l="1"/>
  <c r="C87" i="10" s="1"/>
  <c r="P40" i="2"/>
  <c r="O44" i="2"/>
  <c r="O42" i="2"/>
  <c r="C78" i="10" l="1"/>
  <c r="I120" i="2"/>
  <c r="I122" i="2" s="1"/>
  <c r="AC44" i="2" l="1"/>
  <c r="Y91" i="2"/>
  <c r="X42" i="2"/>
  <c r="U42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D61" i="2"/>
  <c r="C61" i="2"/>
  <c r="AC76" i="2"/>
  <c r="R76" i="2"/>
  <c r="D51" i="2" l="1"/>
  <c r="D44" i="2"/>
  <c r="C18" i="2" l="1"/>
  <c r="C19" i="2"/>
  <c r="C21" i="2"/>
  <c r="C22" i="2"/>
  <c r="C23" i="2"/>
  <c r="C24" i="2"/>
  <c r="C25" i="2"/>
  <c r="C26" i="2"/>
  <c r="C30" i="2"/>
  <c r="S26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C20" i="2" l="1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G17" i="2"/>
  <c r="W17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B38" i="2" l="1"/>
  <c r="AB76" i="2" s="1"/>
  <c r="AB75" i="2" s="1"/>
  <c r="AA38" i="2"/>
  <c r="AA76" i="2" s="1"/>
  <c r="AA75" i="2" s="1"/>
  <c r="Z38" i="2"/>
  <c r="Z76" i="2" s="1"/>
  <c r="Z75" i="2" s="1"/>
  <c r="Y38" i="2"/>
  <c r="Y76" i="2" s="1"/>
  <c r="Y75" i="2" s="1"/>
  <c r="X38" i="2"/>
  <c r="X76" i="2" s="1"/>
  <c r="X75" i="2" s="1"/>
  <c r="W38" i="2"/>
  <c r="W76" i="2" s="1"/>
  <c r="W75" i="2" s="1"/>
  <c r="V85" i="2"/>
  <c r="W85" i="2"/>
  <c r="X85" i="2"/>
  <c r="Y85" i="2"/>
  <c r="Z85" i="2"/>
  <c r="AA85" i="2"/>
  <c r="AB85" i="2"/>
  <c r="AC85" i="2"/>
  <c r="V38" i="2"/>
  <c r="V76" i="2" s="1"/>
  <c r="U38" i="2"/>
  <c r="U76" i="2" s="1"/>
  <c r="U75" i="2" s="1"/>
  <c r="T38" i="2"/>
  <c r="T76" i="2" s="1"/>
  <c r="T75" i="2" s="1"/>
  <c r="S38" i="2"/>
  <c r="S76" i="2" s="1"/>
  <c r="Q38" i="2"/>
  <c r="Q76" i="2" s="1"/>
  <c r="Q75" i="2" s="1"/>
  <c r="P38" i="2"/>
  <c r="P76" i="2" s="1"/>
  <c r="P75" i="2" s="1"/>
  <c r="E75" i="2"/>
  <c r="G75" i="2"/>
  <c r="H75" i="2"/>
  <c r="I75" i="2"/>
  <c r="J75" i="2"/>
  <c r="K75" i="2"/>
  <c r="M75" i="2"/>
  <c r="N75" i="2"/>
  <c r="R75" i="2"/>
  <c r="S75" i="2"/>
  <c r="V75" i="2"/>
  <c r="AC75" i="2"/>
  <c r="C75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C87" i="2"/>
  <c r="D97" i="2" l="1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C97" i="2"/>
  <c r="W94" i="2"/>
  <c r="X94" i="2"/>
  <c r="Y94" i="2"/>
  <c r="Z94" i="2"/>
  <c r="AA94" i="2"/>
  <c r="AB94" i="2"/>
  <c r="AC94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Z91" i="2"/>
  <c r="AA91" i="2"/>
  <c r="AB91" i="2"/>
  <c r="AC91" i="2"/>
  <c r="C91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C88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C80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C72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C57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C53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C50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C46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C43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C39" i="2"/>
  <c r="AC34" i="2"/>
  <c r="D34" i="2"/>
  <c r="E34" i="2"/>
  <c r="F34" i="2"/>
  <c r="G34" i="2"/>
  <c r="J34" i="2"/>
  <c r="K34" i="2"/>
  <c r="L34" i="2"/>
  <c r="M34" i="2"/>
  <c r="N34" i="2"/>
  <c r="O34" i="2"/>
  <c r="Q34" i="2"/>
  <c r="R34" i="2"/>
  <c r="S34" i="2"/>
  <c r="T34" i="2"/>
  <c r="U34" i="2"/>
  <c r="V34" i="2"/>
  <c r="W34" i="2"/>
  <c r="X34" i="2"/>
  <c r="Y34" i="2"/>
  <c r="Z34" i="2"/>
  <c r="AA34" i="2"/>
  <c r="AB34" i="2"/>
  <c r="C34" i="2"/>
  <c r="A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T26" i="2"/>
  <c r="U26" i="2"/>
  <c r="V26" i="2"/>
  <c r="W26" i="2"/>
  <c r="Y26" i="2"/>
  <c r="Z26" i="2"/>
  <c r="AA26" i="2"/>
  <c r="AB26" i="2"/>
  <c r="V94" i="2" l="1"/>
  <c r="S85" i="2"/>
  <c r="T85" i="2"/>
  <c r="U85" i="2"/>
  <c r="Q85" i="2"/>
  <c r="R85" i="2"/>
  <c r="Q94" i="2"/>
  <c r="R94" i="2"/>
  <c r="S94" i="2"/>
  <c r="T94" i="2"/>
  <c r="U94" i="2"/>
  <c r="P94" i="2"/>
  <c r="P85" i="2"/>
  <c r="O94" i="2"/>
  <c r="N94" i="2"/>
  <c r="O85" i="2"/>
  <c r="O38" i="2"/>
  <c r="O76" i="2" s="1"/>
  <c r="O75" i="2" s="1"/>
  <c r="N85" i="2"/>
  <c r="N38" i="2"/>
  <c r="M94" i="2"/>
  <c r="M85" i="2"/>
  <c r="M38" i="2"/>
  <c r="L94" i="2"/>
  <c r="L85" i="2"/>
  <c r="L38" i="2"/>
  <c r="L76" i="2" s="1"/>
  <c r="L75" i="2" s="1"/>
  <c r="K94" i="2"/>
  <c r="K85" i="2"/>
  <c r="J85" i="2"/>
  <c r="J38" i="2"/>
  <c r="I85" i="2"/>
  <c r="H85" i="2"/>
  <c r="G85" i="2"/>
  <c r="G38" i="2"/>
  <c r="F85" i="2"/>
  <c r="F38" i="2"/>
  <c r="F76" i="2" s="1"/>
  <c r="F75" i="2" s="1"/>
  <c r="E94" i="2"/>
  <c r="F94" i="2"/>
  <c r="G94" i="2"/>
  <c r="H94" i="2"/>
  <c r="I94" i="2"/>
  <c r="J94" i="2"/>
  <c r="E85" i="2"/>
  <c r="E38" i="2"/>
  <c r="D94" i="2"/>
  <c r="D85" i="2"/>
  <c r="D84" i="2"/>
  <c r="C84" i="2"/>
  <c r="D38" i="2"/>
  <c r="D76" i="2" s="1"/>
  <c r="C94" i="2"/>
  <c r="C85" i="2"/>
  <c r="C38" i="2"/>
  <c r="C37" i="2" s="1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R17" i="2"/>
  <c r="S17" i="2"/>
  <c r="S18" i="2" s="1"/>
  <c r="S20" i="2" s="1"/>
  <c r="T17" i="2"/>
  <c r="T18" i="2" s="1"/>
  <c r="T20" i="2" s="1"/>
  <c r="U17" i="2"/>
  <c r="U18" i="2" s="1"/>
  <c r="U20" i="2" s="1"/>
  <c r="V17" i="2"/>
  <c r="X17" i="2"/>
  <c r="X19" i="2" s="1"/>
  <c r="Y17" i="2"/>
  <c r="Z17" i="2"/>
  <c r="AA17" i="2"/>
  <c r="AB17" i="2"/>
  <c r="AB19" i="2" s="1"/>
  <c r="AC17" i="2"/>
  <c r="Q17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A19" i="2"/>
  <c r="W18" i="2"/>
  <c r="W20" i="2" s="1"/>
  <c r="H17" i="2"/>
  <c r="I17" i="2"/>
  <c r="J17" i="2"/>
  <c r="K17" i="2"/>
  <c r="L17" i="2"/>
  <c r="M17" i="2"/>
  <c r="N17" i="2"/>
  <c r="O17" i="2"/>
  <c r="P17" i="2"/>
  <c r="E17" i="2"/>
  <c r="F17" i="2"/>
  <c r="D17" i="2"/>
  <c r="D75" i="2" l="1"/>
  <c r="S19" i="2"/>
  <c r="S86" i="2" s="1"/>
  <c r="T19" i="2"/>
  <c r="T86" i="2" s="1"/>
  <c r="AB18" i="2"/>
  <c r="AB20" i="2" s="1"/>
  <c r="X18" i="2"/>
  <c r="X20" i="2" s="1"/>
  <c r="Z19" i="2"/>
  <c r="AA18" i="2"/>
  <c r="AA20" i="2" s="1"/>
  <c r="W19" i="2"/>
  <c r="W86" i="2" s="1"/>
  <c r="F19" i="2"/>
  <c r="M18" i="2"/>
  <c r="M20" i="2" s="1"/>
  <c r="Z18" i="2"/>
  <c r="Z20" i="2" s="1"/>
  <c r="J19" i="2"/>
  <c r="I18" i="2"/>
  <c r="I20" i="2" s="1"/>
  <c r="R18" i="2"/>
  <c r="R20" i="2" s="1"/>
  <c r="D18" i="2"/>
  <c r="D20" i="2" s="1"/>
  <c r="P18" i="2"/>
  <c r="P20" i="2" s="1"/>
  <c r="L18" i="2"/>
  <c r="L20" i="2" s="1"/>
  <c r="H18" i="2"/>
  <c r="H20" i="2" s="1"/>
  <c r="AC18" i="2"/>
  <c r="AC20" i="2" s="1"/>
  <c r="Y18" i="2"/>
  <c r="Y20" i="2" s="1"/>
  <c r="Q18" i="2"/>
  <c r="Q20" i="2" s="1"/>
  <c r="V19" i="2"/>
  <c r="R19" i="2"/>
  <c r="N19" i="2"/>
  <c r="E18" i="2"/>
  <c r="E20" i="2" s="1"/>
  <c r="V18" i="2"/>
  <c r="V20" i="2" s="1"/>
  <c r="G19" i="2"/>
  <c r="O19" i="2"/>
  <c r="K19" i="2"/>
  <c r="AC19" i="2"/>
  <c r="Y19" i="2"/>
  <c r="U19" i="2"/>
  <c r="U86" i="2" s="1"/>
  <c r="Q19" i="2"/>
  <c r="H19" i="2"/>
  <c r="O18" i="2"/>
  <c r="O20" i="2" s="1"/>
  <c r="K18" i="2"/>
  <c r="K20" i="2" s="1"/>
  <c r="G18" i="2"/>
  <c r="G20" i="2" s="1"/>
  <c r="M19" i="2"/>
  <c r="I19" i="2"/>
  <c r="E19" i="2"/>
  <c r="N18" i="2"/>
  <c r="N20" i="2" s="1"/>
  <c r="J18" i="2"/>
  <c r="J20" i="2" s="1"/>
  <c r="F18" i="2"/>
  <c r="F20" i="2" s="1"/>
  <c r="P19" i="2"/>
  <c r="L19" i="2"/>
  <c r="D19" i="2"/>
  <c r="X86" i="2" l="1"/>
  <c r="X103" i="2" s="1"/>
  <c r="X100" i="2" s="1"/>
  <c r="L86" i="2"/>
  <c r="L103" i="2" s="1"/>
  <c r="L100" i="2" s="1"/>
  <c r="S37" i="2"/>
  <c r="P86" i="2"/>
  <c r="P103" i="2" s="1"/>
  <c r="P100" i="2" s="1"/>
  <c r="T37" i="2"/>
  <c r="X37" i="2"/>
  <c r="AB37" i="2"/>
  <c r="P37" i="2"/>
  <c r="AA37" i="2"/>
  <c r="AC37" i="2"/>
  <c r="AB86" i="2"/>
  <c r="AB103" i="2" s="1"/>
  <c r="AB100" i="2" s="1"/>
  <c r="W37" i="2"/>
  <c r="AC86" i="2"/>
  <c r="AC83" i="2" s="1"/>
  <c r="I86" i="2"/>
  <c r="I83" i="2" s="1"/>
  <c r="V37" i="2"/>
  <c r="AA86" i="2"/>
  <c r="AA103" i="2" s="1"/>
  <c r="AA100" i="2" s="1"/>
  <c r="V86" i="2"/>
  <c r="S103" i="2"/>
  <c r="S100" i="2" s="1"/>
  <c r="S83" i="2"/>
  <c r="U103" i="2"/>
  <c r="U100" i="2" s="1"/>
  <c r="U83" i="2"/>
  <c r="Z37" i="2"/>
  <c r="Z86" i="2"/>
  <c r="T103" i="2"/>
  <c r="T100" i="2" s="1"/>
  <c r="T83" i="2"/>
  <c r="D86" i="2"/>
  <c r="D103" i="2" s="1"/>
  <c r="D100" i="2" s="1"/>
  <c r="C86" i="2"/>
  <c r="D37" i="2"/>
  <c r="Y86" i="2"/>
  <c r="W83" i="2"/>
  <c r="W103" i="2"/>
  <c r="W100" i="2" s="1"/>
  <c r="H86" i="2"/>
  <c r="R86" i="2"/>
  <c r="E86" i="2"/>
  <c r="E37" i="2"/>
  <c r="Q86" i="2"/>
  <c r="L37" i="2"/>
  <c r="I37" i="2"/>
  <c r="O37" i="2"/>
  <c r="U37" i="2"/>
  <c r="J37" i="2"/>
  <c r="M37" i="2"/>
  <c r="R37" i="2"/>
  <c r="H37" i="2"/>
  <c r="M86" i="2"/>
  <c r="K37" i="2"/>
  <c r="G37" i="2"/>
  <c r="N37" i="2"/>
  <c r="Y37" i="2"/>
  <c r="F37" i="2"/>
  <c r="Q37" i="2"/>
  <c r="K86" i="2"/>
  <c r="O86" i="2"/>
  <c r="J86" i="2"/>
  <c r="N86" i="2"/>
  <c r="F86" i="2"/>
  <c r="G86" i="2"/>
  <c r="X83" i="2" l="1"/>
  <c r="L83" i="2"/>
  <c r="L109" i="2" s="1"/>
  <c r="AC103" i="2"/>
  <c r="AC100" i="2" s="1"/>
  <c r="AC109" i="2" s="1"/>
  <c r="P83" i="2"/>
  <c r="C83" i="2"/>
  <c r="I103" i="2"/>
  <c r="I100" i="2" s="1"/>
  <c r="U109" i="2"/>
  <c r="AA83" i="2"/>
  <c r="AA109" i="2" s="1"/>
  <c r="AB83" i="2"/>
  <c r="AB109" i="2" s="1"/>
  <c r="T109" i="2"/>
  <c r="S109" i="2"/>
  <c r="W109" i="2"/>
  <c r="C103" i="2"/>
  <c r="J103" i="2"/>
  <c r="J100" i="2" s="1"/>
  <c r="J83" i="2"/>
  <c r="G103" i="2"/>
  <c r="G100" i="2" s="1"/>
  <c r="G83" i="2"/>
  <c r="O103" i="2"/>
  <c r="O100" i="2" s="1"/>
  <c r="O83" i="2"/>
  <c r="M103" i="2"/>
  <c r="M100" i="2" s="1"/>
  <c r="M83" i="2"/>
  <c r="Q103" i="2"/>
  <c r="Q100" i="2" s="1"/>
  <c r="Q83" i="2"/>
  <c r="V83" i="2"/>
  <c r="V103" i="2"/>
  <c r="V100" i="2" s="1"/>
  <c r="H103" i="2"/>
  <c r="H100" i="2" s="1"/>
  <c r="H83" i="2"/>
  <c r="R103" i="2"/>
  <c r="R100" i="2" s="1"/>
  <c r="R83" i="2"/>
  <c r="F103" i="2"/>
  <c r="F100" i="2" s="1"/>
  <c r="F83" i="2"/>
  <c r="K103" i="2"/>
  <c r="K100" i="2" s="1"/>
  <c r="K83" i="2"/>
  <c r="D83" i="2"/>
  <c r="N103" i="2"/>
  <c r="N100" i="2" s="1"/>
  <c r="N83" i="2"/>
  <c r="E103" i="2"/>
  <c r="E100" i="2" s="1"/>
  <c r="E83" i="2"/>
  <c r="Y103" i="2"/>
  <c r="Y100" i="2" s="1"/>
  <c r="Y83" i="2"/>
  <c r="Z83" i="2"/>
  <c r="Z103" i="2"/>
  <c r="Z100" i="2" s="1"/>
  <c r="H34" i="2"/>
  <c r="I34" i="2"/>
  <c r="P34" i="2"/>
  <c r="P109" i="2" l="1"/>
  <c r="I109" i="2"/>
  <c r="V109" i="2"/>
  <c r="C100" i="2"/>
  <c r="F109" i="2"/>
  <c r="Q109" i="2"/>
  <c r="O109" i="2"/>
  <c r="J109" i="2"/>
  <c r="E109" i="2"/>
  <c r="K109" i="2"/>
  <c r="R109" i="2"/>
  <c r="M109" i="2"/>
  <c r="G109" i="2"/>
  <c r="H109" i="2"/>
  <c r="Y109" i="2"/>
  <c r="N109" i="2"/>
  <c r="Z109" i="2"/>
  <c r="D39" i="2"/>
  <c r="X26" i="2"/>
  <c r="X109" i="2" l="1"/>
  <c r="D109" i="2"/>
  <c r="C109" i="2"/>
  <c r="AD109" i="2" l="1"/>
</calcChain>
</file>

<file path=xl/sharedStrings.xml><?xml version="1.0" encoding="utf-8"?>
<sst xmlns="http://schemas.openxmlformats.org/spreadsheetml/2006/main" count="576" uniqueCount="314">
  <si>
    <t xml:space="preserve">Cargo </t>
  </si>
  <si>
    <t>No de identificación</t>
  </si>
  <si>
    <t>Edad</t>
  </si>
  <si>
    <t>Genero</t>
  </si>
  <si>
    <t>Fecha de Ingreso a la compañía</t>
  </si>
  <si>
    <t xml:space="preserve">Turno donde ocurre el accidente </t>
  </si>
  <si>
    <t>Tipo de vinculación</t>
  </si>
  <si>
    <t>Gravedad de las lesiones</t>
  </si>
  <si>
    <t>Perdida de capacidad laboral</t>
  </si>
  <si>
    <t>Costo total de capacitación de reemplazo</t>
  </si>
  <si>
    <t xml:space="preserve">Salario base trabajador </t>
  </si>
  <si>
    <t>Cesantias mensuales trabajador</t>
  </si>
  <si>
    <t xml:space="preserve">Prima mensual trabajador </t>
  </si>
  <si>
    <t>Intereses de las cesantias mensuales trabajador</t>
  </si>
  <si>
    <t>Valor vacaciones mensual</t>
  </si>
  <si>
    <t>Valor AFP</t>
  </si>
  <si>
    <t>Valor EPS</t>
  </si>
  <si>
    <t xml:space="preserve">Costo por hora de trabajador que realiza el reemplazo </t>
  </si>
  <si>
    <t>Costo por hora de trabajador que realiza la capacitación</t>
  </si>
  <si>
    <t>Horas de capacitación</t>
  </si>
  <si>
    <t>Costo total de brigadista o persona que atiende al trabajador accidentado</t>
  </si>
  <si>
    <t xml:space="preserve">Costo por hora de brigadista </t>
  </si>
  <si>
    <t>Horas de atención</t>
  </si>
  <si>
    <t>Costo total de personal administrativo dedicado al tratamiento del accidente</t>
  </si>
  <si>
    <t>Costo por hora de personal administrativo</t>
  </si>
  <si>
    <t xml:space="preserve">Costo total de prestaciones sociales por trabajador accidentado </t>
  </si>
  <si>
    <t>Horas laborales de incapacidad</t>
  </si>
  <si>
    <t>Costo total de horas extra incurridas por causa del accidente de trabajo</t>
  </si>
  <si>
    <t>Costo por hora extra de trabajador</t>
  </si>
  <si>
    <t>Costo de recargo por hora trabajador</t>
  </si>
  <si>
    <t>Horas Extra por trabajador</t>
  </si>
  <si>
    <t>Costo total de reparación de maquina</t>
  </si>
  <si>
    <t>Costo por hora de contratista mantenimiento</t>
  </si>
  <si>
    <t>Costo repuesto maquina</t>
  </si>
  <si>
    <t>Horas de reparación de maquina</t>
  </si>
  <si>
    <t>Costo Total rotación</t>
  </si>
  <si>
    <t>Costo Total de inactividad de las maquinas a cargo del trabajador accidentado</t>
  </si>
  <si>
    <t xml:space="preserve">Horas de parada de la maquina a cargo del trabajador accidentado </t>
  </si>
  <si>
    <t xml:space="preserve">Costo por hora de parada de maquina a cargo del trabajador accidentado </t>
  </si>
  <si>
    <t>Horas de parada de maquina del trabajador de reemplazo</t>
  </si>
  <si>
    <t>Costo por hora de parada de maquina por reemplazo de puesto de trabajo</t>
  </si>
  <si>
    <t>Costo Total daño material</t>
  </si>
  <si>
    <t>Costo del material dañado</t>
  </si>
  <si>
    <t>Costo por hora empleadas en la trasformación del material hasta el daño de este</t>
  </si>
  <si>
    <t>Horas Hombre empleadas en trasformación hasta el daño del material</t>
  </si>
  <si>
    <t>Costo Total equipos, herramientas e inmuebles</t>
  </si>
  <si>
    <t>Costo del equipo dañado</t>
  </si>
  <si>
    <t>Costo de la herramienta dañada</t>
  </si>
  <si>
    <t>Costo del inmueble dañado</t>
  </si>
  <si>
    <t>Costo Total medidas preventivas a causa del accidente</t>
  </si>
  <si>
    <t>Costo hora hombre de capacitación uso de medidas preventivas</t>
  </si>
  <si>
    <t>Horas de capacitación en uso de medidas preventivas</t>
  </si>
  <si>
    <t>Costo Total de desplazamiento del trabajado hacia atención medica</t>
  </si>
  <si>
    <t xml:space="preserve">Costo no asegurados de atención medica </t>
  </si>
  <si>
    <t xml:space="preserve">Costo de subcontratación de proceso </t>
  </si>
  <si>
    <t>Costo de daños a terceros no asegurados</t>
  </si>
  <si>
    <t>Costo de sanciones por incumplimiento a normas, causa del accidente.</t>
  </si>
  <si>
    <t>Costo Total investigación del accidente</t>
  </si>
  <si>
    <t>Horas hombre dedicadas a la investigación del accidente</t>
  </si>
  <si>
    <t>Costo por hora hombre de personal de investigación</t>
  </si>
  <si>
    <t>Costo Total de perdida en rendimiento de producción por reemplazo de trabajador accidentado</t>
  </si>
  <si>
    <t>Horas hombre de producción trabajador reemplazo</t>
  </si>
  <si>
    <t>Costo por hora maquina</t>
  </si>
  <si>
    <t>Costo por hora hombre trabajador reemplazo</t>
  </si>
  <si>
    <t>Costo Total pérdida de calidad del producto por inexperticia del reemplazo</t>
  </si>
  <si>
    <t>Número de productos no conformes</t>
  </si>
  <si>
    <t>Costo por unidad de producto</t>
  </si>
  <si>
    <t>Costo por hora hombre trabajador accidentado</t>
  </si>
  <si>
    <t xml:space="preserve">Costo Total de descuentos por pedidos no entregados a tiempo </t>
  </si>
  <si>
    <t>Precio por unidad de producto</t>
  </si>
  <si>
    <t xml:space="preserve">% de descuento </t>
  </si>
  <si>
    <t>Costo Total por obligaciones jurídicas a causa del accidente</t>
  </si>
  <si>
    <t xml:space="preserve">Costo por hora personal jurídico </t>
  </si>
  <si>
    <t>Horas de asesoría juridicas</t>
  </si>
  <si>
    <t xml:space="preserve">Costo Total de acompañamiento a visitas gubernamentales por ocasión del accidente </t>
  </si>
  <si>
    <t>Costo por hora hombre director HSEQ o persona que atiende la visita gubernamental</t>
  </si>
  <si>
    <t>Horas de la visita gubernamental</t>
  </si>
  <si>
    <t>Costo Total limpieza de las instalaciones</t>
  </si>
  <si>
    <t xml:space="preserve"> Costo por hora hombre encargado de limpieza </t>
  </si>
  <si>
    <t>Horas requeridas de limpieza a causa del accidente</t>
  </si>
  <si>
    <t xml:space="preserve">Costo por hora de atención psicológica al trabajador accidentado </t>
  </si>
  <si>
    <t xml:space="preserve">Horas de atención psicológica </t>
  </si>
  <si>
    <t>Costo por el pago de penalizaciones o multas de los clientes por demoras en tiempo de entrega</t>
  </si>
  <si>
    <t xml:space="preserve">Costo de disminución en ventas por pérdida de imagen a causa del accidente </t>
  </si>
  <si>
    <t xml:space="preserve">Costo de reclamaciones </t>
  </si>
  <si>
    <t xml:space="preserve"> Costo Total por disminución de la moral </t>
  </si>
  <si>
    <t xml:space="preserve"> Costo por perdidas de contrataciones con clientes a causa de la valoración en las estadísticas de accidentalidad</t>
  </si>
  <si>
    <t>Variables</t>
  </si>
  <si>
    <t xml:space="preserve">Denominación </t>
  </si>
  <si>
    <t>Cco</t>
  </si>
  <si>
    <t>Rco</t>
  </si>
  <si>
    <t>Sco</t>
  </si>
  <si>
    <t>Hco</t>
  </si>
  <si>
    <t>Cbo</t>
  </si>
  <si>
    <t>Bbo</t>
  </si>
  <si>
    <t>Hbo</t>
  </si>
  <si>
    <t>Horas de atención brigadista</t>
  </si>
  <si>
    <t>Cao</t>
  </si>
  <si>
    <t>Bao</t>
  </si>
  <si>
    <t>Hao</t>
  </si>
  <si>
    <t>Cpo</t>
  </si>
  <si>
    <t>Hpo</t>
  </si>
  <si>
    <t>Vxo</t>
  </si>
  <si>
    <t>Cxo</t>
  </si>
  <si>
    <t>Rxo</t>
  </si>
  <si>
    <t>Hxo</t>
  </si>
  <si>
    <t>Ciq</t>
  </si>
  <si>
    <t xml:space="preserve">Hiq </t>
  </si>
  <si>
    <t>Riq</t>
  </si>
  <si>
    <t>Crq</t>
  </si>
  <si>
    <t>Mrq</t>
  </si>
  <si>
    <t>Rrq</t>
  </si>
  <si>
    <t>Hrq</t>
  </si>
  <si>
    <t>Cpq</t>
  </si>
  <si>
    <t xml:space="preserve">Hpq </t>
  </si>
  <si>
    <r>
      <t>Rpq</t>
    </r>
    <r>
      <rPr>
        <sz val="12"/>
        <color theme="1"/>
        <rFont val="Times New Roman"/>
        <family val="1"/>
      </rPr>
      <t xml:space="preserve"> </t>
    </r>
  </si>
  <si>
    <t>Cpm</t>
  </si>
  <si>
    <t>Mpm</t>
  </si>
  <si>
    <t xml:space="preserve">Rpm </t>
  </si>
  <si>
    <t>Hpm</t>
  </si>
  <si>
    <t>Chm</t>
  </si>
  <si>
    <t>Ehm</t>
  </si>
  <si>
    <t xml:space="preserve">Hhm </t>
  </si>
  <si>
    <t>Ihm</t>
  </si>
  <si>
    <t>Cem</t>
  </si>
  <si>
    <t>Rem</t>
  </si>
  <si>
    <t>Hem</t>
  </si>
  <si>
    <t>Ctr</t>
  </si>
  <si>
    <t>Cmr</t>
  </si>
  <si>
    <t>Cor</t>
  </si>
  <si>
    <t>Cir</t>
  </si>
  <si>
    <t>Csr</t>
  </si>
  <si>
    <t>Cai</t>
  </si>
  <si>
    <t>Hai</t>
  </si>
  <si>
    <r>
      <t>Rai</t>
    </r>
    <r>
      <rPr>
        <sz val="12"/>
        <color theme="1"/>
        <rFont val="Times New Roman"/>
        <family val="1"/>
      </rPr>
      <t xml:space="preserve"> </t>
    </r>
  </si>
  <si>
    <t>Cpi</t>
  </si>
  <si>
    <t>Hpi</t>
  </si>
  <si>
    <t>Wpi</t>
  </si>
  <si>
    <t>Cdi</t>
  </si>
  <si>
    <t>Ndi</t>
  </si>
  <si>
    <t>Rdi</t>
  </si>
  <si>
    <t xml:space="preserve">Cri </t>
  </si>
  <si>
    <t xml:space="preserve">Hpi </t>
  </si>
  <si>
    <t xml:space="preserve">Csi </t>
  </si>
  <si>
    <t xml:space="preserve">Nsi </t>
  </si>
  <si>
    <t>Rsi</t>
  </si>
  <si>
    <t xml:space="preserve">Cji </t>
  </si>
  <si>
    <t xml:space="preserve">Nji </t>
  </si>
  <si>
    <t>Hji</t>
  </si>
  <si>
    <t>Cgi</t>
  </si>
  <si>
    <t>Ngi</t>
  </si>
  <si>
    <r>
      <t>Hgi</t>
    </r>
    <r>
      <rPr>
        <sz val="12"/>
        <color theme="1"/>
        <rFont val="Times New Roman"/>
        <family val="1"/>
      </rPr>
      <t xml:space="preserve"> </t>
    </r>
  </si>
  <si>
    <t xml:space="preserve">Cli </t>
  </si>
  <si>
    <t>Nli</t>
  </si>
  <si>
    <r>
      <t>Hli</t>
    </r>
    <r>
      <rPr>
        <sz val="12"/>
        <color theme="1"/>
        <rFont val="Times New Roman"/>
        <family val="1"/>
      </rPr>
      <t xml:space="preserve"> </t>
    </r>
  </si>
  <si>
    <t>Cmi</t>
  </si>
  <si>
    <t xml:space="preserve">Nmi </t>
  </si>
  <si>
    <t>Hmi</t>
  </si>
  <si>
    <t>Cki</t>
  </si>
  <si>
    <r>
      <t>Cni</t>
    </r>
    <r>
      <rPr>
        <sz val="12"/>
        <color theme="1"/>
        <rFont val="Times New Roman"/>
        <family val="1"/>
      </rPr>
      <t xml:space="preserve"> </t>
    </r>
  </si>
  <si>
    <t>Cui</t>
  </si>
  <si>
    <r>
      <t>Cvi</t>
    </r>
    <r>
      <rPr>
        <sz val="12"/>
        <color theme="1"/>
        <rFont val="Times New Roman"/>
        <family val="1"/>
      </rPr>
      <t xml:space="preserve"> </t>
    </r>
  </si>
  <si>
    <t>No</t>
  </si>
  <si>
    <t>G</t>
  </si>
  <si>
    <t>F</t>
  </si>
  <si>
    <t>Cr</t>
  </si>
  <si>
    <t>Ac</t>
  </si>
  <si>
    <t>Tv</t>
  </si>
  <si>
    <t>Tr</t>
  </si>
  <si>
    <t>Pl</t>
  </si>
  <si>
    <t>Sw</t>
  </si>
  <si>
    <t>Iw</t>
  </si>
  <si>
    <t>Pw</t>
  </si>
  <si>
    <t>Ew</t>
  </si>
  <si>
    <t>Vw</t>
  </si>
  <si>
    <t>Aw</t>
  </si>
  <si>
    <t>Fw</t>
  </si>
  <si>
    <t>Gl</t>
  </si>
  <si>
    <t>M</t>
  </si>
  <si>
    <t>OPERARIO DE PRODUCCION A - MOVILIZADOR</t>
  </si>
  <si>
    <t>OPERARIO DE PRODUCCIÓN B - CORTE TERMICO CNC</t>
  </si>
  <si>
    <t>OPERARIO DE PRODUCCIÓN C - SOLDADURA</t>
  </si>
  <si>
    <t>OPERARIO DE PRODUCCIÓN C - FRESADO CONVENCIONAL</t>
  </si>
  <si>
    <t>OPERARIO DE PRODUCCIÓN D - MECANIZADO CNC</t>
  </si>
  <si>
    <t>OPERARIO DE PRODUCCIÓN C - TORNEADO CONVENCIONAL</t>
  </si>
  <si>
    <t>Operario de Producción D - Mecanizado CNC</t>
  </si>
  <si>
    <t>TECNICO DE MANTENIMIENTO</t>
  </si>
  <si>
    <t>Operario De Produccion A - Movilizador</t>
  </si>
  <si>
    <t>OPERARIO DE PRODUCCIÓN B - ASERRADO</t>
  </si>
  <si>
    <t>Operario De Producción D - Mecanizado Cnc</t>
  </si>
  <si>
    <t>OPERARIO DE PRODUCCIÓN D - ENSAMBLE</t>
  </si>
  <si>
    <t>Indefinido</t>
  </si>
  <si>
    <t>MAÑANA</t>
  </si>
  <si>
    <t>TARDE</t>
  </si>
  <si>
    <t>NOCHE</t>
  </si>
  <si>
    <t>ACCIDENTE LEVE</t>
  </si>
  <si>
    <t>ACCIDENTE SEVERO</t>
  </si>
  <si>
    <t>Leve</t>
  </si>
  <si>
    <t>Auxilio Transporte</t>
  </si>
  <si>
    <t>Costo Total de perdida en rendimiento de producción</t>
  </si>
  <si>
    <t xml:space="preserve">Horas hombre de producción trabajador accidentado </t>
  </si>
  <si>
    <t>Costo de dispositivos de seguridad</t>
  </si>
  <si>
    <t>Costo elementos de señalización</t>
  </si>
  <si>
    <t>% rendimiento</t>
  </si>
  <si>
    <t>% rendimiento por perdida de capacidad laboral</t>
  </si>
  <si>
    <t>Antigüedad en el cargo (Meses)</t>
  </si>
  <si>
    <t>Valor ARL</t>
  </si>
  <si>
    <t>Valor caja de compensación</t>
  </si>
  <si>
    <t xml:space="preserve">Clase de Riesgo </t>
  </si>
  <si>
    <t>IV</t>
  </si>
  <si>
    <t xml:space="preserve">TOTAL </t>
  </si>
  <si>
    <t>Costo por hora de parada maquina brigadista</t>
  </si>
  <si>
    <t>Mbo</t>
  </si>
  <si>
    <t>Costo de EPP</t>
  </si>
  <si>
    <t>Fecha del accidente</t>
  </si>
  <si>
    <t>Fa</t>
  </si>
  <si>
    <t>III</t>
  </si>
  <si>
    <t>Accidente 1  2016</t>
  </si>
  <si>
    <t>Accidente 2 2016</t>
  </si>
  <si>
    <t>Accidente 3 2016</t>
  </si>
  <si>
    <t>Accidente 4 2016</t>
  </si>
  <si>
    <t>Accidente 5 2016</t>
  </si>
  <si>
    <t>Accidente 6 2016</t>
  </si>
  <si>
    <t>Accidente 7 2016</t>
  </si>
  <si>
    <t>Accidente 8 2016</t>
  </si>
  <si>
    <t>Accidente 9 2016</t>
  </si>
  <si>
    <t>Accidente 10 2016</t>
  </si>
  <si>
    <t>Accidente 11 2016</t>
  </si>
  <si>
    <t>Accidente 12 2016</t>
  </si>
  <si>
    <t>Accidente 13 2016</t>
  </si>
  <si>
    <t>Accidente 14 2017</t>
  </si>
  <si>
    <t>Accidente 15 2017</t>
  </si>
  <si>
    <t>Accidente 16 2017</t>
  </si>
  <si>
    <t>Accidente 17 2017</t>
  </si>
  <si>
    <t>Accidente 18 2017</t>
  </si>
  <si>
    <t>Accidente 19 2017</t>
  </si>
  <si>
    <t>Accidente 20 2017</t>
  </si>
  <si>
    <t>Accidente 21 2017</t>
  </si>
  <si>
    <t>Accidente 22 2017</t>
  </si>
  <si>
    <t>Accidente 23 2017</t>
  </si>
  <si>
    <t>Accidente 24 2017</t>
  </si>
  <si>
    <t>Accidente 25 2017</t>
  </si>
  <si>
    <t>Accidente 26 2017</t>
  </si>
  <si>
    <t>Accidente 27 2017</t>
  </si>
  <si>
    <t xml:space="preserve"> </t>
  </si>
  <si>
    <t>COSTOS DE ACCIDENTALIDAD EN EL AÑO 2016 Y 2017</t>
  </si>
  <si>
    <t xml:space="preserve">Costo de impacto ambiental </t>
  </si>
  <si>
    <t>Cia</t>
  </si>
  <si>
    <t>Fecha del diagnostico de la enfermedad</t>
  </si>
  <si>
    <t>Enfermedad diagnosticada</t>
  </si>
  <si>
    <t>Sindrome del manguito rotador</t>
  </si>
  <si>
    <t>Costo total de prestaciones sociales por trabajador cuando se incapacita por casion de la enfermedad laboral</t>
  </si>
  <si>
    <t>Costo por hora de parada de maquina a cargo del trabajador incapacitado</t>
  </si>
  <si>
    <t>Costo Total medidas preventivas a causa de la enfermedad laboral</t>
  </si>
  <si>
    <t>Costo Total de desplazamiento del trabajador hacia atención medica</t>
  </si>
  <si>
    <t>Costo de sanciones por incumplimiento a normas, causa de la enfermedad</t>
  </si>
  <si>
    <t>Costo Total de perdida en rendimiento de producción por reemplazo de trabajador incapacitado</t>
  </si>
  <si>
    <t xml:space="preserve">Horas hombre de producción trabajador incapacitado </t>
  </si>
  <si>
    <t>Costo Total por obligaciones jurídicas a causa de la enfermedad laboral</t>
  </si>
  <si>
    <t>Costo Total de acompañamiento a visitas gubernamentales por ocasión de la enfermedad</t>
  </si>
  <si>
    <t>Costo por hora de atención psicológica al trabajador con enfermedad laboral</t>
  </si>
  <si>
    <t>Costo por hora hombre trabajador con enfermedad laboral</t>
  </si>
  <si>
    <t>Costo de disminución en ventas por pérdida de imagen a causa de la enfermedad laboral</t>
  </si>
  <si>
    <t xml:space="preserve"> Costo por perdidas de contrataciones con clientes a causa de la valoración en las estadísticas de accidentalidad y enfermedad laboral</t>
  </si>
  <si>
    <t>Horas de parada de la maquina a cargo del trabajador con enfermedad laboral</t>
  </si>
  <si>
    <t xml:space="preserve">Costo Total por ausentismo del trabajador para ir a terapias a causa de la enfermedad laboral </t>
  </si>
  <si>
    <t xml:space="preserve">Horas de trabajador que realiza el reemplazo </t>
  </si>
  <si>
    <t>Costo Total de inactividad de las maquinas a cargo del trabajador con enfermedad laboral por ausentismos</t>
  </si>
  <si>
    <t>Horas de parada de la maquina a cargo del trabajador de reemplazo</t>
  </si>
  <si>
    <t>Costo por hora de parada de maquina a cargo del trabajador de reemplazo</t>
  </si>
  <si>
    <t>Enfermedad 1  2017</t>
  </si>
  <si>
    <t>COSTOS DE ENFERMEDAD LABORAL EN EL AÑO 2017</t>
  </si>
  <si>
    <t>Costo total de horas extra incurridas por causa del ausentismo por ocasión de la enfermedad laboral</t>
  </si>
  <si>
    <t xml:space="preserve">COSTO TOTAL </t>
  </si>
  <si>
    <t>R</t>
  </si>
  <si>
    <t>Ax</t>
  </si>
  <si>
    <t>Rw</t>
  </si>
  <si>
    <t>Cw</t>
  </si>
  <si>
    <t>Cpe</t>
  </si>
  <si>
    <t>Hpe</t>
  </si>
  <si>
    <t>Cxe</t>
  </si>
  <si>
    <t>Vxe</t>
  </si>
  <si>
    <t>Rxe</t>
  </si>
  <si>
    <t>Hxe</t>
  </si>
  <si>
    <t>Cte</t>
  </si>
  <si>
    <t>Hte</t>
  </si>
  <si>
    <t xml:space="preserve">Rpq </t>
  </si>
  <si>
    <t>Cie</t>
  </si>
  <si>
    <t>Hie</t>
  </si>
  <si>
    <t>Rie</t>
  </si>
  <si>
    <t>Epp</t>
  </si>
  <si>
    <t>Es</t>
  </si>
  <si>
    <t>Esñ</t>
  </si>
  <si>
    <t>Cee</t>
  </si>
  <si>
    <t>Cpt</t>
  </si>
  <si>
    <t>Costo por hora maquina trabajador ausente</t>
  </si>
  <si>
    <t>Rpq</t>
  </si>
  <si>
    <t>Costo Total de perdida en rendimiento de producción por enfermedad laboral</t>
  </si>
  <si>
    <t>Cre</t>
  </si>
  <si>
    <t>Hpt</t>
  </si>
  <si>
    <t>Wpe</t>
  </si>
  <si>
    <t>Costo por hora maquina trabajador con enferemdad laboral</t>
  </si>
  <si>
    <t>Cse</t>
  </si>
  <si>
    <t>Cge</t>
  </si>
  <si>
    <t>Cje</t>
  </si>
  <si>
    <t>Cme</t>
  </si>
  <si>
    <t>Nme</t>
  </si>
  <si>
    <t>Cne</t>
  </si>
  <si>
    <t>Sexo</t>
  </si>
  <si>
    <t>Masculino</t>
  </si>
  <si>
    <t>Precio por unidad de producto no entregado a tiempo</t>
  </si>
  <si>
    <t>% de descuento por pedido no entregado a tiempo</t>
  </si>
  <si>
    <t>Número de productos no conformes por inexperticia del reemplazo</t>
  </si>
  <si>
    <t>Costo por unidad de producto no conforme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</si>
</sst>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"/>
    <numFmt numFmtId="166" formatCode="0.0"/>
    <numFmt numFmtId="167" formatCode="&quot;$&quot;#,##0"/>
    <numFmt numFmtId="168" formatCode="0.0000"/>
    <numFmt numFmtId="169" formatCode="0.000"/>
    <numFmt numFmtId="170" formatCode="0.0%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</cellStyleXfs>
  <cellXfs count="7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9" fontId="0" fillId="0" borderId="0" xfId="1" applyFont="1"/>
    <xf numFmtId="165" fontId="0" fillId="0" borderId="0" xfId="0" applyNumberFormat="1" applyFill="1"/>
    <xf numFmtId="0" fontId="0" fillId="0" borderId="1" xfId="0" applyBorder="1"/>
    <xf numFmtId="0" fontId="0" fillId="0" borderId="0" xfId="0" applyFill="1" applyBorder="1"/>
    <xf numFmtId="14" fontId="0" fillId="0" borderId="0" xfId="0" applyNumberFormat="1"/>
    <xf numFmtId="0" fontId="2" fillId="0" borderId="0" xfId="0" applyFont="1"/>
    <xf numFmtId="165" fontId="10" fillId="2" borderId="0" xfId="0" applyNumberFormat="1" applyFont="1" applyFill="1"/>
    <xf numFmtId="0" fontId="2" fillId="0" borderId="2" xfId="0" applyFont="1" applyBorder="1"/>
    <xf numFmtId="0" fontId="0" fillId="0" borderId="2" xfId="0" applyBorder="1"/>
    <xf numFmtId="0" fontId="0" fillId="0" borderId="2" xfId="0" applyFill="1" applyBorder="1"/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right"/>
    </xf>
    <xf numFmtId="14" fontId="0" fillId="0" borderId="2" xfId="0" applyNumberFormat="1" applyBorder="1"/>
    <xf numFmtId="165" fontId="0" fillId="0" borderId="2" xfId="0" applyNumberFormat="1" applyBorder="1"/>
    <xf numFmtId="9" fontId="0" fillId="0" borderId="2" xfId="1" applyFont="1" applyBorder="1"/>
    <xf numFmtId="10" fontId="0" fillId="0" borderId="2" xfId="1" applyNumberFormat="1" applyFont="1" applyBorder="1"/>
    <xf numFmtId="0" fontId="3" fillId="0" borderId="2" xfId="0" applyFont="1" applyBorder="1" applyAlignment="1">
      <alignment horizontal="center"/>
    </xf>
    <xf numFmtId="166" fontId="0" fillId="0" borderId="2" xfId="0" applyNumberFormat="1" applyBorder="1"/>
    <xf numFmtId="167" fontId="0" fillId="0" borderId="2" xfId="2" applyNumberFormat="1" applyFont="1" applyBorder="1"/>
    <xf numFmtId="170" fontId="0" fillId="0" borderId="2" xfId="1" applyNumberFormat="1" applyFont="1" applyBorder="1"/>
    <xf numFmtId="0" fontId="0" fillId="0" borderId="2" xfId="2" applyNumberFormat="1" applyFont="1" applyBorder="1"/>
    <xf numFmtId="169" fontId="0" fillId="0" borderId="2" xfId="2" applyNumberFormat="1" applyFont="1" applyBorder="1"/>
    <xf numFmtId="0" fontId="0" fillId="0" borderId="2" xfId="0" applyNumberFormat="1" applyBorder="1"/>
    <xf numFmtId="168" fontId="0" fillId="0" borderId="2" xfId="0" applyNumberFormat="1" applyBorder="1"/>
    <xf numFmtId="165" fontId="0" fillId="0" borderId="2" xfId="0" quotePrefix="1" applyNumberFormat="1" applyBorder="1"/>
    <xf numFmtId="0" fontId="3" fillId="0" borderId="2" xfId="0" applyFont="1" applyFill="1" applyBorder="1" applyAlignment="1">
      <alignment horizontal="center"/>
    </xf>
    <xf numFmtId="165" fontId="0" fillId="0" borderId="2" xfId="0" applyNumberFormat="1" applyFill="1" applyBorder="1"/>
    <xf numFmtId="1" fontId="0" fillId="0" borderId="2" xfId="0" applyNumberFormat="1" applyBorder="1"/>
    <xf numFmtId="9" fontId="0" fillId="0" borderId="2" xfId="0" applyNumberFormat="1" applyBorder="1"/>
    <xf numFmtId="0" fontId="2" fillId="0" borderId="9" xfId="0" applyFont="1" applyBorder="1"/>
    <xf numFmtId="0" fontId="2" fillId="0" borderId="10" xfId="0" applyFont="1" applyBorder="1"/>
    <xf numFmtId="0" fontId="0" fillId="0" borderId="9" xfId="0" applyBorder="1"/>
    <xf numFmtId="0" fontId="0" fillId="0" borderId="10" xfId="0" applyBorder="1"/>
    <xf numFmtId="0" fontId="0" fillId="0" borderId="10" xfId="0" applyBorder="1" applyAlignment="1">
      <alignment horizontal="right"/>
    </xf>
    <xf numFmtId="14" fontId="0" fillId="0" borderId="10" xfId="0" applyNumberFormat="1" applyBorder="1"/>
    <xf numFmtId="0" fontId="0" fillId="0" borderId="10" xfId="0" applyFill="1" applyBorder="1"/>
    <xf numFmtId="165" fontId="0" fillId="0" borderId="10" xfId="0" applyNumberFormat="1" applyBorder="1"/>
    <xf numFmtId="9" fontId="0" fillId="0" borderId="10" xfId="1" applyFont="1" applyBorder="1"/>
    <xf numFmtId="166" fontId="0" fillId="0" borderId="10" xfId="0" applyNumberFormat="1" applyBorder="1"/>
    <xf numFmtId="0" fontId="0" fillId="0" borderId="10" xfId="2" applyNumberFormat="1" applyFont="1" applyBorder="1"/>
    <xf numFmtId="0" fontId="0" fillId="0" borderId="9" xfId="0" applyFill="1" applyBorder="1"/>
    <xf numFmtId="165" fontId="0" fillId="0" borderId="10" xfId="0" applyNumberFormat="1" applyFill="1" applyBorder="1"/>
    <xf numFmtId="0" fontId="0" fillId="0" borderId="10" xfId="0" applyNumberFormat="1" applyBorder="1"/>
    <xf numFmtId="1" fontId="0" fillId="0" borderId="10" xfId="0" applyNumberFormat="1" applyBorder="1"/>
    <xf numFmtId="9" fontId="0" fillId="0" borderId="10" xfId="0" applyNumberFormat="1" applyBorder="1"/>
    <xf numFmtId="0" fontId="0" fillId="4" borderId="9" xfId="0" applyFill="1" applyBorder="1"/>
    <xf numFmtId="0" fontId="3" fillId="4" borderId="2" xfId="0" applyFont="1" applyFill="1" applyBorder="1" applyAlignment="1">
      <alignment horizontal="center"/>
    </xf>
    <xf numFmtId="165" fontId="0" fillId="4" borderId="2" xfId="0" applyNumberFormat="1" applyFill="1" applyBorder="1"/>
    <xf numFmtId="165" fontId="0" fillId="4" borderId="10" xfId="0" applyNumberFormat="1" applyFill="1" applyBorder="1"/>
    <xf numFmtId="165" fontId="9" fillId="0" borderId="0" xfId="0" applyNumberFormat="1" applyFont="1" applyFill="1"/>
    <xf numFmtId="0" fontId="9" fillId="0" borderId="0" xfId="0" applyFont="1" applyFill="1"/>
    <xf numFmtId="17" fontId="0" fillId="0" borderId="10" xfId="0" applyNumberFormat="1" applyBorder="1"/>
    <xf numFmtId="0" fontId="8" fillId="0" borderId="9" xfId="0" applyFont="1" applyBorder="1"/>
    <xf numFmtId="167" fontId="0" fillId="0" borderId="10" xfId="2" applyNumberFormat="1" applyFont="1" applyBorder="1"/>
    <xf numFmtId="10" fontId="0" fillId="0" borderId="10" xfId="1" applyNumberFormat="1" applyFont="1" applyBorder="1"/>
    <xf numFmtId="1" fontId="8" fillId="0" borderId="10" xfId="2" applyNumberFormat="1" applyFont="1" applyBorder="1"/>
    <xf numFmtId="167" fontId="8" fillId="4" borderId="10" xfId="2" applyNumberFormat="1" applyFont="1" applyFill="1" applyBorder="1"/>
    <xf numFmtId="167" fontId="8" fillId="0" borderId="10" xfId="2" applyNumberFormat="1" applyFont="1" applyBorder="1"/>
    <xf numFmtId="0" fontId="0" fillId="0" borderId="12" xfId="0" applyBorder="1"/>
    <xf numFmtId="0" fontId="3" fillId="0" borderId="11" xfId="0" applyFont="1" applyBorder="1" applyAlignment="1">
      <alignment horizontal="center"/>
    </xf>
    <xf numFmtId="165" fontId="0" fillId="0" borderId="13" xfId="0" applyNumberFormat="1" applyBorder="1"/>
    <xf numFmtId="0" fontId="0" fillId="3" borderId="15" xfId="0" applyFill="1" applyBorder="1"/>
    <xf numFmtId="165" fontId="7" fillId="3" borderId="16" xfId="0" applyNumberFormat="1" applyFont="1" applyFill="1" applyBorder="1"/>
    <xf numFmtId="0" fontId="10" fillId="3" borderId="14" xfId="0" applyFont="1" applyFill="1" applyBorder="1" applyAlignment="1">
      <alignment horizontal="right"/>
    </xf>
    <xf numFmtId="165" fontId="0" fillId="0" borderId="11" xfId="0" applyNumberFormat="1" applyBorder="1"/>
    <xf numFmtId="0" fontId="11" fillId="5" borderId="14" xfId="0" applyFont="1" applyFill="1" applyBorder="1" applyAlignment="1">
      <alignment horizontal="right"/>
    </xf>
    <xf numFmtId="0" fontId="11" fillId="5" borderId="17" xfId="0" applyFont="1" applyFill="1" applyBorder="1" applyAlignment="1">
      <alignment horizontal="center"/>
    </xf>
    <xf numFmtId="165" fontId="11" fillId="5" borderId="18" xfId="0" applyNumberFormat="1" applyFont="1" applyFill="1" applyBorder="1"/>
    <xf numFmtId="165" fontId="11" fillId="5" borderId="19" xfId="0" applyNumberFormat="1" applyFont="1" applyFill="1" applyBorder="1"/>
    <xf numFmtId="0" fontId="12" fillId="6" borderId="4" xfId="0" applyFont="1" applyFill="1" applyBorder="1" applyAlignment="1">
      <alignment horizontal="center" wrapText="1"/>
    </xf>
    <xf numFmtId="0" fontId="12" fillId="6" borderId="5" xfId="0" applyFont="1" applyFill="1" applyBorder="1" applyAlignment="1">
      <alignment horizontal="center" wrapText="1"/>
    </xf>
    <xf numFmtId="0" fontId="12" fillId="6" borderId="6" xfId="0" applyFont="1" applyFill="1" applyBorder="1" applyAlignment="1">
      <alignment horizontal="center" wrapText="1"/>
    </xf>
    <xf numFmtId="0" fontId="12" fillId="6" borderId="7" xfId="0" applyFont="1" applyFill="1" applyBorder="1" applyAlignment="1">
      <alignment horizontal="center" wrapText="1"/>
    </xf>
    <xf numFmtId="0" fontId="12" fillId="6" borderId="3" xfId="0" applyFont="1" applyFill="1" applyBorder="1" applyAlignment="1">
      <alignment horizontal="center" wrapText="1"/>
    </xf>
    <xf numFmtId="0" fontId="12" fillId="6" borderId="8" xfId="0" applyFont="1" applyFill="1" applyBorder="1" applyAlignment="1">
      <alignment horizontal="center" wrapText="1"/>
    </xf>
  </cellXfs>
  <cellStyles count="6">
    <cellStyle name="Moneda [0]" xfId="2" builtinId="7"/>
    <cellStyle name="Moneda 2" xfId="4"/>
    <cellStyle name="Normal" xfId="0" builtinId="0"/>
    <cellStyle name="Normal 2" xfId="3"/>
    <cellStyle name="Normal 5" xfId="5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2"/>
  <sheetViews>
    <sheetView tabSelected="1" topLeftCell="A57" zoomScale="90" zoomScaleNormal="90" workbookViewId="0">
      <selection activeCell="A67" sqref="A67"/>
    </sheetView>
  </sheetViews>
  <sheetFormatPr baseColWidth="10" defaultRowHeight="14.5" x14ac:dyDescent="0.35"/>
  <cols>
    <col min="1" max="1" width="94.453125" bestFit="1" customWidth="1"/>
    <col min="2" max="2" width="14" style="1" customWidth="1"/>
    <col min="3" max="3" width="18.453125" customWidth="1"/>
    <col min="4" max="4" width="12.81640625" customWidth="1"/>
    <col min="5" max="5" width="13" customWidth="1"/>
    <col min="6" max="6" width="13.1796875" customWidth="1"/>
    <col min="7" max="7" width="12.26953125" customWidth="1"/>
    <col min="8" max="8" width="12.7265625" customWidth="1"/>
    <col min="9" max="11" width="10.81640625" customWidth="1"/>
    <col min="12" max="12" width="13.1796875" customWidth="1"/>
    <col min="13" max="13" width="12.7265625" customWidth="1"/>
    <col min="14" max="14" width="10.81640625" customWidth="1"/>
    <col min="15" max="15" width="13.54296875" customWidth="1"/>
    <col min="16" max="16" width="10.81640625" style="6" customWidth="1"/>
    <col min="17" max="20" width="10.81640625" customWidth="1"/>
    <col min="21" max="21" width="14.453125" customWidth="1"/>
    <col min="22" max="24" width="10.81640625" customWidth="1"/>
    <col min="25" max="25" width="12.26953125" bestFit="1" customWidth="1"/>
    <col min="26" max="26" width="16.81640625" customWidth="1"/>
    <col min="27" max="29" width="11" bestFit="1" customWidth="1"/>
    <col min="30" max="30" width="16.36328125" bestFit="1" customWidth="1"/>
  </cols>
  <sheetData>
    <row r="1" spans="1:30" x14ac:dyDescent="0.35">
      <c r="A1" s="73" t="s">
        <v>245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5"/>
    </row>
    <row r="2" spans="1:30" ht="30" customHeight="1" x14ac:dyDescent="0.35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8"/>
    </row>
    <row r="3" spans="1:30" x14ac:dyDescent="0.35">
      <c r="A3" s="33" t="s">
        <v>87</v>
      </c>
      <c r="B3" s="14" t="s">
        <v>88</v>
      </c>
      <c r="C3" s="11" t="s">
        <v>217</v>
      </c>
      <c r="D3" s="11" t="s">
        <v>218</v>
      </c>
      <c r="E3" s="11" t="s">
        <v>219</v>
      </c>
      <c r="F3" s="11" t="s">
        <v>220</v>
      </c>
      <c r="G3" s="11" t="s">
        <v>221</v>
      </c>
      <c r="H3" s="11" t="s">
        <v>222</v>
      </c>
      <c r="I3" s="11" t="s">
        <v>223</v>
      </c>
      <c r="J3" s="11" t="s">
        <v>224</v>
      </c>
      <c r="K3" s="11" t="s">
        <v>225</v>
      </c>
      <c r="L3" s="11" t="s">
        <v>226</v>
      </c>
      <c r="M3" s="11" t="s">
        <v>227</v>
      </c>
      <c r="N3" s="11" t="s">
        <v>228</v>
      </c>
      <c r="O3" s="11" t="s">
        <v>229</v>
      </c>
      <c r="P3" s="11" t="s">
        <v>230</v>
      </c>
      <c r="Q3" s="11" t="s">
        <v>231</v>
      </c>
      <c r="R3" s="11" t="s">
        <v>232</v>
      </c>
      <c r="S3" s="11" t="s">
        <v>233</v>
      </c>
      <c r="T3" s="11" t="s">
        <v>234</v>
      </c>
      <c r="U3" s="11" t="s">
        <v>235</v>
      </c>
      <c r="V3" s="11" t="s">
        <v>236</v>
      </c>
      <c r="W3" s="11" t="s">
        <v>237</v>
      </c>
      <c r="X3" s="11" t="s">
        <v>238</v>
      </c>
      <c r="Y3" s="11" t="s">
        <v>239</v>
      </c>
      <c r="Z3" s="11" t="s">
        <v>240</v>
      </c>
      <c r="AA3" s="11" t="s">
        <v>241</v>
      </c>
      <c r="AB3" s="11" t="s">
        <v>242</v>
      </c>
      <c r="AC3" s="34" t="s">
        <v>243</v>
      </c>
      <c r="AD3" s="9" t="s">
        <v>244</v>
      </c>
    </row>
    <row r="4" spans="1:30" x14ac:dyDescent="0.35">
      <c r="A4" s="35" t="s">
        <v>1</v>
      </c>
      <c r="B4" s="14" t="s">
        <v>162</v>
      </c>
      <c r="C4" s="12">
        <v>2307</v>
      </c>
      <c r="D4" s="12">
        <v>1361</v>
      </c>
      <c r="E4" s="12">
        <v>2572</v>
      </c>
      <c r="F4" s="12">
        <v>62</v>
      </c>
      <c r="G4" s="12">
        <v>1713</v>
      </c>
      <c r="H4" s="12">
        <v>84</v>
      </c>
      <c r="I4" s="12">
        <v>921</v>
      </c>
      <c r="J4" s="12">
        <v>2587</v>
      </c>
      <c r="K4" s="12">
        <v>1951</v>
      </c>
      <c r="L4" s="13">
        <v>2385</v>
      </c>
      <c r="M4" s="13">
        <v>921</v>
      </c>
      <c r="N4" s="13">
        <v>2350</v>
      </c>
      <c r="O4" s="13">
        <v>2183</v>
      </c>
      <c r="P4" s="13">
        <v>2385</v>
      </c>
      <c r="Q4" s="12">
        <v>28</v>
      </c>
      <c r="R4" s="12">
        <v>2883</v>
      </c>
      <c r="S4" s="12">
        <v>2588</v>
      </c>
      <c r="T4" s="12">
        <v>2307</v>
      </c>
      <c r="U4" s="12">
        <v>2881</v>
      </c>
      <c r="V4" s="12">
        <v>2747</v>
      </c>
      <c r="W4" s="12">
        <v>2886</v>
      </c>
      <c r="X4" s="12">
        <v>28</v>
      </c>
      <c r="Y4" s="12">
        <v>2538</v>
      </c>
      <c r="Z4" s="12">
        <v>1532</v>
      </c>
      <c r="AA4" s="12">
        <v>2503</v>
      </c>
      <c r="AB4" s="12">
        <v>2587</v>
      </c>
      <c r="AC4" s="36">
        <v>88</v>
      </c>
    </row>
    <row r="5" spans="1:30" x14ac:dyDescent="0.35">
      <c r="A5" s="35" t="s">
        <v>2</v>
      </c>
      <c r="B5" s="14" t="s">
        <v>2</v>
      </c>
      <c r="C5" s="12">
        <v>21</v>
      </c>
      <c r="D5" s="12">
        <v>31</v>
      </c>
      <c r="E5" s="12">
        <v>30</v>
      </c>
      <c r="F5" s="12">
        <v>52</v>
      </c>
      <c r="G5" s="12">
        <v>29</v>
      </c>
      <c r="H5" s="12">
        <v>50</v>
      </c>
      <c r="I5" s="12">
        <v>59</v>
      </c>
      <c r="J5" s="12">
        <v>27</v>
      </c>
      <c r="K5" s="12">
        <v>37</v>
      </c>
      <c r="L5" s="12">
        <v>33</v>
      </c>
      <c r="M5" s="12">
        <v>59</v>
      </c>
      <c r="N5" s="12">
        <v>33</v>
      </c>
      <c r="O5" s="12">
        <v>21</v>
      </c>
      <c r="P5" s="12">
        <v>33</v>
      </c>
      <c r="Q5" s="12">
        <v>19</v>
      </c>
      <c r="R5" s="12">
        <v>39</v>
      </c>
      <c r="S5" s="12">
        <v>41</v>
      </c>
      <c r="T5" s="12">
        <v>22</v>
      </c>
      <c r="U5" s="12">
        <v>20</v>
      </c>
      <c r="V5" s="12">
        <v>34</v>
      </c>
      <c r="W5" s="12">
        <v>37</v>
      </c>
      <c r="X5" s="12">
        <v>19</v>
      </c>
      <c r="Y5" s="12">
        <v>30</v>
      </c>
      <c r="Z5" s="12">
        <v>34</v>
      </c>
      <c r="AA5" s="12">
        <v>22</v>
      </c>
      <c r="AB5" s="12">
        <v>28</v>
      </c>
      <c r="AC5" s="36">
        <v>51</v>
      </c>
    </row>
    <row r="6" spans="1:30" x14ac:dyDescent="0.35">
      <c r="A6" s="35" t="s">
        <v>308</v>
      </c>
      <c r="B6" s="14" t="s">
        <v>163</v>
      </c>
      <c r="C6" s="15" t="s">
        <v>309</v>
      </c>
      <c r="D6" s="15" t="s">
        <v>309</v>
      </c>
      <c r="E6" s="15" t="s">
        <v>309</v>
      </c>
      <c r="F6" s="15" t="s">
        <v>309</v>
      </c>
      <c r="G6" s="15" t="s">
        <v>309</v>
      </c>
      <c r="H6" s="15" t="s">
        <v>309</v>
      </c>
      <c r="I6" s="15" t="s">
        <v>309</v>
      </c>
      <c r="J6" s="15" t="s">
        <v>309</v>
      </c>
      <c r="K6" s="15" t="s">
        <v>309</v>
      </c>
      <c r="L6" s="15" t="s">
        <v>309</v>
      </c>
      <c r="M6" s="15" t="s">
        <v>309</v>
      </c>
      <c r="N6" s="15" t="s">
        <v>309</v>
      </c>
      <c r="O6" s="15" t="s">
        <v>309</v>
      </c>
      <c r="P6" s="15" t="s">
        <v>309</v>
      </c>
      <c r="Q6" s="15" t="s">
        <v>309</v>
      </c>
      <c r="R6" s="15" t="s">
        <v>309</v>
      </c>
      <c r="S6" s="15" t="s">
        <v>309</v>
      </c>
      <c r="T6" s="15" t="s">
        <v>309</v>
      </c>
      <c r="U6" s="15" t="s">
        <v>309</v>
      </c>
      <c r="V6" s="15" t="s">
        <v>309</v>
      </c>
      <c r="W6" s="15" t="s">
        <v>309</v>
      </c>
      <c r="X6" s="15" t="s">
        <v>309</v>
      </c>
      <c r="Y6" s="15" t="s">
        <v>309</v>
      </c>
      <c r="Z6" s="15" t="s">
        <v>309</v>
      </c>
      <c r="AA6" s="15" t="s">
        <v>309</v>
      </c>
      <c r="AB6" s="15" t="s">
        <v>309</v>
      </c>
      <c r="AC6" s="15" t="s">
        <v>309</v>
      </c>
      <c r="AD6" s="2"/>
    </row>
    <row r="7" spans="1:30" x14ac:dyDescent="0.35">
      <c r="A7" s="35" t="s">
        <v>4</v>
      </c>
      <c r="B7" s="14" t="s">
        <v>164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36"/>
    </row>
    <row r="8" spans="1:30" x14ac:dyDescent="0.35">
      <c r="A8" s="35" t="s">
        <v>214</v>
      </c>
      <c r="B8" s="14" t="s">
        <v>215</v>
      </c>
      <c r="C8" s="16">
        <v>42422</v>
      </c>
      <c r="D8" s="16">
        <v>42441</v>
      </c>
      <c r="E8" s="16">
        <v>42467</v>
      </c>
      <c r="F8" s="16">
        <v>42467</v>
      </c>
      <c r="G8" s="16">
        <v>42500</v>
      </c>
      <c r="H8" s="16">
        <v>42539</v>
      </c>
      <c r="I8" s="16">
        <v>42552</v>
      </c>
      <c r="J8" s="16">
        <v>42585</v>
      </c>
      <c r="K8" s="16">
        <v>42624</v>
      </c>
      <c r="L8" s="16">
        <v>42642</v>
      </c>
      <c r="M8" s="16">
        <v>42655</v>
      </c>
      <c r="N8" s="16">
        <v>42676</v>
      </c>
      <c r="O8" s="16">
        <v>42725</v>
      </c>
      <c r="P8" s="16">
        <v>42755</v>
      </c>
      <c r="Q8" s="16">
        <v>42762</v>
      </c>
      <c r="R8" s="16">
        <v>42837</v>
      </c>
      <c r="S8" s="16">
        <v>42849</v>
      </c>
      <c r="T8" s="16">
        <v>42878</v>
      </c>
      <c r="U8" s="16">
        <v>42902</v>
      </c>
      <c r="V8" s="16">
        <v>42910</v>
      </c>
      <c r="W8" s="16">
        <v>42935</v>
      </c>
      <c r="X8" s="16">
        <v>42937</v>
      </c>
      <c r="Y8" s="16">
        <v>42941</v>
      </c>
      <c r="Z8" s="16">
        <v>42943</v>
      </c>
      <c r="AA8" s="16">
        <v>42990</v>
      </c>
      <c r="AB8" s="16">
        <v>42984</v>
      </c>
      <c r="AC8" s="38">
        <v>43020</v>
      </c>
      <c r="AD8" s="8"/>
    </row>
    <row r="9" spans="1:30" x14ac:dyDescent="0.35">
      <c r="A9" s="35" t="s">
        <v>0</v>
      </c>
      <c r="B9" s="14" t="s">
        <v>165</v>
      </c>
      <c r="C9" s="12" t="s">
        <v>179</v>
      </c>
      <c r="D9" s="12" t="s">
        <v>180</v>
      </c>
      <c r="E9" s="12" t="s">
        <v>181</v>
      </c>
      <c r="F9" s="12" t="s">
        <v>180</v>
      </c>
      <c r="G9" s="12" t="s">
        <v>182</v>
      </c>
      <c r="H9" s="12" t="s">
        <v>183</v>
      </c>
      <c r="I9" s="12" t="s">
        <v>184</v>
      </c>
      <c r="J9" s="12" t="s">
        <v>180</v>
      </c>
      <c r="K9" s="12" t="s">
        <v>182</v>
      </c>
      <c r="L9" s="12" t="s">
        <v>181</v>
      </c>
      <c r="M9" s="12" t="s">
        <v>184</v>
      </c>
      <c r="N9" s="12" t="s">
        <v>179</v>
      </c>
      <c r="O9" s="12" t="s">
        <v>185</v>
      </c>
      <c r="P9" s="12" t="s">
        <v>181</v>
      </c>
      <c r="Q9" s="12" t="s">
        <v>186</v>
      </c>
      <c r="R9" s="12" t="s">
        <v>187</v>
      </c>
      <c r="S9" s="12" t="s">
        <v>188</v>
      </c>
      <c r="T9" s="12" t="s">
        <v>187</v>
      </c>
      <c r="U9" s="12" t="s">
        <v>187</v>
      </c>
      <c r="V9" s="12" t="s">
        <v>182</v>
      </c>
      <c r="W9" s="12" t="s">
        <v>187</v>
      </c>
      <c r="X9" s="12" t="s">
        <v>186</v>
      </c>
      <c r="Y9" s="12" t="s">
        <v>189</v>
      </c>
      <c r="Z9" s="12" t="s">
        <v>190</v>
      </c>
      <c r="AA9" s="12" t="s">
        <v>187</v>
      </c>
      <c r="AB9" s="12" t="s">
        <v>180</v>
      </c>
      <c r="AC9" s="36" t="s">
        <v>189</v>
      </c>
    </row>
    <row r="10" spans="1:30" x14ac:dyDescent="0.35">
      <c r="A10" s="35" t="s">
        <v>205</v>
      </c>
      <c r="B10" s="14" t="s">
        <v>166</v>
      </c>
      <c r="C10" s="12">
        <v>22</v>
      </c>
      <c r="D10" s="12">
        <v>39</v>
      </c>
      <c r="E10" s="12">
        <v>1</v>
      </c>
      <c r="F10" s="12">
        <v>40</v>
      </c>
      <c r="G10" s="12">
        <v>48</v>
      </c>
      <c r="H10" s="12">
        <v>42</v>
      </c>
      <c r="I10" s="12">
        <v>43</v>
      </c>
      <c r="J10" s="12">
        <v>6</v>
      </c>
      <c r="K10" s="12">
        <v>32</v>
      </c>
      <c r="L10" s="12">
        <v>5</v>
      </c>
      <c r="M10" s="12">
        <v>46</v>
      </c>
      <c r="N10" s="12">
        <v>21</v>
      </c>
      <c r="O10" s="12">
        <v>29</v>
      </c>
      <c r="P10" s="12">
        <v>9</v>
      </c>
      <c r="Q10" s="13">
        <v>5</v>
      </c>
      <c r="R10" s="13">
        <v>9</v>
      </c>
      <c r="S10" s="13">
        <v>14</v>
      </c>
      <c r="T10" s="13">
        <v>37</v>
      </c>
      <c r="U10" s="13">
        <v>1</v>
      </c>
      <c r="V10" s="13">
        <v>1</v>
      </c>
      <c r="W10" s="13">
        <v>1</v>
      </c>
      <c r="X10" s="13">
        <v>11</v>
      </c>
      <c r="Y10" s="13">
        <v>19</v>
      </c>
      <c r="Z10" s="13">
        <v>55</v>
      </c>
      <c r="AA10" s="13">
        <v>22</v>
      </c>
      <c r="AB10" s="13">
        <v>19</v>
      </c>
      <c r="AC10" s="39">
        <v>58</v>
      </c>
      <c r="AD10" s="7"/>
    </row>
    <row r="11" spans="1:30" x14ac:dyDescent="0.35">
      <c r="A11" s="35" t="s">
        <v>208</v>
      </c>
      <c r="B11" s="14" t="s">
        <v>274</v>
      </c>
      <c r="C11" s="12" t="s">
        <v>216</v>
      </c>
      <c r="D11" s="12" t="s">
        <v>209</v>
      </c>
      <c r="E11" s="12" t="s">
        <v>209</v>
      </c>
      <c r="F11" s="12" t="s">
        <v>209</v>
      </c>
      <c r="G11" s="12" t="s">
        <v>216</v>
      </c>
      <c r="H11" s="12" t="s">
        <v>216</v>
      </c>
      <c r="I11" s="12" t="s">
        <v>216</v>
      </c>
      <c r="J11" s="12" t="s">
        <v>209</v>
      </c>
      <c r="K11" s="12" t="s">
        <v>216</v>
      </c>
      <c r="L11" s="12" t="s">
        <v>209</v>
      </c>
      <c r="M11" s="12" t="s">
        <v>216</v>
      </c>
      <c r="N11" s="12" t="s">
        <v>216</v>
      </c>
      <c r="O11" s="12" t="s">
        <v>209</v>
      </c>
      <c r="P11" s="12" t="s">
        <v>209</v>
      </c>
      <c r="Q11" s="12" t="s">
        <v>209</v>
      </c>
      <c r="R11" s="12" t="s">
        <v>209</v>
      </c>
      <c r="S11" s="12" t="s">
        <v>209</v>
      </c>
      <c r="T11" s="12" t="s">
        <v>209</v>
      </c>
      <c r="U11" s="12" t="s">
        <v>209</v>
      </c>
      <c r="V11" s="12" t="s">
        <v>209</v>
      </c>
      <c r="W11" s="12" t="s">
        <v>209</v>
      </c>
      <c r="X11" s="12" t="s">
        <v>209</v>
      </c>
      <c r="Y11" s="12" t="s">
        <v>209</v>
      </c>
      <c r="Z11" s="12" t="s">
        <v>209</v>
      </c>
      <c r="AA11" s="12" t="s">
        <v>209</v>
      </c>
      <c r="AB11" s="12" t="s">
        <v>209</v>
      </c>
      <c r="AC11" s="36" t="s">
        <v>209</v>
      </c>
    </row>
    <row r="12" spans="1:30" x14ac:dyDescent="0.35">
      <c r="A12" s="35" t="s">
        <v>6</v>
      </c>
      <c r="B12" s="14" t="s">
        <v>167</v>
      </c>
      <c r="C12" s="12" t="s">
        <v>191</v>
      </c>
      <c r="D12" s="12" t="s">
        <v>191</v>
      </c>
      <c r="E12" s="12" t="s">
        <v>191</v>
      </c>
      <c r="F12" s="12" t="s">
        <v>191</v>
      </c>
      <c r="G12" s="12" t="s">
        <v>191</v>
      </c>
      <c r="H12" s="12" t="s">
        <v>191</v>
      </c>
      <c r="I12" s="12" t="s">
        <v>191</v>
      </c>
      <c r="J12" s="12" t="s">
        <v>191</v>
      </c>
      <c r="K12" s="12" t="s">
        <v>191</v>
      </c>
      <c r="L12" s="12" t="s">
        <v>191</v>
      </c>
      <c r="M12" s="12" t="s">
        <v>191</v>
      </c>
      <c r="N12" s="12" t="s">
        <v>191</v>
      </c>
      <c r="O12" s="12" t="s">
        <v>191</v>
      </c>
      <c r="P12" s="12" t="s">
        <v>191</v>
      </c>
      <c r="Q12" s="12" t="s">
        <v>191</v>
      </c>
      <c r="R12" s="12" t="s">
        <v>191</v>
      </c>
      <c r="S12" s="12" t="s">
        <v>191</v>
      </c>
      <c r="T12" s="12" t="s">
        <v>191</v>
      </c>
      <c r="U12" s="12" t="s">
        <v>191</v>
      </c>
      <c r="V12" s="12" t="s">
        <v>191</v>
      </c>
      <c r="W12" s="12" t="s">
        <v>191</v>
      </c>
      <c r="X12" s="12" t="s">
        <v>191</v>
      </c>
      <c r="Y12" s="12" t="s">
        <v>191</v>
      </c>
      <c r="Z12" s="12" t="s">
        <v>191</v>
      </c>
      <c r="AA12" s="12" t="s">
        <v>191</v>
      </c>
      <c r="AB12" s="12" t="s">
        <v>191</v>
      </c>
      <c r="AC12" s="36" t="s">
        <v>191</v>
      </c>
    </row>
    <row r="13" spans="1:30" x14ac:dyDescent="0.35">
      <c r="A13" s="35" t="s">
        <v>5</v>
      </c>
      <c r="B13" s="14" t="s">
        <v>168</v>
      </c>
      <c r="C13" s="12" t="s">
        <v>192</v>
      </c>
      <c r="D13" s="12" t="s">
        <v>192</v>
      </c>
      <c r="E13" s="12" t="s">
        <v>192</v>
      </c>
      <c r="F13" s="12" t="s">
        <v>193</v>
      </c>
      <c r="G13" s="12" t="s">
        <v>193</v>
      </c>
      <c r="H13" s="12" t="s">
        <v>192</v>
      </c>
      <c r="I13" s="12" t="s">
        <v>192</v>
      </c>
      <c r="J13" s="12" t="s">
        <v>193</v>
      </c>
      <c r="K13" s="12" t="s">
        <v>194</v>
      </c>
      <c r="L13" s="12" t="s">
        <v>193</v>
      </c>
      <c r="M13" s="12" t="s">
        <v>193</v>
      </c>
      <c r="N13" s="12" t="s">
        <v>194</v>
      </c>
      <c r="O13" s="12" t="s">
        <v>194</v>
      </c>
      <c r="P13" s="12" t="s">
        <v>193</v>
      </c>
      <c r="Q13" s="12" t="s">
        <v>193</v>
      </c>
      <c r="R13" s="13" t="s">
        <v>192</v>
      </c>
      <c r="S13" s="13" t="s">
        <v>192</v>
      </c>
      <c r="T13" s="13" t="s">
        <v>193</v>
      </c>
      <c r="U13" s="13" t="s">
        <v>193</v>
      </c>
      <c r="V13" s="13" t="s">
        <v>193</v>
      </c>
      <c r="W13" s="13" t="s">
        <v>193</v>
      </c>
      <c r="X13" s="13" t="s">
        <v>194</v>
      </c>
      <c r="Y13" s="13" t="s">
        <v>193</v>
      </c>
      <c r="Z13" s="13" t="s">
        <v>194</v>
      </c>
      <c r="AA13" s="13" t="s">
        <v>194</v>
      </c>
      <c r="AB13" s="13" t="s">
        <v>192</v>
      </c>
      <c r="AC13" s="39" t="s">
        <v>192</v>
      </c>
    </row>
    <row r="14" spans="1:30" x14ac:dyDescent="0.35">
      <c r="A14" s="35" t="s">
        <v>10</v>
      </c>
      <c r="B14" s="14" t="s">
        <v>170</v>
      </c>
      <c r="C14" s="17">
        <v>700000</v>
      </c>
      <c r="D14" s="17">
        <v>1200000</v>
      </c>
      <c r="E14" s="17">
        <v>1200000</v>
      </c>
      <c r="F14" s="17">
        <v>1516900</v>
      </c>
      <c r="G14" s="17">
        <v>963200</v>
      </c>
      <c r="H14" s="17">
        <v>1500000</v>
      </c>
      <c r="I14" s="17">
        <v>1156900</v>
      </c>
      <c r="J14" s="17">
        <v>808550</v>
      </c>
      <c r="K14" s="17">
        <v>940000</v>
      </c>
      <c r="L14" s="17">
        <v>1400000</v>
      </c>
      <c r="M14" s="17">
        <v>1156900</v>
      </c>
      <c r="N14" s="17">
        <v>1121400</v>
      </c>
      <c r="O14" s="17">
        <v>941000</v>
      </c>
      <c r="P14" s="17">
        <v>1480500</v>
      </c>
      <c r="Q14" s="17">
        <v>951750</v>
      </c>
      <c r="R14" s="17">
        <v>787000</v>
      </c>
      <c r="S14" s="17">
        <v>870000</v>
      </c>
      <c r="T14" s="17">
        <v>787000</v>
      </c>
      <c r="U14" s="17">
        <v>789000</v>
      </c>
      <c r="V14" s="17">
        <v>850000</v>
      </c>
      <c r="W14" s="17">
        <v>789000</v>
      </c>
      <c r="X14" s="17">
        <v>951750</v>
      </c>
      <c r="Y14" s="17">
        <v>1542681</v>
      </c>
      <c r="Z14" s="17">
        <v>1480500</v>
      </c>
      <c r="AA14" s="17">
        <v>789357</v>
      </c>
      <c r="AB14" s="17">
        <v>840000</v>
      </c>
      <c r="AC14" s="40">
        <v>1700000</v>
      </c>
      <c r="AD14" s="3"/>
    </row>
    <row r="15" spans="1:30" x14ac:dyDescent="0.35">
      <c r="A15" s="35" t="s">
        <v>7</v>
      </c>
      <c r="B15" s="14" t="s">
        <v>177</v>
      </c>
      <c r="C15" s="12" t="s">
        <v>195</v>
      </c>
      <c r="D15" s="12" t="s">
        <v>195</v>
      </c>
      <c r="E15" s="12" t="s">
        <v>195</v>
      </c>
      <c r="F15" s="12" t="s">
        <v>195</v>
      </c>
      <c r="G15" s="12" t="s">
        <v>195</v>
      </c>
      <c r="H15" s="12" t="s">
        <v>195</v>
      </c>
      <c r="I15" s="12" t="s">
        <v>195</v>
      </c>
      <c r="J15" s="12" t="s">
        <v>195</v>
      </c>
      <c r="K15" s="12" t="s">
        <v>195</v>
      </c>
      <c r="L15" s="12" t="s">
        <v>195</v>
      </c>
      <c r="M15" s="12" t="s">
        <v>195</v>
      </c>
      <c r="N15" s="12" t="s">
        <v>195</v>
      </c>
      <c r="O15" s="12" t="s">
        <v>196</v>
      </c>
      <c r="P15" s="12" t="s">
        <v>196</v>
      </c>
      <c r="Q15" s="12" t="s">
        <v>197</v>
      </c>
      <c r="R15" s="12" t="s">
        <v>195</v>
      </c>
      <c r="S15" s="12" t="s">
        <v>195</v>
      </c>
      <c r="T15" s="12" t="s">
        <v>195</v>
      </c>
      <c r="U15" s="12" t="s">
        <v>195</v>
      </c>
      <c r="V15" s="12" t="s">
        <v>195</v>
      </c>
      <c r="W15" s="12" t="s">
        <v>195</v>
      </c>
      <c r="X15" s="12" t="s">
        <v>197</v>
      </c>
      <c r="Y15" s="12" t="s">
        <v>195</v>
      </c>
      <c r="Z15" s="12" t="s">
        <v>195</v>
      </c>
      <c r="AA15" s="12" t="s">
        <v>195</v>
      </c>
      <c r="AB15" s="12" t="s">
        <v>195</v>
      </c>
      <c r="AC15" s="36" t="s">
        <v>195</v>
      </c>
    </row>
    <row r="16" spans="1:30" x14ac:dyDescent="0.35">
      <c r="A16" s="35" t="s">
        <v>8</v>
      </c>
      <c r="B16" s="14" t="s">
        <v>169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9">
        <v>1.35E-2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41">
        <v>0</v>
      </c>
      <c r="AD16" s="4"/>
    </row>
    <row r="17" spans="1:30" ht="15.5" x14ac:dyDescent="0.35">
      <c r="A17" s="35" t="s">
        <v>198</v>
      </c>
      <c r="B17" s="20" t="s">
        <v>275</v>
      </c>
      <c r="C17" s="17">
        <v>77700</v>
      </c>
      <c r="D17" s="17">
        <f t="shared" ref="D17:P17" si="0">+IF(D14&gt;1378908,0,77700)</f>
        <v>77700</v>
      </c>
      <c r="E17" s="17">
        <f t="shared" si="0"/>
        <v>77700</v>
      </c>
      <c r="F17" s="17">
        <f t="shared" si="0"/>
        <v>0</v>
      </c>
      <c r="G17" s="17">
        <f t="shared" si="0"/>
        <v>77700</v>
      </c>
      <c r="H17" s="17">
        <f t="shared" si="0"/>
        <v>0</v>
      </c>
      <c r="I17" s="17">
        <f t="shared" si="0"/>
        <v>77700</v>
      </c>
      <c r="J17" s="17">
        <f t="shared" si="0"/>
        <v>77700</v>
      </c>
      <c r="K17" s="17">
        <f t="shared" si="0"/>
        <v>77700</v>
      </c>
      <c r="L17" s="17">
        <f t="shared" si="0"/>
        <v>0</v>
      </c>
      <c r="M17" s="17">
        <f t="shared" si="0"/>
        <v>77700</v>
      </c>
      <c r="N17" s="17">
        <f t="shared" si="0"/>
        <v>77700</v>
      </c>
      <c r="O17" s="17">
        <f t="shared" si="0"/>
        <v>77700</v>
      </c>
      <c r="P17" s="17">
        <f t="shared" si="0"/>
        <v>0</v>
      </c>
      <c r="Q17" s="17">
        <f t="shared" ref="Q17:AC17" si="1">+IF(Q14&gt;1475434,0,83140)</f>
        <v>83140</v>
      </c>
      <c r="R17" s="17">
        <f t="shared" si="1"/>
        <v>83140</v>
      </c>
      <c r="S17" s="17">
        <f t="shared" si="1"/>
        <v>83140</v>
      </c>
      <c r="T17" s="17">
        <f t="shared" si="1"/>
        <v>83140</v>
      </c>
      <c r="U17" s="17">
        <f t="shared" si="1"/>
        <v>83140</v>
      </c>
      <c r="V17" s="17">
        <f t="shared" si="1"/>
        <v>83140</v>
      </c>
      <c r="W17" s="17">
        <f t="shared" si="1"/>
        <v>83140</v>
      </c>
      <c r="X17" s="17">
        <f t="shared" si="1"/>
        <v>83140</v>
      </c>
      <c r="Y17" s="17">
        <f t="shared" si="1"/>
        <v>0</v>
      </c>
      <c r="Z17" s="17">
        <f t="shared" si="1"/>
        <v>0</v>
      </c>
      <c r="AA17" s="17">
        <f t="shared" si="1"/>
        <v>83140</v>
      </c>
      <c r="AB17" s="17">
        <f t="shared" si="1"/>
        <v>83140</v>
      </c>
      <c r="AC17" s="40">
        <f t="shared" si="1"/>
        <v>0</v>
      </c>
      <c r="AD17" s="3"/>
    </row>
    <row r="18" spans="1:30" x14ac:dyDescent="0.35">
      <c r="A18" s="35" t="s">
        <v>11</v>
      </c>
      <c r="B18" s="14" t="s">
        <v>173</v>
      </c>
      <c r="C18" s="17">
        <f t="shared" ref="C18:AC18" si="2">+(C14+C17)/12</f>
        <v>64808.333333333336</v>
      </c>
      <c r="D18" s="17">
        <f t="shared" si="2"/>
        <v>106475</v>
      </c>
      <c r="E18" s="17">
        <f t="shared" si="2"/>
        <v>106475</v>
      </c>
      <c r="F18" s="17">
        <f t="shared" si="2"/>
        <v>126408.33333333333</v>
      </c>
      <c r="G18" s="17">
        <f t="shared" si="2"/>
        <v>86741.666666666672</v>
      </c>
      <c r="H18" s="17">
        <f t="shared" si="2"/>
        <v>125000</v>
      </c>
      <c r="I18" s="17">
        <f t="shared" si="2"/>
        <v>102883.33333333333</v>
      </c>
      <c r="J18" s="17">
        <f t="shared" si="2"/>
        <v>73854.166666666672</v>
      </c>
      <c r="K18" s="17">
        <f t="shared" si="2"/>
        <v>84808.333333333328</v>
      </c>
      <c r="L18" s="17">
        <f t="shared" si="2"/>
        <v>116666.66666666667</v>
      </c>
      <c r="M18" s="17">
        <f t="shared" si="2"/>
        <v>102883.33333333333</v>
      </c>
      <c r="N18" s="17">
        <f t="shared" si="2"/>
        <v>99925</v>
      </c>
      <c r="O18" s="17">
        <f t="shared" si="2"/>
        <v>84891.666666666672</v>
      </c>
      <c r="P18" s="17">
        <f t="shared" si="2"/>
        <v>123375</v>
      </c>
      <c r="Q18" s="17">
        <f t="shared" si="2"/>
        <v>86240.833333333328</v>
      </c>
      <c r="R18" s="17">
        <f t="shared" si="2"/>
        <v>72511.666666666672</v>
      </c>
      <c r="S18" s="17">
        <f t="shared" si="2"/>
        <v>79428.333333333328</v>
      </c>
      <c r="T18" s="17">
        <f t="shared" si="2"/>
        <v>72511.666666666672</v>
      </c>
      <c r="U18" s="17">
        <f t="shared" si="2"/>
        <v>72678.333333333328</v>
      </c>
      <c r="V18" s="17">
        <f t="shared" si="2"/>
        <v>77761.666666666672</v>
      </c>
      <c r="W18" s="17">
        <f t="shared" si="2"/>
        <v>72678.333333333328</v>
      </c>
      <c r="X18" s="17">
        <f t="shared" si="2"/>
        <v>86240.833333333328</v>
      </c>
      <c r="Y18" s="17">
        <f t="shared" si="2"/>
        <v>128556.75</v>
      </c>
      <c r="Z18" s="17">
        <f t="shared" si="2"/>
        <v>123375</v>
      </c>
      <c r="AA18" s="17">
        <f t="shared" si="2"/>
        <v>72708.083333333328</v>
      </c>
      <c r="AB18" s="17">
        <f t="shared" si="2"/>
        <v>76928.333333333328</v>
      </c>
      <c r="AC18" s="40">
        <f t="shared" si="2"/>
        <v>141666.66666666666</v>
      </c>
      <c r="AD18" s="3"/>
    </row>
    <row r="19" spans="1:30" x14ac:dyDescent="0.35">
      <c r="A19" s="35" t="s">
        <v>12</v>
      </c>
      <c r="B19" s="14" t="s">
        <v>172</v>
      </c>
      <c r="C19" s="17">
        <f t="shared" ref="C19:AC19" si="3">+(C14+C17)/12</f>
        <v>64808.333333333336</v>
      </c>
      <c r="D19" s="17">
        <f t="shared" si="3"/>
        <v>106475</v>
      </c>
      <c r="E19" s="17">
        <f t="shared" si="3"/>
        <v>106475</v>
      </c>
      <c r="F19" s="17">
        <f t="shared" si="3"/>
        <v>126408.33333333333</v>
      </c>
      <c r="G19" s="17">
        <f t="shared" si="3"/>
        <v>86741.666666666672</v>
      </c>
      <c r="H19" s="17">
        <f t="shared" si="3"/>
        <v>125000</v>
      </c>
      <c r="I19" s="17">
        <f t="shared" si="3"/>
        <v>102883.33333333333</v>
      </c>
      <c r="J19" s="17">
        <f t="shared" si="3"/>
        <v>73854.166666666672</v>
      </c>
      <c r="K19" s="17">
        <f t="shared" si="3"/>
        <v>84808.333333333328</v>
      </c>
      <c r="L19" s="17">
        <f t="shared" si="3"/>
        <v>116666.66666666667</v>
      </c>
      <c r="M19" s="17">
        <f t="shared" si="3"/>
        <v>102883.33333333333</v>
      </c>
      <c r="N19" s="17">
        <f t="shared" si="3"/>
        <v>99925</v>
      </c>
      <c r="O19" s="17">
        <f t="shared" si="3"/>
        <v>84891.666666666672</v>
      </c>
      <c r="P19" s="17">
        <f t="shared" si="3"/>
        <v>123375</v>
      </c>
      <c r="Q19" s="17">
        <f t="shared" si="3"/>
        <v>86240.833333333328</v>
      </c>
      <c r="R19" s="17">
        <f t="shared" si="3"/>
        <v>72511.666666666672</v>
      </c>
      <c r="S19" s="17">
        <f t="shared" si="3"/>
        <v>79428.333333333328</v>
      </c>
      <c r="T19" s="17">
        <f t="shared" si="3"/>
        <v>72511.666666666672</v>
      </c>
      <c r="U19" s="17">
        <f t="shared" si="3"/>
        <v>72678.333333333328</v>
      </c>
      <c r="V19" s="17">
        <f t="shared" si="3"/>
        <v>77761.666666666672</v>
      </c>
      <c r="W19" s="17">
        <f t="shared" si="3"/>
        <v>72678.333333333328</v>
      </c>
      <c r="X19" s="17">
        <f t="shared" si="3"/>
        <v>86240.833333333328</v>
      </c>
      <c r="Y19" s="17">
        <f t="shared" si="3"/>
        <v>128556.75</v>
      </c>
      <c r="Z19" s="17">
        <f t="shared" si="3"/>
        <v>123375</v>
      </c>
      <c r="AA19" s="17">
        <f t="shared" si="3"/>
        <v>72708.083333333328</v>
      </c>
      <c r="AB19" s="17">
        <f t="shared" si="3"/>
        <v>76928.333333333328</v>
      </c>
      <c r="AC19" s="40">
        <f t="shared" si="3"/>
        <v>141666.66666666666</v>
      </c>
      <c r="AD19" s="3"/>
    </row>
    <row r="20" spans="1:30" x14ac:dyDescent="0.35">
      <c r="A20" s="35" t="s">
        <v>13</v>
      </c>
      <c r="B20" s="14" t="s">
        <v>171</v>
      </c>
      <c r="C20" s="17">
        <f>+C18*12%</f>
        <v>7777</v>
      </c>
      <c r="D20" s="17">
        <f t="shared" ref="D20:AC20" si="4">+D18*12%</f>
        <v>12777</v>
      </c>
      <c r="E20" s="17">
        <f t="shared" si="4"/>
        <v>12777</v>
      </c>
      <c r="F20" s="17">
        <f t="shared" si="4"/>
        <v>15168.999999999998</v>
      </c>
      <c r="G20" s="17">
        <f t="shared" si="4"/>
        <v>10409</v>
      </c>
      <c r="H20" s="17">
        <f t="shared" si="4"/>
        <v>15000</v>
      </c>
      <c r="I20" s="17">
        <f t="shared" si="4"/>
        <v>12345.999999999998</v>
      </c>
      <c r="J20" s="17">
        <f t="shared" si="4"/>
        <v>8862.5</v>
      </c>
      <c r="K20" s="17">
        <f t="shared" si="4"/>
        <v>10176.999999999998</v>
      </c>
      <c r="L20" s="17">
        <f t="shared" si="4"/>
        <v>14000</v>
      </c>
      <c r="M20" s="17">
        <f t="shared" si="4"/>
        <v>12345.999999999998</v>
      </c>
      <c r="N20" s="17">
        <f t="shared" si="4"/>
        <v>11991</v>
      </c>
      <c r="O20" s="17">
        <f t="shared" si="4"/>
        <v>10187</v>
      </c>
      <c r="P20" s="17">
        <f t="shared" si="4"/>
        <v>14805</v>
      </c>
      <c r="Q20" s="17">
        <f t="shared" si="4"/>
        <v>10348.9</v>
      </c>
      <c r="R20" s="17">
        <f t="shared" si="4"/>
        <v>8701.4</v>
      </c>
      <c r="S20" s="17">
        <f t="shared" si="4"/>
        <v>9531.4</v>
      </c>
      <c r="T20" s="17">
        <f t="shared" si="4"/>
        <v>8701.4</v>
      </c>
      <c r="U20" s="17">
        <f t="shared" si="4"/>
        <v>8721.4</v>
      </c>
      <c r="V20" s="17">
        <f t="shared" si="4"/>
        <v>9331.4</v>
      </c>
      <c r="W20" s="17">
        <f t="shared" si="4"/>
        <v>8721.4</v>
      </c>
      <c r="X20" s="17">
        <f t="shared" si="4"/>
        <v>10348.9</v>
      </c>
      <c r="Y20" s="17">
        <f t="shared" si="4"/>
        <v>15426.81</v>
      </c>
      <c r="Z20" s="17">
        <f t="shared" si="4"/>
        <v>14805</v>
      </c>
      <c r="AA20" s="17">
        <f t="shared" si="4"/>
        <v>8724.9699999999993</v>
      </c>
      <c r="AB20" s="17">
        <f t="shared" si="4"/>
        <v>9231.4</v>
      </c>
      <c r="AC20" s="40">
        <f t="shared" si="4"/>
        <v>17000</v>
      </c>
      <c r="AD20" s="3"/>
    </row>
    <row r="21" spans="1:30" x14ac:dyDescent="0.35">
      <c r="A21" s="35" t="s">
        <v>14</v>
      </c>
      <c r="B21" s="14" t="s">
        <v>174</v>
      </c>
      <c r="C21" s="17">
        <f t="shared" ref="C21:AC21" si="5">+((C14*360)/720)/12</f>
        <v>29166.666666666668</v>
      </c>
      <c r="D21" s="17">
        <f t="shared" si="5"/>
        <v>50000</v>
      </c>
      <c r="E21" s="17">
        <f t="shared" si="5"/>
        <v>50000</v>
      </c>
      <c r="F21" s="17">
        <f t="shared" si="5"/>
        <v>63204.166666666664</v>
      </c>
      <c r="G21" s="17">
        <f t="shared" si="5"/>
        <v>40133.333333333336</v>
      </c>
      <c r="H21" s="17">
        <f t="shared" si="5"/>
        <v>62500</v>
      </c>
      <c r="I21" s="17">
        <f t="shared" si="5"/>
        <v>48204.166666666664</v>
      </c>
      <c r="J21" s="17">
        <f t="shared" si="5"/>
        <v>33689.583333333336</v>
      </c>
      <c r="K21" s="17">
        <f t="shared" si="5"/>
        <v>39166.666666666664</v>
      </c>
      <c r="L21" s="17">
        <f t="shared" si="5"/>
        <v>58333.333333333336</v>
      </c>
      <c r="M21" s="17">
        <f t="shared" si="5"/>
        <v>48204.166666666664</v>
      </c>
      <c r="N21" s="17">
        <f t="shared" si="5"/>
        <v>46725</v>
      </c>
      <c r="O21" s="17">
        <f t="shared" si="5"/>
        <v>39208.333333333336</v>
      </c>
      <c r="P21" s="17">
        <f t="shared" si="5"/>
        <v>61687.5</v>
      </c>
      <c r="Q21" s="17">
        <f t="shared" si="5"/>
        <v>39656.25</v>
      </c>
      <c r="R21" s="17">
        <f t="shared" si="5"/>
        <v>32791.666666666664</v>
      </c>
      <c r="S21" s="17">
        <f t="shared" si="5"/>
        <v>36250</v>
      </c>
      <c r="T21" s="17">
        <f t="shared" si="5"/>
        <v>32791.666666666664</v>
      </c>
      <c r="U21" s="17">
        <f t="shared" si="5"/>
        <v>32875</v>
      </c>
      <c r="V21" s="17">
        <f t="shared" si="5"/>
        <v>35416.666666666664</v>
      </c>
      <c r="W21" s="17">
        <f t="shared" si="5"/>
        <v>32875</v>
      </c>
      <c r="X21" s="17">
        <f t="shared" si="5"/>
        <v>39656.25</v>
      </c>
      <c r="Y21" s="17">
        <f t="shared" si="5"/>
        <v>64278.375</v>
      </c>
      <c r="Z21" s="17">
        <f t="shared" si="5"/>
        <v>61687.5</v>
      </c>
      <c r="AA21" s="17">
        <f t="shared" si="5"/>
        <v>32889.875</v>
      </c>
      <c r="AB21" s="17">
        <f t="shared" si="5"/>
        <v>35000</v>
      </c>
      <c r="AC21" s="40">
        <f t="shared" si="5"/>
        <v>70833.333333333328</v>
      </c>
      <c r="AD21" s="3"/>
    </row>
    <row r="22" spans="1:30" x14ac:dyDescent="0.35">
      <c r="A22" s="35" t="s">
        <v>15</v>
      </c>
      <c r="B22" s="14" t="s">
        <v>175</v>
      </c>
      <c r="C22" s="17">
        <f t="shared" ref="C22:AC22" si="6">+C14*12%</f>
        <v>84000</v>
      </c>
      <c r="D22" s="17">
        <f t="shared" si="6"/>
        <v>144000</v>
      </c>
      <c r="E22" s="17">
        <f t="shared" si="6"/>
        <v>144000</v>
      </c>
      <c r="F22" s="17">
        <f t="shared" si="6"/>
        <v>182028</v>
      </c>
      <c r="G22" s="17">
        <f t="shared" si="6"/>
        <v>115584</v>
      </c>
      <c r="H22" s="17">
        <f t="shared" si="6"/>
        <v>180000</v>
      </c>
      <c r="I22" s="17">
        <f t="shared" si="6"/>
        <v>138828</v>
      </c>
      <c r="J22" s="17">
        <f t="shared" si="6"/>
        <v>97026</v>
      </c>
      <c r="K22" s="17">
        <f t="shared" si="6"/>
        <v>112800</v>
      </c>
      <c r="L22" s="17">
        <f t="shared" si="6"/>
        <v>168000</v>
      </c>
      <c r="M22" s="17">
        <f t="shared" si="6"/>
        <v>138828</v>
      </c>
      <c r="N22" s="17">
        <f t="shared" si="6"/>
        <v>134568</v>
      </c>
      <c r="O22" s="17">
        <f t="shared" si="6"/>
        <v>112920</v>
      </c>
      <c r="P22" s="17">
        <f t="shared" si="6"/>
        <v>177660</v>
      </c>
      <c r="Q22" s="17">
        <f t="shared" si="6"/>
        <v>114210</v>
      </c>
      <c r="R22" s="17">
        <f t="shared" si="6"/>
        <v>94440</v>
      </c>
      <c r="S22" s="17">
        <f t="shared" si="6"/>
        <v>104400</v>
      </c>
      <c r="T22" s="17">
        <f t="shared" si="6"/>
        <v>94440</v>
      </c>
      <c r="U22" s="17">
        <f t="shared" si="6"/>
        <v>94680</v>
      </c>
      <c r="V22" s="17">
        <f t="shared" si="6"/>
        <v>102000</v>
      </c>
      <c r="W22" s="17">
        <f t="shared" si="6"/>
        <v>94680</v>
      </c>
      <c r="X22" s="17">
        <f t="shared" si="6"/>
        <v>114210</v>
      </c>
      <c r="Y22" s="17">
        <f t="shared" si="6"/>
        <v>185121.72</v>
      </c>
      <c r="Z22" s="17">
        <f t="shared" si="6"/>
        <v>177660</v>
      </c>
      <c r="AA22" s="17">
        <f t="shared" si="6"/>
        <v>94722.84</v>
      </c>
      <c r="AB22" s="17">
        <f t="shared" si="6"/>
        <v>100800</v>
      </c>
      <c r="AC22" s="40">
        <f t="shared" si="6"/>
        <v>204000</v>
      </c>
      <c r="AD22" s="3"/>
    </row>
    <row r="23" spans="1:30" x14ac:dyDescent="0.35">
      <c r="A23" s="35" t="s">
        <v>16</v>
      </c>
      <c r="B23" s="14" t="s">
        <v>176</v>
      </c>
      <c r="C23" s="17">
        <f t="shared" ref="C23:AC23" si="7">+C14*8.5%</f>
        <v>59500.000000000007</v>
      </c>
      <c r="D23" s="17">
        <f t="shared" si="7"/>
        <v>102000.00000000001</v>
      </c>
      <c r="E23" s="17">
        <f t="shared" si="7"/>
        <v>102000.00000000001</v>
      </c>
      <c r="F23" s="17">
        <f t="shared" si="7"/>
        <v>128936.50000000001</v>
      </c>
      <c r="G23" s="17">
        <f t="shared" si="7"/>
        <v>81872</v>
      </c>
      <c r="H23" s="17">
        <f t="shared" si="7"/>
        <v>127500.00000000001</v>
      </c>
      <c r="I23" s="17">
        <f t="shared" si="7"/>
        <v>98336.5</v>
      </c>
      <c r="J23" s="17">
        <f t="shared" si="7"/>
        <v>68726.75</v>
      </c>
      <c r="K23" s="17">
        <f t="shared" si="7"/>
        <v>79900</v>
      </c>
      <c r="L23" s="17">
        <f t="shared" si="7"/>
        <v>119000.00000000001</v>
      </c>
      <c r="M23" s="17">
        <f t="shared" si="7"/>
        <v>98336.5</v>
      </c>
      <c r="N23" s="17">
        <f t="shared" si="7"/>
        <v>95319</v>
      </c>
      <c r="O23" s="17">
        <f t="shared" si="7"/>
        <v>79985</v>
      </c>
      <c r="P23" s="17">
        <f t="shared" si="7"/>
        <v>125842.50000000001</v>
      </c>
      <c r="Q23" s="17">
        <f t="shared" si="7"/>
        <v>80898.75</v>
      </c>
      <c r="R23" s="17">
        <f t="shared" si="7"/>
        <v>66895</v>
      </c>
      <c r="S23" s="17">
        <f t="shared" si="7"/>
        <v>73950</v>
      </c>
      <c r="T23" s="17">
        <f t="shared" si="7"/>
        <v>66895</v>
      </c>
      <c r="U23" s="17">
        <f t="shared" si="7"/>
        <v>67065</v>
      </c>
      <c r="V23" s="17">
        <f t="shared" si="7"/>
        <v>72250</v>
      </c>
      <c r="W23" s="17">
        <f t="shared" si="7"/>
        <v>67065</v>
      </c>
      <c r="X23" s="17">
        <f t="shared" si="7"/>
        <v>80898.75</v>
      </c>
      <c r="Y23" s="17">
        <f t="shared" si="7"/>
        <v>131127.88500000001</v>
      </c>
      <c r="Z23" s="17">
        <f t="shared" si="7"/>
        <v>125842.50000000001</v>
      </c>
      <c r="AA23" s="17">
        <f t="shared" si="7"/>
        <v>67095.345000000001</v>
      </c>
      <c r="AB23" s="17">
        <f t="shared" si="7"/>
        <v>71400</v>
      </c>
      <c r="AC23" s="40">
        <f t="shared" si="7"/>
        <v>144500</v>
      </c>
      <c r="AD23" s="3"/>
    </row>
    <row r="24" spans="1:30" x14ac:dyDescent="0.35">
      <c r="A24" s="35" t="s">
        <v>206</v>
      </c>
      <c r="B24" s="14" t="s">
        <v>276</v>
      </c>
      <c r="C24" s="17">
        <f>0.0435*C14</f>
        <v>30449.999999999996</v>
      </c>
      <c r="D24" s="17">
        <f t="shared" ref="D24:AC24" si="8">0.0435*D14</f>
        <v>52200</v>
      </c>
      <c r="E24" s="17">
        <f t="shared" si="8"/>
        <v>52200</v>
      </c>
      <c r="F24" s="17">
        <f t="shared" si="8"/>
        <v>65985.149999999994</v>
      </c>
      <c r="G24" s="17">
        <f t="shared" si="8"/>
        <v>41899.199999999997</v>
      </c>
      <c r="H24" s="17">
        <f t="shared" si="8"/>
        <v>65249.999999999993</v>
      </c>
      <c r="I24" s="17">
        <f t="shared" si="8"/>
        <v>50325.149999999994</v>
      </c>
      <c r="J24" s="17">
        <f t="shared" si="8"/>
        <v>35171.924999999996</v>
      </c>
      <c r="K24" s="17">
        <f t="shared" si="8"/>
        <v>40890</v>
      </c>
      <c r="L24" s="17">
        <f t="shared" si="8"/>
        <v>60899.999999999993</v>
      </c>
      <c r="M24" s="17">
        <f t="shared" si="8"/>
        <v>50325.149999999994</v>
      </c>
      <c r="N24" s="17">
        <f t="shared" si="8"/>
        <v>48780.899999999994</v>
      </c>
      <c r="O24" s="17">
        <f t="shared" si="8"/>
        <v>40933.5</v>
      </c>
      <c r="P24" s="17">
        <f t="shared" si="8"/>
        <v>64401.749999999993</v>
      </c>
      <c r="Q24" s="17">
        <f t="shared" si="8"/>
        <v>41401.125</v>
      </c>
      <c r="R24" s="17">
        <f t="shared" si="8"/>
        <v>34234.5</v>
      </c>
      <c r="S24" s="17">
        <f t="shared" si="8"/>
        <v>37845</v>
      </c>
      <c r="T24" s="17">
        <f t="shared" si="8"/>
        <v>34234.5</v>
      </c>
      <c r="U24" s="17">
        <f t="shared" si="8"/>
        <v>34321.5</v>
      </c>
      <c r="V24" s="17">
        <f t="shared" si="8"/>
        <v>36975</v>
      </c>
      <c r="W24" s="17">
        <f t="shared" si="8"/>
        <v>34321.5</v>
      </c>
      <c r="X24" s="17">
        <f t="shared" si="8"/>
        <v>41401.125</v>
      </c>
      <c r="Y24" s="17">
        <f t="shared" si="8"/>
        <v>67106.623500000002</v>
      </c>
      <c r="Z24" s="17">
        <f t="shared" si="8"/>
        <v>64401.749999999993</v>
      </c>
      <c r="AA24" s="17">
        <f t="shared" si="8"/>
        <v>34337.029499999997</v>
      </c>
      <c r="AB24" s="17">
        <f t="shared" si="8"/>
        <v>36540</v>
      </c>
      <c r="AC24" s="40">
        <f t="shared" si="8"/>
        <v>73950</v>
      </c>
      <c r="AD24" s="3"/>
    </row>
    <row r="25" spans="1:30" x14ac:dyDescent="0.35">
      <c r="A25" s="35" t="s">
        <v>207</v>
      </c>
      <c r="B25" s="14" t="s">
        <v>277</v>
      </c>
      <c r="C25" s="17">
        <f>+C14*4%</f>
        <v>28000</v>
      </c>
      <c r="D25" s="17">
        <f t="shared" ref="D25:AC25" si="9">+D14*4%</f>
        <v>48000</v>
      </c>
      <c r="E25" s="17">
        <f t="shared" si="9"/>
        <v>48000</v>
      </c>
      <c r="F25" s="17">
        <f t="shared" si="9"/>
        <v>60676</v>
      </c>
      <c r="G25" s="17">
        <f t="shared" si="9"/>
        <v>38528</v>
      </c>
      <c r="H25" s="17">
        <f t="shared" si="9"/>
        <v>60000</v>
      </c>
      <c r="I25" s="17">
        <f t="shared" si="9"/>
        <v>46276</v>
      </c>
      <c r="J25" s="17">
        <f t="shared" si="9"/>
        <v>32342</v>
      </c>
      <c r="K25" s="17">
        <f t="shared" si="9"/>
        <v>37600</v>
      </c>
      <c r="L25" s="17">
        <f t="shared" si="9"/>
        <v>56000</v>
      </c>
      <c r="M25" s="17">
        <f t="shared" si="9"/>
        <v>46276</v>
      </c>
      <c r="N25" s="17">
        <f t="shared" si="9"/>
        <v>44856</v>
      </c>
      <c r="O25" s="17">
        <f t="shared" si="9"/>
        <v>37640</v>
      </c>
      <c r="P25" s="17">
        <f t="shared" si="9"/>
        <v>59220</v>
      </c>
      <c r="Q25" s="17">
        <f t="shared" si="9"/>
        <v>38070</v>
      </c>
      <c r="R25" s="17">
        <f t="shared" si="9"/>
        <v>31480</v>
      </c>
      <c r="S25" s="17">
        <f t="shared" si="9"/>
        <v>34800</v>
      </c>
      <c r="T25" s="17">
        <f t="shared" si="9"/>
        <v>31480</v>
      </c>
      <c r="U25" s="17">
        <f t="shared" si="9"/>
        <v>31560</v>
      </c>
      <c r="V25" s="17">
        <f t="shared" si="9"/>
        <v>34000</v>
      </c>
      <c r="W25" s="17">
        <f t="shared" si="9"/>
        <v>31560</v>
      </c>
      <c r="X25" s="17">
        <f t="shared" si="9"/>
        <v>38070</v>
      </c>
      <c r="Y25" s="17">
        <f t="shared" si="9"/>
        <v>61707.24</v>
      </c>
      <c r="Z25" s="17">
        <f t="shared" si="9"/>
        <v>59220</v>
      </c>
      <c r="AA25" s="17">
        <f t="shared" si="9"/>
        <v>31574.280000000002</v>
      </c>
      <c r="AB25" s="17">
        <f t="shared" si="9"/>
        <v>33600</v>
      </c>
      <c r="AC25" s="40">
        <f t="shared" si="9"/>
        <v>68000</v>
      </c>
      <c r="AD25" s="5"/>
    </row>
    <row r="26" spans="1:30" ht="15.5" x14ac:dyDescent="0.35">
      <c r="A26" s="49" t="s">
        <v>9</v>
      </c>
      <c r="B26" s="50" t="s">
        <v>89</v>
      </c>
      <c r="C26" s="51">
        <f>+(C27+C28)*C29</f>
        <v>19390.279166666667</v>
      </c>
      <c r="D26" s="51">
        <f t="shared" ref="D26:AB26" si="10">+(D27+D28)*D29</f>
        <v>9294.2576388888883</v>
      </c>
      <c r="E26" s="51">
        <f t="shared" si="10"/>
        <v>0</v>
      </c>
      <c r="F26" s="51">
        <f t="shared" si="10"/>
        <v>11805.590277777777</v>
      </c>
      <c r="G26" s="51">
        <f t="shared" si="10"/>
        <v>11177.799305555556</v>
      </c>
      <c r="H26" s="51">
        <f t="shared" si="10"/>
        <v>0</v>
      </c>
      <c r="I26" s="51">
        <f t="shared" si="10"/>
        <v>0</v>
      </c>
      <c r="J26" s="51">
        <f t="shared" si="10"/>
        <v>0</v>
      </c>
      <c r="K26" s="51">
        <f t="shared" si="10"/>
        <v>0</v>
      </c>
      <c r="L26" s="51">
        <f t="shared" si="10"/>
        <v>22565.945833333335</v>
      </c>
      <c r="M26" s="51">
        <f t="shared" si="10"/>
        <v>0</v>
      </c>
      <c r="N26" s="51">
        <f t="shared" si="10"/>
        <v>20472.333333333336</v>
      </c>
      <c r="O26" s="51">
        <f t="shared" si="10"/>
        <v>23858.194444444445</v>
      </c>
      <c r="P26" s="51">
        <f t="shared" si="10"/>
        <v>21672.802361111109</v>
      </c>
      <c r="Q26" s="51">
        <f t="shared" si="10"/>
        <v>19662.121631944443</v>
      </c>
      <c r="R26" s="51">
        <f t="shared" si="10"/>
        <v>0</v>
      </c>
      <c r="S26" s="51">
        <f t="shared" si="10"/>
        <v>0</v>
      </c>
      <c r="T26" s="51">
        <f t="shared" si="10"/>
        <v>22612.236033159723</v>
      </c>
      <c r="U26" s="51">
        <f t="shared" si="10"/>
        <v>21687.600720138889</v>
      </c>
      <c r="V26" s="51">
        <f t="shared" si="10"/>
        <v>0</v>
      </c>
      <c r="W26" s="51">
        <f t="shared" si="10"/>
        <v>18642.541692361112</v>
      </c>
      <c r="X26" s="51">
        <f t="shared" si="10"/>
        <v>19662.121631944443</v>
      </c>
      <c r="Y26" s="51">
        <f t="shared" si="10"/>
        <v>0</v>
      </c>
      <c r="Z26" s="51">
        <f t="shared" si="10"/>
        <v>0</v>
      </c>
      <c r="AA26" s="51">
        <f t="shared" si="10"/>
        <v>0</v>
      </c>
      <c r="AB26" s="51">
        <f t="shared" si="10"/>
        <v>0</v>
      </c>
      <c r="AC26" s="52">
        <f>+(AC27+AC28)*AC29</f>
        <v>0</v>
      </c>
      <c r="AD26" s="5"/>
    </row>
    <row r="27" spans="1:30" ht="15.5" x14ac:dyDescent="0.35">
      <c r="A27" s="35" t="s">
        <v>17</v>
      </c>
      <c r="B27" s="20" t="s">
        <v>90</v>
      </c>
      <c r="C27" s="17">
        <v>4776</v>
      </c>
      <c r="D27" s="17">
        <v>6031.5708333333332</v>
      </c>
      <c r="E27" s="17">
        <v>0</v>
      </c>
      <c r="F27" s="17">
        <v>7915</v>
      </c>
      <c r="G27" s="17">
        <v>7287.2652777777785</v>
      </c>
      <c r="H27" s="17">
        <v>0</v>
      </c>
      <c r="I27" s="17">
        <v>0</v>
      </c>
      <c r="J27" s="17">
        <v>0</v>
      </c>
      <c r="K27" s="17">
        <v>0</v>
      </c>
      <c r="L27" s="17">
        <v>7497.6125000000002</v>
      </c>
      <c r="M27" s="17">
        <v>0</v>
      </c>
      <c r="N27" s="17">
        <v>5404</v>
      </c>
      <c r="O27" s="17">
        <v>8789.8611111111131</v>
      </c>
      <c r="P27" s="17">
        <v>8393.8336111111093</v>
      </c>
      <c r="Q27" s="17">
        <v>6383.1528819444438</v>
      </c>
      <c r="R27" s="17">
        <v>0</v>
      </c>
      <c r="S27" s="17">
        <v>0</v>
      </c>
      <c r="T27" s="17">
        <v>6288.2082553819446</v>
      </c>
      <c r="U27" s="17">
        <v>5363.572942361111</v>
      </c>
      <c r="V27" s="17">
        <v>0</v>
      </c>
      <c r="W27" s="17">
        <v>5363.572942361111</v>
      </c>
      <c r="X27" s="17">
        <v>6383.1528819444438</v>
      </c>
      <c r="Y27" s="17">
        <v>9477.1526006944441</v>
      </c>
      <c r="Z27" s="17">
        <v>9295.2781250000007</v>
      </c>
      <c r="AA27" s="17">
        <v>6140.8101326388887</v>
      </c>
      <c r="AB27" s="17">
        <v>5363.572942361111</v>
      </c>
      <c r="AC27" s="40">
        <v>0</v>
      </c>
      <c r="AD27" s="5"/>
    </row>
    <row r="28" spans="1:30" ht="15.5" x14ac:dyDescent="0.35">
      <c r="A28" s="35" t="s">
        <v>18</v>
      </c>
      <c r="B28" s="20" t="s">
        <v>91</v>
      </c>
      <c r="C28" s="17">
        <v>14614.279166666667</v>
      </c>
      <c r="D28" s="17">
        <v>12556.944444444443</v>
      </c>
      <c r="E28" s="17">
        <v>15068.333333333334</v>
      </c>
      <c r="F28" s="17">
        <v>15696.180555555557</v>
      </c>
      <c r="G28" s="17">
        <v>15068.333333333334</v>
      </c>
      <c r="H28" s="17">
        <v>0</v>
      </c>
      <c r="I28" s="17">
        <v>15696.180555555557</v>
      </c>
      <c r="J28" s="17">
        <v>15696.180555555557</v>
      </c>
      <c r="K28" s="17">
        <v>15068.333333333334</v>
      </c>
      <c r="L28" s="17">
        <v>15068.333333333334</v>
      </c>
      <c r="M28" s="17">
        <v>12556.944444444443</v>
      </c>
      <c r="N28" s="17">
        <v>15068.333333333334</v>
      </c>
      <c r="O28" s="17">
        <v>15068.333333333334</v>
      </c>
      <c r="P28" s="17">
        <v>13278.96875</v>
      </c>
      <c r="Q28" s="17">
        <v>13278.96875</v>
      </c>
      <c r="R28" s="17">
        <v>13278.96875</v>
      </c>
      <c r="S28" s="17">
        <v>15350.864583333334</v>
      </c>
      <c r="T28" s="17">
        <v>16324.027777777777</v>
      </c>
      <c r="U28" s="17">
        <v>16324.027777777777</v>
      </c>
      <c r="V28" s="17">
        <v>15350.864583333334</v>
      </c>
      <c r="W28" s="17">
        <v>13278.96875</v>
      </c>
      <c r="X28" s="17">
        <v>13278.96875</v>
      </c>
      <c r="Y28" s="17">
        <v>13278.96875</v>
      </c>
      <c r="Z28" s="17">
        <v>15350.864583333334</v>
      </c>
      <c r="AA28" s="17">
        <v>13278.96875</v>
      </c>
      <c r="AB28" s="17">
        <v>13278.96875</v>
      </c>
      <c r="AC28" s="40">
        <v>13278.96875</v>
      </c>
      <c r="AD28" s="5"/>
    </row>
    <row r="29" spans="1:30" ht="15.5" x14ac:dyDescent="0.35">
      <c r="A29" s="35" t="s">
        <v>19</v>
      </c>
      <c r="B29" s="20" t="s">
        <v>92</v>
      </c>
      <c r="C29" s="12">
        <v>1</v>
      </c>
      <c r="D29" s="12">
        <v>0.5</v>
      </c>
      <c r="E29" s="12">
        <v>0</v>
      </c>
      <c r="F29" s="12">
        <v>0.5</v>
      </c>
      <c r="G29" s="12">
        <v>0.5</v>
      </c>
      <c r="H29" s="12">
        <v>0</v>
      </c>
      <c r="I29" s="12">
        <v>0</v>
      </c>
      <c r="J29" s="12">
        <v>0</v>
      </c>
      <c r="K29" s="12">
        <v>0</v>
      </c>
      <c r="L29" s="12">
        <v>1</v>
      </c>
      <c r="M29" s="12">
        <v>0</v>
      </c>
      <c r="N29" s="12">
        <v>1</v>
      </c>
      <c r="O29" s="12">
        <v>1</v>
      </c>
      <c r="P29" s="12">
        <v>1</v>
      </c>
      <c r="Q29" s="13">
        <v>1</v>
      </c>
      <c r="R29" s="12">
        <v>0</v>
      </c>
      <c r="S29" s="12">
        <v>0</v>
      </c>
      <c r="T29" s="12">
        <v>1</v>
      </c>
      <c r="U29" s="12">
        <v>1</v>
      </c>
      <c r="V29" s="12">
        <v>0</v>
      </c>
      <c r="W29" s="12">
        <v>1</v>
      </c>
      <c r="X29" s="12">
        <v>1</v>
      </c>
      <c r="Y29" s="12">
        <v>0</v>
      </c>
      <c r="Z29" s="12">
        <v>0</v>
      </c>
      <c r="AA29" s="12">
        <v>0</v>
      </c>
      <c r="AB29" s="12">
        <v>0</v>
      </c>
      <c r="AC29" s="36">
        <v>0</v>
      </c>
      <c r="AD29" s="5"/>
    </row>
    <row r="30" spans="1:30" ht="15.5" x14ac:dyDescent="0.35">
      <c r="A30" s="49" t="s">
        <v>20</v>
      </c>
      <c r="B30" s="50" t="s">
        <v>93</v>
      </c>
      <c r="C30" s="51">
        <f>+(C31+C32)*C33</f>
        <v>18008.416666666668</v>
      </c>
      <c r="D30" s="51">
        <f t="shared" ref="D30:AC30" si="11">+(D31+D32)*D33</f>
        <v>40007.777777777781</v>
      </c>
      <c r="E30" s="51">
        <f t="shared" si="11"/>
        <v>0</v>
      </c>
      <c r="F30" s="51">
        <f t="shared" si="11"/>
        <v>13313.354166666668</v>
      </c>
      <c r="G30" s="51">
        <f t="shared" si="11"/>
        <v>13313.354166666668</v>
      </c>
      <c r="H30" s="51">
        <f t="shared" si="11"/>
        <v>13313.354166666668</v>
      </c>
      <c r="I30" s="51">
        <f t="shared" si="11"/>
        <v>57474.315972222219</v>
      </c>
      <c r="J30" s="51">
        <f t="shared" si="11"/>
        <v>21955.354166666668</v>
      </c>
      <c r="K30" s="51">
        <f t="shared" si="11"/>
        <v>22351.354166666668</v>
      </c>
      <c r="L30" s="51">
        <f t="shared" si="11"/>
        <v>44702.708333333336</v>
      </c>
      <c r="M30" s="51">
        <f t="shared" si="11"/>
        <v>19561.354166666668</v>
      </c>
      <c r="N30" s="51">
        <f t="shared" si="11"/>
        <v>18269.354166666668</v>
      </c>
      <c r="O30" s="51">
        <f t="shared" si="11"/>
        <v>18269.354166666668</v>
      </c>
      <c r="P30" s="51">
        <f t="shared" si="11"/>
        <v>37174.278124999997</v>
      </c>
      <c r="Q30" s="51">
        <f t="shared" si="11"/>
        <v>18587.139062499999</v>
      </c>
      <c r="R30" s="51">
        <f t="shared" si="11"/>
        <v>18520.493055555555</v>
      </c>
      <c r="S30" s="51">
        <f t="shared" si="11"/>
        <v>18520.493055555555</v>
      </c>
      <c r="T30" s="51">
        <f t="shared" si="11"/>
        <v>22344.639062499999</v>
      </c>
      <c r="U30" s="51">
        <f t="shared" si="11"/>
        <v>22344.639062499999</v>
      </c>
      <c r="V30" s="51">
        <f t="shared" si="11"/>
        <v>22344.639062499999</v>
      </c>
      <c r="W30" s="51">
        <f t="shared" si="11"/>
        <v>24005.493055555555</v>
      </c>
      <c r="X30" s="51">
        <f t="shared" si="11"/>
        <v>24005.493055555555</v>
      </c>
      <c r="Y30" s="51">
        <f t="shared" si="11"/>
        <v>24005.493055555555</v>
      </c>
      <c r="Z30" s="51">
        <f t="shared" si="11"/>
        <v>32368.435034722221</v>
      </c>
      <c r="AA30" s="51">
        <f t="shared" si="11"/>
        <v>23465.5</v>
      </c>
      <c r="AB30" s="51">
        <f t="shared" si="11"/>
        <v>32368.435034722221</v>
      </c>
      <c r="AC30" s="52">
        <f t="shared" si="11"/>
        <v>24560.993055555555</v>
      </c>
      <c r="AD30" s="5"/>
    </row>
    <row r="31" spans="1:30" ht="15.5" x14ac:dyDescent="0.35">
      <c r="A31" s="35" t="s">
        <v>21</v>
      </c>
      <c r="B31" s="20" t="s">
        <v>94</v>
      </c>
      <c r="C31" s="17">
        <v>8895.8333333333339</v>
      </c>
      <c r="D31" s="17">
        <v>10045.555555555555</v>
      </c>
      <c r="E31" s="17">
        <v>0</v>
      </c>
      <c r="F31" s="17">
        <v>9417.7083333333339</v>
      </c>
      <c r="G31" s="17">
        <v>9417.7083333333339</v>
      </c>
      <c r="H31" s="17">
        <v>9417.7083333333339</v>
      </c>
      <c r="I31" s="17">
        <v>9731.6319444444453</v>
      </c>
      <c r="J31" s="17">
        <v>9417.7083333333339</v>
      </c>
      <c r="K31" s="17">
        <v>9417.7083333333339</v>
      </c>
      <c r="L31" s="17">
        <v>9417.7083333333339</v>
      </c>
      <c r="M31" s="17">
        <v>9417.7083333333339</v>
      </c>
      <c r="N31" s="17">
        <v>9417.7083333333339</v>
      </c>
      <c r="O31" s="17">
        <v>9417.7083333333339</v>
      </c>
      <c r="P31" s="17">
        <v>9295.2781250000007</v>
      </c>
      <c r="Q31" s="17">
        <v>9295.2781250000007</v>
      </c>
      <c r="R31" s="17">
        <v>9919.9861111111131</v>
      </c>
      <c r="S31" s="17">
        <v>9919.9861111111131</v>
      </c>
      <c r="T31" s="17">
        <v>9295.2781250000007</v>
      </c>
      <c r="U31" s="17">
        <v>9295.2781250000007</v>
      </c>
      <c r="V31" s="17">
        <v>9295.2781250000007</v>
      </c>
      <c r="W31" s="17">
        <v>9919.9861111111131</v>
      </c>
      <c r="X31" s="17">
        <v>9919.9861111111131</v>
      </c>
      <c r="Y31" s="17">
        <v>9919.9861111111131</v>
      </c>
      <c r="Z31" s="17">
        <v>9476.8700694444433</v>
      </c>
      <c r="AA31" s="17">
        <v>9295</v>
      </c>
      <c r="AB31" s="17">
        <v>9476.8700694444433</v>
      </c>
      <c r="AC31" s="40">
        <v>9919.9861111111131</v>
      </c>
      <c r="AD31" s="5"/>
    </row>
    <row r="32" spans="1:30" ht="15.5" x14ac:dyDescent="0.35">
      <c r="A32" s="35" t="s">
        <v>211</v>
      </c>
      <c r="B32" s="20" t="s">
        <v>212</v>
      </c>
      <c r="C32" s="17">
        <v>27121</v>
      </c>
      <c r="D32" s="17">
        <v>69970</v>
      </c>
      <c r="E32" s="17">
        <v>0</v>
      </c>
      <c r="F32" s="17">
        <v>17209</v>
      </c>
      <c r="G32" s="17">
        <v>17209</v>
      </c>
      <c r="H32" s="17">
        <v>17209</v>
      </c>
      <c r="I32" s="17">
        <v>105217</v>
      </c>
      <c r="J32" s="17">
        <v>34493</v>
      </c>
      <c r="K32" s="17">
        <v>35285</v>
      </c>
      <c r="L32" s="17">
        <v>35285</v>
      </c>
      <c r="M32" s="17">
        <v>29705</v>
      </c>
      <c r="N32" s="17">
        <v>27121</v>
      </c>
      <c r="O32" s="17">
        <v>27121</v>
      </c>
      <c r="P32" s="17">
        <v>27879</v>
      </c>
      <c r="Q32" s="17">
        <v>27879</v>
      </c>
      <c r="R32" s="17">
        <v>27121</v>
      </c>
      <c r="S32" s="17">
        <v>27121</v>
      </c>
      <c r="T32" s="17">
        <v>35394</v>
      </c>
      <c r="U32" s="17">
        <v>35394</v>
      </c>
      <c r="V32" s="17">
        <v>35394</v>
      </c>
      <c r="W32" s="17">
        <v>38091</v>
      </c>
      <c r="X32" s="17">
        <v>38091</v>
      </c>
      <c r="Y32" s="17">
        <v>38091</v>
      </c>
      <c r="Z32" s="17">
        <v>55260</v>
      </c>
      <c r="AA32" s="17">
        <v>37636</v>
      </c>
      <c r="AB32" s="17">
        <v>55260</v>
      </c>
      <c r="AC32" s="40">
        <v>39202</v>
      </c>
      <c r="AD32" s="5"/>
    </row>
    <row r="33" spans="1:30" ht="15.5" x14ac:dyDescent="0.35">
      <c r="A33" s="35" t="s">
        <v>96</v>
      </c>
      <c r="B33" s="20" t="s">
        <v>95</v>
      </c>
      <c r="C33" s="21">
        <v>0.5</v>
      </c>
      <c r="D33" s="21">
        <v>0.5</v>
      </c>
      <c r="E33" s="21">
        <v>0</v>
      </c>
      <c r="F33" s="21">
        <v>0.5</v>
      </c>
      <c r="G33" s="21">
        <v>0.5</v>
      </c>
      <c r="H33" s="21">
        <v>0.5</v>
      </c>
      <c r="I33" s="21">
        <v>0.5</v>
      </c>
      <c r="J33" s="21">
        <v>0.5</v>
      </c>
      <c r="K33" s="21">
        <v>0.5</v>
      </c>
      <c r="L33" s="21">
        <v>1</v>
      </c>
      <c r="M33" s="21">
        <v>0.5</v>
      </c>
      <c r="N33" s="21">
        <v>0.5</v>
      </c>
      <c r="O33" s="21">
        <v>0.5</v>
      </c>
      <c r="P33" s="21">
        <v>1</v>
      </c>
      <c r="Q33" s="21">
        <v>0.5</v>
      </c>
      <c r="R33" s="21">
        <v>0.5</v>
      </c>
      <c r="S33" s="21">
        <v>0.5</v>
      </c>
      <c r="T33" s="21">
        <v>0.5</v>
      </c>
      <c r="U33" s="21">
        <v>0.5</v>
      </c>
      <c r="V33" s="21">
        <v>0.5</v>
      </c>
      <c r="W33" s="21">
        <v>0.5</v>
      </c>
      <c r="X33" s="21">
        <v>0.5</v>
      </c>
      <c r="Y33" s="21">
        <v>0.5</v>
      </c>
      <c r="Z33" s="21">
        <v>0.5</v>
      </c>
      <c r="AA33" s="21">
        <v>0.5</v>
      </c>
      <c r="AB33" s="21">
        <v>0.5</v>
      </c>
      <c r="AC33" s="42">
        <v>0.5</v>
      </c>
      <c r="AD33" s="5"/>
    </row>
    <row r="34" spans="1:30" ht="15.5" x14ac:dyDescent="0.35">
      <c r="A34" s="49" t="s">
        <v>23</v>
      </c>
      <c r="B34" s="50" t="s">
        <v>97</v>
      </c>
      <c r="C34" s="51">
        <f>+C35*C36</f>
        <v>93141.135416666657</v>
      </c>
      <c r="D34" s="51">
        <f t="shared" ref="D34:AB34" si="12">+D35*D36</f>
        <v>31047.045138888887</v>
      </c>
      <c r="E34" s="51">
        <f t="shared" si="12"/>
        <v>18835.416666666668</v>
      </c>
      <c r="F34" s="51">
        <f t="shared" si="12"/>
        <v>93141.135416666657</v>
      </c>
      <c r="G34" s="51">
        <f t="shared" si="12"/>
        <v>28253.125</v>
      </c>
      <c r="H34" s="51">
        <f t="shared" si="12"/>
        <v>9417.7083333333339</v>
      </c>
      <c r="I34" s="51">
        <f t="shared" si="12"/>
        <v>14129.009697916668</v>
      </c>
      <c r="J34" s="51">
        <f t="shared" si="12"/>
        <v>93141.135416666657</v>
      </c>
      <c r="K34" s="51">
        <f t="shared" si="12"/>
        <v>31047.045138888887</v>
      </c>
      <c r="L34" s="51">
        <f t="shared" si="12"/>
        <v>37670.833333333336</v>
      </c>
      <c r="M34" s="51">
        <f t="shared" si="12"/>
        <v>93141.135416666657</v>
      </c>
      <c r="N34" s="51">
        <f t="shared" si="12"/>
        <v>31047.045138888887</v>
      </c>
      <c r="O34" s="51">
        <f t="shared" si="12"/>
        <v>37670.833333333336</v>
      </c>
      <c r="P34" s="51">
        <f t="shared" si="12"/>
        <v>98496.760120833351</v>
      </c>
      <c r="Q34" s="51">
        <f t="shared" si="12"/>
        <v>29872.970833333333</v>
      </c>
      <c r="R34" s="51">
        <f t="shared" si="12"/>
        <v>98496.760120833351</v>
      </c>
      <c r="S34" s="51">
        <f t="shared" si="12"/>
        <v>98496.760120833351</v>
      </c>
      <c r="T34" s="51">
        <f t="shared" si="12"/>
        <v>98496.760120833351</v>
      </c>
      <c r="U34" s="51">
        <f t="shared" si="12"/>
        <v>98496.760120833351</v>
      </c>
      <c r="V34" s="51">
        <f>+V35*V36</f>
        <v>98496.760120833351</v>
      </c>
      <c r="W34" s="51">
        <f t="shared" si="12"/>
        <v>98496.760120833351</v>
      </c>
      <c r="X34" s="51">
        <f t="shared" si="12"/>
        <v>29872.970833333333</v>
      </c>
      <c r="Y34" s="51">
        <f t="shared" si="12"/>
        <v>98496.760120833351</v>
      </c>
      <c r="Z34" s="51">
        <f t="shared" si="12"/>
        <v>98496.760120833351</v>
      </c>
      <c r="AA34" s="51">
        <f t="shared" si="12"/>
        <v>98496.760120833351</v>
      </c>
      <c r="AB34" s="51">
        <f t="shared" si="12"/>
        <v>98496.760120833351</v>
      </c>
      <c r="AC34" s="52">
        <f>+AC35*AC36</f>
        <v>98496.760120833351</v>
      </c>
      <c r="AD34" s="5"/>
    </row>
    <row r="35" spans="1:30" ht="15.5" x14ac:dyDescent="0.35">
      <c r="A35" s="35" t="s">
        <v>24</v>
      </c>
      <c r="B35" s="20" t="s">
        <v>98</v>
      </c>
      <c r="C35" s="17">
        <v>31047.045138888887</v>
      </c>
      <c r="D35" s="17">
        <v>31047.045138888887</v>
      </c>
      <c r="E35" s="17">
        <v>9417.7083333333339</v>
      </c>
      <c r="F35" s="17">
        <v>31047.045138888887</v>
      </c>
      <c r="G35" s="17">
        <v>9417.7083333333339</v>
      </c>
      <c r="H35" s="17">
        <v>9417.7083333333339</v>
      </c>
      <c r="I35" s="17">
        <v>4709.6698993055561</v>
      </c>
      <c r="J35" s="17">
        <v>31047.045138888887</v>
      </c>
      <c r="K35" s="17">
        <v>31047.045138888887</v>
      </c>
      <c r="L35" s="17">
        <v>9417.7083333333339</v>
      </c>
      <c r="M35" s="17">
        <v>31047.045138888887</v>
      </c>
      <c r="N35" s="17">
        <v>31047.045138888887</v>
      </c>
      <c r="O35" s="17">
        <v>9417.7083333333339</v>
      </c>
      <c r="P35" s="17">
        <v>32832.253373611115</v>
      </c>
      <c r="Q35" s="17">
        <v>9957.6569444444449</v>
      </c>
      <c r="R35" s="17">
        <v>32832.253373611115</v>
      </c>
      <c r="S35" s="17">
        <v>32832.253373611115</v>
      </c>
      <c r="T35" s="17">
        <v>32832.253373611115</v>
      </c>
      <c r="U35" s="17">
        <v>32832.253373611115</v>
      </c>
      <c r="V35" s="17">
        <v>32832.253373611115</v>
      </c>
      <c r="W35" s="17">
        <v>32832.253373611115</v>
      </c>
      <c r="X35" s="17">
        <v>9957.6569444444449</v>
      </c>
      <c r="Y35" s="17">
        <v>32832.253373611115</v>
      </c>
      <c r="Z35" s="17">
        <v>32832.253373611115</v>
      </c>
      <c r="AA35" s="17">
        <v>32832.253373611115</v>
      </c>
      <c r="AB35" s="17">
        <v>32832.253373611115</v>
      </c>
      <c r="AC35" s="40">
        <v>32832.253373611115</v>
      </c>
      <c r="AD35" s="5"/>
    </row>
    <row r="36" spans="1:30" ht="15.5" x14ac:dyDescent="0.35">
      <c r="A36" s="35" t="s">
        <v>22</v>
      </c>
      <c r="B36" s="20" t="s">
        <v>99</v>
      </c>
      <c r="C36" s="12">
        <v>3</v>
      </c>
      <c r="D36" s="12">
        <v>1</v>
      </c>
      <c r="E36" s="12">
        <v>2</v>
      </c>
      <c r="F36" s="12">
        <v>3</v>
      </c>
      <c r="G36" s="12">
        <v>3</v>
      </c>
      <c r="H36" s="12">
        <v>1</v>
      </c>
      <c r="I36" s="17">
        <v>3</v>
      </c>
      <c r="J36" s="17">
        <v>3</v>
      </c>
      <c r="K36" s="17">
        <v>1</v>
      </c>
      <c r="L36" s="17">
        <v>4</v>
      </c>
      <c r="M36" s="12">
        <v>3</v>
      </c>
      <c r="N36" s="12">
        <v>1</v>
      </c>
      <c r="O36" s="12">
        <v>4</v>
      </c>
      <c r="P36" s="12">
        <v>3</v>
      </c>
      <c r="Q36" s="12">
        <v>3</v>
      </c>
      <c r="R36" s="12">
        <v>3</v>
      </c>
      <c r="S36" s="12">
        <v>3</v>
      </c>
      <c r="T36" s="17">
        <v>3</v>
      </c>
      <c r="U36" s="17">
        <v>3</v>
      </c>
      <c r="V36" s="12">
        <v>3</v>
      </c>
      <c r="W36" s="17">
        <v>3</v>
      </c>
      <c r="X36" s="17">
        <v>3</v>
      </c>
      <c r="Y36" s="17">
        <v>3</v>
      </c>
      <c r="Z36" s="17">
        <v>3</v>
      </c>
      <c r="AA36" s="17">
        <v>3</v>
      </c>
      <c r="AB36" s="17">
        <v>3</v>
      </c>
      <c r="AC36" s="40">
        <v>3</v>
      </c>
      <c r="AD36" s="5"/>
    </row>
    <row r="37" spans="1:30" ht="15.5" x14ac:dyDescent="0.35">
      <c r="A37" s="49" t="s">
        <v>25</v>
      </c>
      <c r="B37" s="50" t="s">
        <v>100</v>
      </c>
      <c r="C37" s="51">
        <f>+((C17+C18+C19+C20+C21+C22+C23)/(30*8))*C38</f>
        <v>163990.30763888889</v>
      </c>
      <c r="D37" s="51">
        <f t="shared" ref="D37:AC37" si="13">+((D17+D18+D19+D20+D21+D22+D23)/(30*8))*D38</f>
        <v>177330.48750000002</v>
      </c>
      <c r="E37" s="51">
        <f t="shared" si="13"/>
        <v>69933.150000000009</v>
      </c>
      <c r="F37" s="51">
        <f t="shared" si="13"/>
        <v>288969.45</v>
      </c>
      <c r="G37" s="51">
        <f t="shared" si="13"/>
        <v>128955.26388888891</v>
      </c>
      <c r="H37" s="51">
        <f t="shared" si="13"/>
        <v>13229.166666666668</v>
      </c>
      <c r="I37" s="51">
        <f t="shared" si="13"/>
        <v>26637.477777777774</v>
      </c>
      <c r="J37" s="51">
        <f t="shared" si="13"/>
        <v>15360.674652777778</v>
      </c>
      <c r="K37" s="51">
        <f t="shared" si="13"/>
        <v>9175.5062500000004</v>
      </c>
      <c r="L37" s="51">
        <f t="shared" si="13"/>
        <v>2270654.166666667</v>
      </c>
      <c r="M37" s="51">
        <f t="shared" si="13"/>
        <v>65382.899999999987</v>
      </c>
      <c r="N37" s="51">
        <f t="shared" si="13"/>
        <v>40102.504166666666</v>
      </c>
      <c r="O37" s="51">
        <f t="shared" si="13"/>
        <v>742838.56111111108</v>
      </c>
      <c r="P37" s="51">
        <f t="shared" si="13"/>
        <v>2675417.71875</v>
      </c>
      <c r="Q37" s="51">
        <f t="shared" si="13"/>
        <v>134572.68354166666</v>
      </c>
      <c r="R37" s="51">
        <f t="shared" si="13"/>
        <v>2693.69625</v>
      </c>
      <c r="S37" s="51">
        <f t="shared" si="13"/>
        <v>44670.606388888889</v>
      </c>
      <c r="T37" s="51">
        <f t="shared" si="13"/>
        <v>37711.747500000005</v>
      </c>
      <c r="U37" s="51">
        <f t="shared" si="13"/>
        <v>242908.91250000001</v>
      </c>
      <c r="V37" s="51">
        <f t="shared" si="13"/>
        <v>118229.19500000001</v>
      </c>
      <c r="W37" s="51">
        <f t="shared" si="13"/>
        <v>22491.565972222223</v>
      </c>
      <c r="X37" s="51">
        <f t="shared" si="13"/>
        <v>156479.86458333334</v>
      </c>
      <c r="Y37" s="51">
        <f t="shared" si="13"/>
        <v>224492.22468750004</v>
      </c>
      <c r="Z37" s="51">
        <f t="shared" si="13"/>
        <v>911391.6875</v>
      </c>
      <c r="AA37" s="51">
        <f t="shared" si="13"/>
        <v>40498.987187499988</v>
      </c>
      <c r="AB37" s="51">
        <f t="shared" si="13"/>
        <v>87851.687916666662</v>
      </c>
      <c r="AC37" s="52">
        <f t="shared" si="13"/>
        <v>19490.972222222219</v>
      </c>
      <c r="AD37" s="5"/>
    </row>
    <row r="38" spans="1:30" ht="15.5" x14ac:dyDescent="0.35">
      <c r="A38" s="35" t="s">
        <v>26</v>
      </c>
      <c r="B38" s="20" t="s">
        <v>101</v>
      </c>
      <c r="C38" s="12">
        <f>+(8*12)+5.5</f>
        <v>101.5</v>
      </c>
      <c r="D38" s="12">
        <f>+(8*8)+7</f>
        <v>71</v>
      </c>
      <c r="E38" s="12">
        <f>+(3*8)+4</f>
        <v>28</v>
      </c>
      <c r="F38" s="12">
        <f>+(13*8)+4</f>
        <v>108</v>
      </c>
      <c r="G38" s="12">
        <f>+(7*8)+6</f>
        <v>62</v>
      </c>
      <c r="H38" s="12">
        <v>5</v>
      </c>
      <c r="I38" s="12">
        <v>11</v>
      </c>
      <c r="J38" s="12">
        <f>8+0.5</f>
        <v>8.5</v>
      </c>
      <c r="K38" s="12">
        <v>4.5</v>
      </c>
      <c r="L38" s="12">
        <f>+(114*8)+7.5</f>
        <v>919.5</v>
      </c>
      <c r="M38" s="12">
        <f>+(8*3)+3</f>
        <v>27</v>
      </c>
      <c r="N38" s="12">
        <f>+(2*8)+1</f>
        <v>17</v>
      </c>
      <c r="O38" s="12">
        <f>+(45*8)+4</f>
        <v>364</v>
      </c>
      <c r="P38" s="12">
        <f>+(128*8)+0.5</f>
        <v>1024.5</v>
      </c>
      <c r="Q38" s="12">
        <f>+(8*8)+0.5</f>
        <v>64.5</v>
      </c>
      <c r="R38" s="12">
        <v>1.5</v>
      </c>
      <c r="S38" s="12">
        <f>7+(16)</f>
        <v>23</v>
      </c>
      <c r="T38" s="12">
        <f>5+(2*8)</f>
        <v>21</v>
      </c>
      <c r="U38" s="12">
        <f>7+(16*8)</f>
        <v>135</v>
      </c>
      <c r="V38" s="12">
        <f>6+(7*8)</f>
        <v>62</v>
      </c>
      <c r="W38" s="12">
        <f>+(4.5+(8*1))</f>
        <v>12.5</v>
      </c>
      <c r="X38" s="12">
        <f>3+(9*8)</f>
        <v>75</v>
      </c>
      <c r="Y38" s="12">
        <f>2.5+(10*8)</f>
        <v>82.5</v>
      </c>
      <c r="Z38" s="12">
        <f>5+(8*43)</f>
        <v>349</v>
      </c>
      <c r="AA38" s="12">
        <f>6.5+(2*8)</f>
        <v>22.5</v>
      </c>
      <c r="AB38" s="12">
        <f>6.5+(8*5)</f>
        <v>46.5</v>
      </c>
      <c r="AC38" s="36">
        <v>6.5</v>
      </c>
      <c r="AD38" s="5"/>
    </row>
    <row r="39" spans="1:30" ht="15.5" x14ac:dyDescent="0.35">
      <c r="A39" s="49" t="s">
        <v>27</v>
      </c>
      <c r="B39" s="50" t="s">
        <v>103</v>
      </c>
      <c r="C39" s="51">
        <f>+(C40+C41)*C42</f>
        <v>0</v>
      </c>
      <c r="D39" s="51">
        <f t="shared" ref="D39:AC39" si="14">+(D40+D41)*D42</f>
        <v>83573.03672048614</v>
      </c>
      <c r="E39" s="51">
        <f t="shared" si="14"/>
        <v>0</v>
      </c>
      <c r="F39" s="51">
        <f t="shared" si="14"/>
        <v>66858.429376388915</v>
      </c>
      <c r="G39" s="51">
        <f t="shared" si="14"/>
        <v>111404.28604305554</v>
      </c>
      <c r="H39" s="51">
        <f t="shared" si="14"/>
        <v>0</v>
      </c>
      <c r="I39" s="51">
        <f t="shared" si="14"/>
        <v>0</v>
      </c>
      <c r="J39" s="51">
        <f t="shared" si="14"/>
        <v>0</v>
      </c>
      <c r="K39" s="51">
        <f t="shared" si="14"/>
        <v>0</v>
      </c>
      <c r="L39" s="51">
        <f t="shared" si="14"/>
        <v>2752183.9440000001</v>
      </c>
      <c r="M39" s="51">
        <f t="shared" si="14"/>
        <v>0</v>
      </c>
      <c r="N39" s="51">
        <f t="shared" si="14"/>
        <v>45540.366666666669</v>
      </c>
      <c r="O39" s="51">
        <f t="shared" si="14"/>
        <v>361527.50162500009</v>
      </c>
      <c r="P39" s="51">
        <f t="shared" si="14"/>
        <v>531162.58191111102</v>
      </c>
      <c r="Q39" s="51">
        <f t="shared" si="14"/>
        <v>204261.2922222222</v>
      </c>
      <c r="R39" s="51">
        <f t="shared" si="14"/>
        <v>0</v>
      </c>
      <c r="S39" s="51">
        <f t="shared" si="14"/>
        <v>0</v>
      </c>
      <c r="T39" s="51">
        <f t="shared" si="14"/>
        <v>61310.152364973961</v>
      </c>
      <c r="U39" s="51">
        <f t="shared" si="14"/>
        <v>343269.46831111109</v>
      </c>
      <c r="V39" s="51">
        <f t="shared" si="14"/>
        <v>0</v>
      </c>
      <c r="W39" s="51">
        <f t="shared" si="14"/>
        <v>21454.341769444443</v>
      </c>
      <c r="X39" s="51">
        <f t="shared" si="14"/>
        <v>229793.95374999999</v>
      </c>
      <c r="Y39" s="51">
        <f t="shared" si="14"/>
        <v>59706.140134375004</v>
      </c>
      <c r="Z39" s="51">
        <f t="shared" si="14"/>
        <v>374600.21218750003</v>
      </c>
      <c r="AA39" s="51">
        <f t="shared" si="14"/>
        <v>49126.581061111108</v>
      </c>
      <c r="AB39" s="51">
        <f t="shared" si="14"/>
        <v>107271.70884722221</v>
      </c>
      <c r="AC39" s="52">
        <f t="shared" si="14"/>
        <v>0</v>
      </c>
      <c r="AD39" s="5"/>
    </row>
    <row r="40" spans="1:30" ht="15.5" x14ac:dyDescent="0.35">
      <c r="A40" s="35" t="s">
        <v>28</v>
      </c>
      <c r="B40" s="20" t="s">
        <v>102</v>
      </c>
      <c r="C40" s="22">
        <v>0</v>
      </c>
      <c r="D40" s="17">
        <v>8357.2911720486136</v>
      </c>
      <c r="E40" s="17">
        <v>0</v>
      </c>
      <c r="F40" s="17">
        <v>8357.2911720486136</v>
      </c>
      <c r="G40" s="17">
        <v>6962.7553776909717</v>
      </c>
      <c r="H40" s="17">
        <v>0</v>
      </c>
      <c r="I40" s="17">
        <v>0</v>
      </c>
      <c r="J40" s="17">
        <v>0</v>
      </c>
      <c r="K40" s="17">
        <v>0</v>
      </c>
      <c r="L40" s="17">
        <v>7915.1125000000002</v>
      </c>
      <c r="M40" s="17">
        <v>0</v>
      </c>
      <c r="N40" s="17">
        <v>5692.5333333333338</v>
      </c>
      <c r="O40" s="17">
        <v>8789.8611111111131</v>
      </c>
      <c r="P40" s="17">
        <f>+P27</f>
        <v>8393.8336111111093</v>
      </c>
      <c r="Q40" s="17">
        <v>6383.1528819444438</v>
      </c>
      <c r="R40" s="17">
        <v>0</v>
      </c>
      <c r="S40" s="17">
        <v>0</v>
      </c>
      <c r="T40" s="17">
        <v>6288.2082553819446</v>
      </c>
      <c r="U40" s="17">
        <v>5363.572942361111</v>
      </c>
      <c r="V40" s="17">
        <v>0</v>
      </c>
      <c r="W40" s="17">
        <v>5363.572942361111</v>
      </c>
      <c r="X40" s="17">
        <v>6383.1528819444438</v>
      </c>
      <c r="Y40" s="17">
        <v>9477.1526006944441</v>
      </c>
      <c r="Z40" s="17">
        <v>9295.2781250000007</v>
      </c>
      <c r="AA40" s="17">
        <v>6140.8101326388887</v>
      </c>
      <c r="AB40" s="17">
        <v>5363.572942361111</v>
      </c>
      <c r="AC40" s="40">
        <v>0</v>
      </c>
      <c r="AD40" s="5"/>
    </row>
    <row r="41" spans="1:30" ht="15.5" x14ac:dyDescent="0.35">
      <c r="A41" s="35" t="s">
        <v>29</v>
      </c>
      <c r="B41" s="20" t="s">
        <v>104</v>
      </c>
      <c r="C41" s="22">
        <v>0</v>
      </c>
      <c r="D41" s="23">
        <v>1.2500000000000001E-2</v>
      </c>
      <c r="E41" s="17">
        <v>0</v>
      </c>
      <c r="F41" s="23">
        <v>1.2500000000000001E-2</v>
      </c>
      <c r="G41" s="23">
        <v>1.2500000000000001E-2</v>
      </c>
      <c r="H41" s="17">
        <v>0</v>
      </c>
      <c r="I41" s="17">
        <v>0</v>
      </c>
      <c r="J41" s="17">
        <v>0</v>
      </c>
      <c r="K41" s="17">
        <v>0</v>
      </c>
      <c r="L41" s="19">
        <v>1.2500000000000001E-2</v>
      </c>
      <c r="M41" s="17">
        <v>0</v>
      </c>
      <c r="N41" s="19">
        <v>1.2500000000000001E-2</v>
      </c>
      <c r="O41" s="19">
        <v>1.2500000000000001E-2</v>
      </c>
      <c r="P41" s="19">
        <v>1.2500000000000001E-2</v>
      </c>
      <c r="Q41" s="19">
        <v>1.2500000000000001E-2</v>
      </c>
      <c r="R41" s="17">
        <v>0</v>
      </c>
      <c r="S41" s="17">
        <v>0</v>
      </c>
      <c r="T41" s="19">
        <v>1.2500000000000001E-2</v>
      </c>
      <c r="U41" s="19">
        <v>1.2500000000000001E-2</v>
      </c>
      <c r="V41" s="17">
        <v>0</v>
      </c>
      <c r="W41" s="19">
        <v>1.2500000000000001E-2</v>
      </c>
      <c r="X41" s="19">
        <v>1.2500000000000001E-2</v>
      </c>
      <c r="Y41" s="19">
        <v>1.2500000000000001E-2</v>
      </c>
      <c r="Z41" s="19">
        <v>1.2500000000000001E-2</v>
      </c>
      <c r="AA41" s="19">
        <v>1.2500000000000001E-2</v>
      </c>
      <c r="AB41" s="19">
        <v>1.2500000000000001E-2</v>
      </c>
      <c r="AC41" s="40">
        <v>0</v>
      </c>
      <c r="AD41" s="5"/>
    </row>
    <row r="42" spans="1:30" ht="15.5" x14ac:dyDescent="0.35">
      <c r="A42" s="35" t="s">
        <v>30</v>
      </c>
      <c r="B42" s="20" t="s">
        <v>105</v>
      </c>
      <c r="C42" s="22">
        <v>0</v>
      </c>
      <c r="D42" s="12">
        <v>10</v>
      </c>
      <c r="E42" s="12">
        <v>0</v>
      </c>
      <c r="F42" s="12">
        <v>8</v>
      </c>
      <c r="G42" s="12">
        <v>16</v>
      </c>
      <c r="H42" s="12">
        <v>0</v>
      </c>
      <c r="I42" s="12">
        <v>0</v>
      </c>
      <c r="J42" s="12">
        <v>0</v>
      </c>
      <c r="K42" s="12">
        <v>0</v>
      </c>
      <c r="L42" s="12">
        <v>347.71199999999999</v>
      </c>
      <c r="M42" s="12">
        <v>0</v>
      </c>
      <c r="N42" s="12">
        <v>8</v>
      </c>
      <c r="O42" s="12">
        <f>18.2+22.93</f>
        <v>41.129999999999995</v>
      </c>
      <c r="P42" s="12">
        <v>63.28</v>
      </c>
      <c r="Q42" s="12">
        <v>32</v>
      </c>
      <c r="R42" s="12">
        <v>0</v>
      </c>
      <c r="S42" s="12">
        <v>0</v>
      </c>
      <c r="T42" s="12">
        <v>9.75</v>
      </c>
      <c r="U42" s="12">
        <f>4*16</f>
        <v>64</v>
      </c>
      <c r="V42" s="12">
        <v>0</v>
      </c>
      <c r="W42" s="12">
        <v>4</v>
      </c>
      <c r="X42" s="12">
        <f>4*9</f>
        <v>36</v>
      </c>
      <c r="Y42" s="12">
        <v>6.3</v>
      </c>
      <c r="Z42" s="12">
        <v>40.299999999999997</v>
      </c>
      <c r="AA42" s="12">
        <v>8</v>
      </c>
      <c r="AB42" s="12">
        <v>20</v>
      </c>
      <c r="AC42" s="36">
        <v>0</v>
      </c>
      <c r="AD42" s="5"/>
    </row>
    <row r="43" spans="1:30" ht="15.5" x14ac:dyDescent="0.35">
      <c r="A43" s="49" t="s">
        <v>36</v>
      </c>
      <c r="B43" s="50" t="s">
        <v>106</v>
      </c>
      <c r="C43" s="51">
        <f>+C44*C45</f>
        <v>0</v>
      </c>
      <c r="D43" s="51">
        <f t="shared" ref="D43:AC43" si="15">+D44*D45</f>
        <v>562148.30000000005</v>
      </c>
      <c r="E43" s="51">
        <f t="shared" si="15"/>
        <v>1260000</v>
      </c>
      <c r="F43" s="51">
        <f t="shared" si="15"/>
        <v>2260650</v>
      </c>
      <c r="G43" s="51">
        <f t="shared" si="15"/>
        <v>439635</v>
      </c>
      <c r="H43" s="51">
        <f t="shared" si="15"/>
        <v>828075</v>
      </c>
      <c r="I43" s="51">
        <f t="shared" si="15"/>
        <v>0</v>
      </c>
      <c r="J43" s="51">
        <f t="shared" si="15"/>
        <v>161848</v>
      </c>
      <c r="K43" s="51">
        <f t="shared" si="15"/>
        <v>0</v>
      </c>
      <c r="L43" s="51">
        <f t="shared" si="15"/>
        <v>664051.25</v>
      </c>
      <c r="M43" s="51">
        <f t="shared" si="15"/>
        <v>0</v>
      </c>
      <c r="N43" s="51">
        <f t="shared" si="15"/>
        <v>0</v>
      </c>
      <c r="O43" s="51">
        <f t="shared" si="15"/>
        <v>8173883.7299999995</v>
      </c>
      <c r="P43" s="51">
        <f t="shared" si="15"/>
        <v>663390</v>
      </c>
      <c r="Q43" s="51">
        <f t="shared" si="15"/>
        <v>0</v>
      </c>
      <c r="R43" s="51">
        <f t="shared" si="15"/>
        <v>0</v>
      </c>
      <c r="S43" s="51">
        <f t="shared" si="15"/>
        <v>47408.4</v>
      </c>
      <c r="T43" s="51">
        <f t="shared" si="15"/>
        <v>89937.180000000008</v>
      </c>
      <c r="U43" s="51">
        <f t="shared" si="15"/>
        <v>0</v>
      </c>
      <c r="V43" s="51">
        <f t="shared" si="15"/>
        <v>439734.00000000006</v>
      </c>
      <c r="W43" s="51">
        <f t="shared" si="15"/>
        <v>0</v>
      </c>
      <c r="X43" s="51">
        <f t="shared" si="15"/>
        <v>0</v>
      </c>
      <c r="Y43" s="51">
        <f t="shared" si="15"/>
        <v>2134467.3000000003</v>
      </c>
      <c r="Z43" s="51">
        <f t="shared" si="15"/>
        <v>1609011.24</v>
      </c>
      <c r="AA43" s="51">
        <f t="shared" si="15"/>
        <v>0</v>
      </c>
      <c r="AB43" s="51">
        <f t="shared" si="15"/>
        <v>0</v>
      </c>
      <c r="AC43" s="52">
        <f t="shared" si="15"/>
        <v>160231.71666666667</v>
      </c>
      <c r="AD43" s="5"/>
    </row>
    <row r="44" spans="1:30" ht="15.5" x14ac:dyDescent="0.35">
      <c r="A44" s="35" t="s">
        <v>37</v>
      </c>
      <c r="B44" s="20" t="s">
        <v>107</v>
      </c>
      <c r="C44" s="24">
        <v>0</v>
      </c>
      <c r="D44" s="25">
        <f>(373/60)</f>
        <v>6.2166666666666668</v>
      </c>
      <c r="E44" s="24">
        <v>28</v>
      </c>
      <c r="F44" s="24">
        <v>25</v>
      </c>
      <c r="G44" s="24">
        <v>11.85</v>
      </c>
      <c r="H44" s="24">
        <v>5</v>
      </c>
      <c r="I44" s="24">
        <v>0</v>
      </c>
      <c r="J44" s="24">
        <v>8</v>
      </c>
      <c r="K44" s="24">
        <v>4.5</v>
      </c>
      <c r="L44" s="24">
        <v>31.75</v>
      </c>
      <c r="M44" s="24">
        <v>0</v>
      </c>
      <c r="N44" s="24">
        <v>0</v>
      </c>
      <c r="O44" s="24">
        <f>11.6+111.31</f>
        <v>122.91</v>
      </c>
      <c r="P44" s="24">
        <v>65</v>
      </c>
      <c r="Q44" s="24">
        <v>0</v>
      </c>
      <c r="R44" s="24">
        <v>0</v>
      </c>
      <c r="S44" s="24">
        <v>3.9</v>
      </c>
      <c r="T44" s="24">
        <v>3.66</v>
      </c>
      <c r="U44" s="24">
        <v>0</v>
      </c>
      <c r="V44" s="24">
        <v>16.600000000000001</v>
      </c>
      <c r="W44" s="24">
        <v>0</v>
      </c>
      <c r="X44" s="24">
        <v>0</v>
      </c>
      <c r="Y44" s="24">
        <v>43.35</v>
      </c>
      <c r="Z44" s="24">
        <v>45.46</v>
      </c>
      <c r="AA44" s="24">
        <v>0</v>
      </c>
      <c r="AB44" s="24">
        <v>0</v>
      </c>
      <c r="AC44" s="43">
        <f>169/60</f>
        <v>2.8166666666666669</v>
      </c>
      <c r="AD44" s="5"/>
    </row>
    <row r="45" spans="1:30" ht="15.5" x14ac:dyDescent="0.35">
      <c r="A45" s="35" t="s">
        <v>38</v>
      </c>
      <c r="B45" s="20" t="s">
        <v>108</v>
      </c>
      <c r="C45" s="17">
        <v>22941</v>
      </c>
      <c r="D45" s="17">
        <v>90426</v>
      </c>
      <c r="E45" s="17">
        <v>45000</v>
      </c>
      <c r="F45" s="17">
        <v>90426</v>
      </c>
      <c r="G45" s="17">
        <v>37100</v>
      </c>
      <c r="H45" s="17">
        <v>165615</v>
      </c>
      <c r="I45" s="17">
        <v>24122</v>
      </c>
      <c r="J45" s="17">
        <v>20231</v>
      </c>
      <c r="K45" s="17">
        <v>0</v>
      </c>
      <c r="L45" s="17">
        <v>20915</v>
      </c>
      <c r="M45" s="17">
        <v>17410</v>
      </c>
      <c r="N45" s="17">
        <v>0</v>
      </c>
      <c r="O45" s="17">
        <v>66503</v>
      </c>
      <c r="P45" s="17">
        <v>10206</v>
      </c>
      <c r="Q45" s="17">
        <v>35460</v>
      </c>
      <c r="R45" s="17">
        <v>0</v>
      </c>
      <c r="S45" s="17">
        <v>12156</v>
      </c>
      <c r="T45" s="17">
        <v>24573</v>
      </c>
      <c r="U45" s="17">
        <v>35394</v>
      </c>
      <c r="V45" s="17">
        <v>26490</v>
      </c>
      <c r="W45" s="17">
        <v>0</v>
      </c>
      <c r="X45" s="17">
        <v>21392</v>
      </c>
      <c r="Y45" s="17">
        <v>49238</v>
      </c>
      <c r="Z45" s="17">
        <v>35394</v>
      </c>
      <c r="AA45" s="17">
        <v>112210</v>
      </c>
      <c r="AB45" s="17">
        <v>0</v>
      </c>
      <c r="AC45" s="40">
        <v>56887</v>
      </c>
      <c r="AD45" s="5"/>
    </row>
    <row r="46" spans="1:30" ht="15.5" x14ac:dyDescent="0.35">
      <c r="A46" s="49" t="s">
        <v>31</v>
      </c>
      <c r="B46" s="50" t="s">
        <v>109</v>
      </c>
      <c r="C46" s="51">
        <f>+(C47*C49)+C48</f>
        <v>0</v>
      </c>
      <c r="D46" s="51">
        <f t="shared" ref="D46:AC46" si="16">+(D47*D49)+D48</f>
        <v>140000</v>
      </c>
      <c r="E46" s="51">
        <f t="shared" si="16"/>
        <v>140000</v>
      </c>
      <c r="F46" s="51">
        <f t="shared" si="16"/>
        <v>0</v>
      </c>
      <c r="G46" s="51">
        <f t="shared" si="16"/>
        <v>0</v>
      </c>
      <c r="H46" s="51">
        <f t="shared" si="16"/>
        <v>0</v>
      </c>
      <c r="I46" s="51">
        <f t="shared" si="16"/>
        <v>0</v>
      </c>
      <c r="J46" s="51">
        <f t="shared" si="16"/>
        <v>0</v>
      </c>
      <c r="K46" s="51">
        <f t="shared" si="16"/>
        <v>0</v>
      </c>
      <c r="L46" s="51">
        <f t="shared" si="16"/>
        <v>0</v>
      </c>
      <c r="M46" s="51">
        <f t="shared" si="16"/>
        <v>0</v>
      </c>
      <c r="N46" s="51">
        <f t="shared" si="16"/>
        <v>0</v>
      </c>
      <c r="O46" s="51">
        <f t="shared" si="16"/>
        <v>0</v>
      </c>
      <c r="P46" s="51">
        <f t="shared" si="16"/>
        <v>0</v>
      </c>
      <c r="Q46" s="51">
        <f t="shared" si="16"/>
        <v>0</v>
      </c>
      <c r="R46" s="51">
        <f t="shared" si="16"/>
        <v>0</v>
      </c>
      <c r="S46" s="51">
        <f t="shared" si="16"/>
        <v>0</v>
      </c>
      <c r="T46" s="51">
        <f t="shared" si="16"/>
        <v>0</v>
      </c>
      <c r="U46" s="51">
        <f t="shared" si="16"/>
        <v>0</v>
      </c>
      <c r="V46" s="51">
        <f t="shared" si="16"/>
        <v>0</v>
      </c>
      <c r="W46" s="51">
        <f t="shared" si="16"/>
        <v>0</v>
      </c>
      <c r="X46" s="51">
        <f t="shared" si="16"/>
        <v>0</v>
      </c>
      <c r="Y46" s="51">
        <f t="shared" si="16"/>
        <v>0</v>
      </c>
      <c r="Z46" s="51">
        <f t="shared" si="16"/>
        <v>0</v>
      </c>
      <c r="AA46" s="51">
        <f t="shared" si="16"/>
        <v>0</v>
      </c>
      <c r="AB46" s="51">
        <f t="shared" si="16"/>
        <v>0</v>
      </c>
      <c r="AC46" s="52">
        <f t="shared" si="16"/>
        <v>0</v>
      </c>
      <c r="AD46" s="5"/>
    </row>
    <row r="47" spans="1:30" ht="15.5" x14ac:dyDescent="0.35">
      <c r="A47" s="35" t="s">
        <v>32</v>
      </c>
      <c r="B47" s="20" t="s">
        <v>110</v>
      </c>
      <c r="C47" s="17">
        <v>70000</v>
      </c>
      <c r="D47" s="17">
        <v>70000</v>
      </c>
      <c r="E47" s="17">
        <v>70000</v>
      </c>
      <c r="F47" s="17">
        <v>70000</v>
      </c>
      <c r="G47" s="17">
        <v>70000</v>
      </c>
      <c r="H47" s="17">
        <v>70000</v>
      </c>
      <c r="I47" s="17">
        <v>70000</v>
      </c>
      <c r="J47" s="17">
        <v>70000</v>
      </c>
      <c r="K47" s="17">
        <v>70000</v>
      </c>
      <c r="L47" s="17">
        <v>70000</v>
      </c>
      <c r="M47" s="17">
        <v>70000</v>
      </c>
      <c r="N47" s="17">
        <v>70000</v>
      </c>
      <c r="O47" s="17">
        <v>70000</v>
      </c>
      <c r="P47" s="17">
        <v>70000</v>
      </c>
      <c r="Q47" s="17">
        <v>70000</v>
      </c>
      <c r="R47" s="17">
        <v>70000</v>
      </c>
      <c r="S47" s="17">
        <v>70000</v>
      </c>
      <c r="T47" s="17">
        <v>70000</v>
      </c>
      <c r="U47" s="17">
        <v>70000</v>
      </c>
      <c r="V47" s="17">
        <v>70000</v>
      </c>
      <c r="W47" s="17">
        <v>70000</v>
      </c>
      <c r="X47" s="17">
        <v>70000</v>
      </c>
      <c r="Y47" s="17">
        <v>70000</v>
      </c>
      <c r="Z47" s="17">
        <v>70000</v>
      </c>
      <c r="AA47" s="17">
        <v>70000</v>
      </c>
      <c r="AB47" s="17">
        <v>70000</v>
      </c>
      <c r="AC47" s="40">
        <v>70000</v>
      </c>
      <c r="AD47" s="5"/>
    </row>
    <row r="48" spans="1:30" ht="15.5" x14ac:dyDescent="0.35">
      <c r="A48" s="35" t="s">
        <v>33</v>
      </c>
      <c r="B48" s="20" t="s">
        <v>111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40">
        <v>0</v>
      </c>
      <c r="AD48" s="5"/>
    </row>
    <row r="49" spans="1:30" ht="15.5" x14ac:dyDescent="0.35">
      <c r="A49" s="35" t="s">
        <v>34</v>
      </c>
      <c r="B49" s="20" t="s">
        <v>112</v>
      </c>
      <c r="C49" s="12">
        <v>0</v>
      </c>
      <c r="D49" s="26">
        <v>2</v>
      </c>
      <c r="E49" s="26">
        <v>2</v>
      </c>
      <c r="F49" s="17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7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7">
        <v>0</v>
      </c>
      <c r="AA49" s="17">
        <v>0</v>
      </c>
      <c r="AB49" s="12">
        <v>0</v>
      </c>
      <c r="AC49" s="36">
        <v>0</v>
      </c>
      <c r="AD49" s="5"/>
    </row>
    <row r="50" spans="1:30" ht="15.5" x14ac:dyDescent="0.35">
      <c r="A50" s="49" t="s">
        <v>35</v>
      </c>
      <c r="B50" s="50" t="s">
        <v>113</v>
      </c>
      <c r="C50" s="51">
        <f>+C51*C52</f>
        <v>0</v>
      </c>
      <c r="D50" s="51">
        <f t="shared" ref="D50:AC50" si="17">+D51*D52</f>
        <v>631474.9</v>
      </c>
      <c r="E50" s="51">
        <f t="shared" si="17"/>
        <v>0</v>
      </c>
      <c r="F50" s="51">
        <f t="shared" si="17"/>
        <v>978314.4</v>
      </c>
      <c r="G50" s="51">
        <f t="shared" si="17"/>
        <v>1167308</v>
      </c>
      <c r="H50" s="51">
        <f t="shared" si="17"/>
        <v>0</v>
      </c>
      <c r="I50" s="51">
        <f t="shared" si="17"/>
        <v>0</v>
      </c>
      <c r="J50" s="51">
        <f t="shared" si="17"/>
        <v>0</v>
      </c>
      <c r="K50" s="51">
        <f t="shared" si="17"/>
        <v>0</v>
      </c>
      <c r="L50" s="51">
        <f t="shared" si="17"/>
        <v>0</v>
      </c>
      <c r="M50" s="51">
        <f t="shared" si="17"/>
        <v>0</v>
      </c>
      <c r="N50" s="51">
        <f t="shared" si="17"/>
        <v>0</v>
      </c>
      <c r="O50" s="51">
        <f t="shared" si="17"/>
        <v>781776.92999999993</v>
      </c>
      <c r="P50" s="51">
        <f t="shared" si="17"/>
        <v>0</v>
      </c>
      <c r="Q50" s="51">
        <f t="shared" si="17"/>
        <v>0</v>
      </c>
      <c r="R50" s="51">
        <f t="shared" si="17"/>
        <v>0</v>
      </c>
      <c r="S50" s="51">
        <f t="shared" si="17"/>
        <v>0</v>
      </c>
      <c r="T50" s="51">
        <f t="shared" si="17"/>
        <v>0</v>
      </c>
      <c r="U50" s="51">
        <f t="shared" si="17"/>
        <v>0</v>
      </c>
      <c r="V50" s="51">
        <f t="shared" si="17"/>
        <v>0</v>
      </c>
      <c r="W50" s="51">
        <f t="shared" si="17"/>
        <v>0</v>
      </c>
      <c r="X50" s="51">
        <f t="shared" si="17"/>
        <v>0</v>
      </c>
      <c r="Y50" s="51">
        <f t="shared" si="17"/>
        <v>0</v>
      </c>
      <c r="Z50" s="51">
        <f t="shared" si="17"/>
        <v>0</v>
      </c>
      <c r="AA50" s="51">
        <f t="shared" si="17"/>
        <v>0</v>
      </c>
      <c r="AB50" s="51">
        <f t="shared" si="17"/>
        <v>0</v>
      </c>
      <c r="AC50" s="52">
        <f t="shared" si="17"/>
        <v>0</v>
      </c>
      <c r="AD50" s="5"/>
    </row>
    <row r="51" spans="1:30" ht="15.5" x14ac:dyDescent="0.35">
      <c r="A51" s="35" t="s">
        <v>39</v>
      </c>
      <c r="B51" s="20" t="s">
        <v>114</v>
      </c>
      <c r="C51" s="12">
        <v>0</v>
      </c>
      <c r="D51" s="27">
        <f>419/60</f>
        <v>6.9833333333333334</v>
      </c>
      <c r="E51" s="12">
        <v>0</v>
      </c>
      <c r="F51" s="12">
        <v>28.2</v>
      </c>
      <c r="G51" s="12">
        <v>17.350000000000001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13.53</v>
      </c>
      <c r="P51" s="12">
        <v>0</v>
      </c>
      <c r="Q51" s="17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7">
        <v>0</v>
      </c>
      <c r="AA51" s="17">
        <v>0</v>
      </c>
      <c r="AB51" s="13">
        <v>0</v>
      </c>
      <c r="AC51" s="39">
        <v>0</v>
      </c>
      <c r="AD51" s="5"/>
    </row>
    <row r="52" spans="1:30" ht="15.5" x14ac:dyDescent="0.35">
      <c r="A52" s="35" t="s">
        <v>40</v>
      </c>
      <c r="B52" s="20" t="s">
        <v>115</v>
      </c>
      <c r="C52" s="17">
        <v>0</v>
      </c>
      <c r="D52" s="17">
        <v>90426</v>
      </c>
      <c r="E52" s="17">
        <v>0</v>
      </c>
      <c r="F52" s="17">
        <v>34692</v>
      </c>
      <c r="G52" s="17">
        <v>67280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57781</v>
      </c>
      <c r="P52" s="17">
        <v>10206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40">
        <v>0</v>
      </c>
      <c r="AD52" s="5"/>
    </row>
    <row r="53" spans="1:30" ht="15.5" x14ac:dyDescent="0.35">
      <c r="A53" s="49" t="s">
        <v>41</v>
      </c>
      <c r="B53" s="50" t="s">
        <v>116</v>
      </c>
      <c r="C53" s="51">
        <f>+(C55*C56)+C54</f>
        <v>0</v>
      </c>
      <c r="D53" s="51">
        <f t="shared" ref="D53:AC53" si="18">+(D55*D56)+D54</f>
        <v>0</v>
      </c>
      <c r="E53" s="51">
        <f t="shared" si="18"/>
        <v>0</v>
      </c>
      <c r="F53" s="51">
        <f t="shared" si="18"/>
        <v>0</v>
      </c>
      <c r="G53" s="51">
        <f t="shared" si="18"/>
        <v>0</v>
      </c>
      <c r="H53" s="51">
        <f t="shared" si="18"/>
        <v>0</v>
      </c>
      <c r="I53" s="51">
        <f t="shared" si="18"/>
        <v>0</v>
      </c>
      <c r="J53" s="51">
        <f t="shared" si="18"/>
        <v>0</v>
      </c>
      <c r="K53" s="51">
        <f t="shared" si="18"/>
        <v>0</v>
      </c>
      <c r="L53" s="51">
        <f t="shared" si="18"/>
        <v>0</v>
      </c>
      <c r="M53" s="51">
        <f t="shared" si="18"/>
        <v>0</v>
      </c>
      <c r="N53" s="51">
        <f t="shared" si="18"/>
        <v>0</v>
      </c>
      <c r="O53" s="51">
        <f t="shared" si="18"/>
        <v>0</v>
      </c>
      <c r="P53" s="51">
        <f t="shared" si="18"/>
        <v>0</v>
      </c>
      <c r="Q53" s="51">
        <f t="shared" si="18"/>
        <v>0</v>
      </c>
      <c r="R53" s="51">
        <f t="shared" si="18"/>
        <v>0</v>
      </c>
      <c r="S53" s="51">
        <f t="shared" si="18"/>
        <v>0</v>
      </c>
      <c r="T53" s="51">
        <f t="shared" si="18"/>
        <v>0</v>
      </c>
      <c r="U53" s="51">
        <f t="shared" si="18"/>
        <v>0</v>
      </c>
      <c r="V53" s="51">
        <f t="shared" si="18"/>
        <v>0</v>
      </c>
      <c r="W53" s="51">
        <f t="shared" si="18"/>
        <v>0</v>
      </c>
      <c r="X53" s="51">
        <f t="shared" si="18"/>
        <v>0</v>
      </c>
      <c r="Y53" s="51">
        <f t="shared" si="18"/>
        <v>0</v>
      </c>
      <c r="Z53" s="51">
        <f t="shared" si="18"/>
        <v>0</v>
      </c>
      <c r="AA53" s="51">
        <f t="shared" si="18"/>
        <v>0</v>
      </c>
      <c r="AB53" s="51">
        <f t="shared" si="18"/>
        <v>0</v>
      </c>
      <c r="AC53" s="52">
        <f t="shared" si="18"/>
        <v>0</v>
      </c>
      <c r="AD53" s="5"/>
    </row>
    <row r="54" spans="1:30" ht="15.5" x14ac:dyDescent="0.35">
      <c r="A54" s="35" t="s">
        <v>42</v>
      </c>
      <c r="B54" s="20" t="s">
        <v>117</v>
      </c>
      <c r="C54" s="17"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40">
        <v>0</v>
      </c>
      <c r="AD54" s="5"/>
    </row>
    <row r="55" spans="1:30" ht="15.5" x14ac:dyDescent="0.35">
      <c r="A55" s="35" t="s">
        <v>43</v>
      </c>
      <c r="B55" s="20" t="s">
        <v>118</v>
      </c>
      <c r="C55" s="17"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40">
        <v>0</v>
      </c>
      <c r="AD55" s="5"/>
    </row>
    <row r="56" spans="1:30" ht="15.5" x14ac:dyDescent="0.35">
      <c r="A56" s="35" t="s">
        <v>44</v>
      </c>
      <c r="B56" s="20" t="s">
        <v>119</v>
      </c>
      <c r="C56" s="12">
        <v>0</v>
      </c>
      <c r="D56" s="12">
        <v>0</v>
      </c>
      <c r="E56" s="17">
        <v>0</v>
      </c>
      <c r="F56" s="12">
        <v>0</v>
      </c>
      <c r="G56" s="12">
        <v>0</v>
      </c>
      <c r="H56" s="17">
        <v>0</v>
      </c>
      <c r="I56" s="12">
        <v>0</v>
      </c>
      <c r="J56" s="12">
        <v>0</v>
      </c>
      <c r="K56" s="12">
        <v>0</v>
      </c>
      <c r="L56" s="17">
        <v>0</v>
      </c>
      <c r="M56" s="12">
        <v>0</v>
      </c>
      <c r="N56" s="12">
        <v>0</v>
      </c>
      <c r="O56" s="12">
        <v>0</v>
      </c>
      <c r="P56" s="12">
        <v>0</v>
      </c>
      <c r="Q56" s="13">
        <v>0</v>
      </c>
      <c r="R56" s="13">
        <v>0</v>
      </c>
      <c r="S56" s="17">
        <v>0</v>
      </c>
      <c r="T56" s="12">
        <v>0</v>
      </c>
      <c r="U56" s="17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7">
        <v>0</v>
      </c>
      <c r="AC56" s="36">
        <v>0</v>
      </c>
      <c r="AD56" s="5"/>
    </row>
    <row r="57" spans="1:30" ht="15.5" x14ac:dyDescent="0.35">
      <c r="A57" s="49" t="s">
        <v>45</v>
      </c>
      <c r="B57" s="50" t="s">
        <v>120</v>
      </c>
      <c r="C57" s="51">
        <f>+C58+C59+C60</f>
        <v>0</v>
      </c>
      <c r="D57" s="51">
        <f t="shared" ref="D57:AC57" si="19">+D58+D59+D60</f>
        <v>0</v>
      </c>
      <c r="E57" s="51">
        <f t="shared" si="19"/>
        <v>0</v>
      </c>
      <c r="F57" s="51">
        <f t="shared" si="19"/>
        <v>0</v>
      </c>
      <c r="G57" s="51">
        <f t="shared" si="19"/>
        <v>0</v>
      </c>
      <c r="H57" s="51">
        <f t="shared" si="19"/>
        <v>0</v>
      </c>
      <c r="I57" s="51">
        <f t="shared" si="19"/>
        <v>0</v>
      </c>
      <c r="J57" s="51">
        <f t="shared" si="19"/>
        <v>0</v>
      </c>
      <c r="K57" s="51">
        <f t="shared" si="19"/>
        <v>0</v>
      </c>
      <c r="L57" s="51">
        <f t="shared" si="19"/>
        <v>0</v>
      </c>
      <c r="M57" s="51">
        <f t="shared" si="19"/>
        <v>0</v>
      </c>
      <c r="N57" s="51">
        <f t="shared" si="19"/>
        <v>0</v>
      </c>
      <c r="O57" s="51">
        <f t="shared" si="19"/>
        <v>0</v>
      </c>
      <c r="P57" s="51">
        <f t="shared" si="19"/>
        <v>0</v>
      </c>
      <c r="Q57" s="51">
        <f t="shared" si="19"/>
        <v>0</v>
      </c>
      <c r="R57" s="51">
        <f t="shared" si="19"/>
        <v>0</v>
      </c>
      <c r="S57" s="51">
        <f t="shared" si="19"/>
        <v>0</v>
      </c>
      <c r="T57" s="51">
        <f t="shared" si="19"/>
        <v>0</v>
      </c>
      <c r="U57" s="51">
        <f t="shared" si="19"/>
        <v>0</v>
      </c>
      <c r="V57" s="51">
        <f t="shared" si="19"/>
        <v>0</v>
      </c>
      <c r="W57" s="51">
        <f t="shared" si="19"/>
        <v>0</v>
      </c>
      <c r="X57" s="51">
        <f t="shared" si="19"/>
        <v>0</v>
      </c>
      <c r="Y57" s="51">
        <f t="shared" si="19"/>
        <v>0</v>
      </c>
      <c r="Z57" s="51">
        <f t="shared" si="19"/>
        <v>0</v>
      </c>
      <c r="AA57" s="51">
        <f t="shared" si="19"/>
        <v>0</v>
      </c>
      <c r="AB57" s="51">
        <f t="shared" si="19"/>
        <v>0</v>
      </c>
      <c r="AC57" s="52">
        <f t="shared" si="19"/>
        <v>0</v>
      </c>
      <c r="AD57" s="5"/>
    </row>
    <row r="58" spans="1:30" ht="15.5" x14ac:dyDescent="0.35">
      <c r="A58" s="35" t="s">
        <v>46</v>
      </c>
      <c r="B58" s="20" t="s">
        <v>121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28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40">
        <v>0</v>
      </c>
      <c r="AD58" s="5"/>
    </row>
    <row r="59" spans="1:30" ht="15.5" x14ac:dyDescent="0.35">
      <c r="A59" s="35" t="s">
        <v>47</v>
      </c>
      <c r="B59" s="20" t="s">
        <v>122</v>
      </c>
      <c r="C59" s="17"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40">
        <v>0</v>
      </c>
      <c r="AD59" s="5"/>
    </row>
    <row r="60" spans="1:30" ht="15.5" x14ac:dyDescent="0.35">
      <c r="A60" s="35" t="s">
        <v>48</v>
      </c>
      <c r="B60" s="20" t="s">
        <v>123</v>
      </c>
      <c r="C60" s="17"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40">
        <v>0</v>
      </c>
      <c r="AD60" s="5"/>
    </row>
    <row r="61" spans="1:30" ht="15.5" x14ac:dyDescent="0.35">
      <c r="A61" s="49" t="s">
        <v>49</v>
      </c>
      <c r="B61" s="50" t="s">
        <v>124</v>
      </c>
      <c r="C61" s="51">
        <f>+(C62*C66)+C63+C65+C64</f>
        <v>49047.045138888891</v>
      </c>
      <c r="D61" s="51">
        <f>+(D62*D66)+D63+D65+D64</f>
        <v>239047.04513888888</v>
      </c>
      <c r="E61" s="51">
        <f t="shared" ref="E61:AC61" si="20">+(E62*E66)+E63+E65+E64</f>
        <v>141047.04513888888</v>
      </c>
      <c r="F61" s="51">
        <f t="shared" si="20"/>
        <v>49047.045138888891</v>
      </c>
      <c r="G61" s="51">
        <f t="shared" si="20"/>
        <v>39047.045138888891</v>
      </c>
      <c r="H61" s="51">
        <f t="shared" si="20"/>
        <v>61047.045138888891</v>
      </c>
      <c r="I61" s="51">
        <f t="shared" si="20"/>
        <v>41047.045138888891</v>
      </c>
      <c r="J61" s="51">
        <f t="shared" si="20"/>
        <v>116047.04513888889</v>
      </c>
      <c r="K61" s="51">
        <f t="shared" si="20"/>
        <v>39047.045138888891</v>
      </c>
      <c r="L61" s="51">
        <f t="shared" si="20"/>
        <v>116047.04513888889</v>
      </c>
      <c r="M61" s="51">
        <f t="shared" si="20"/>
        <v>49047.045138888891</v>
      </c>
      <c r="N61" s="51">
        <f t="shared" si="20"/>
        <v>61047.045138888891</v>
      </c>
      <c r="O61" s="51">
        <f t="shared" si="20"/>
        <v>80094.090277777781</v>
      </c>
      <c r="P61" s="51">
        <f t="shared" si="20"/>
        <v>42832.253373611115</v>
      </c>
      <c r="Q61" s="51">
        <f t="shared" si="20"/>
        <v>40832.253373611115</v>
      </c>
      <c r="R61" s="51">
        <f t="shared" si="20"/>
        <v>42832.253373611115</v>
      </c>
      <c r="S61" s="51">
        <f t="shared" si="20"/>
        <v>152832.25337361111</v>
      </c>
      <c r="T61" s="51">
        <f t="shared" si="20"/>
        <v>32832.253373611115</v>
      </c>
      <c r="U61" s="51">
        <f t="shared" si="20"/>
        <v>32832.253373611115</v>
      </c>
      <c r="V61" s="51">
        <f t="shared" si="20"/>
        <v>50832.253373611115</v>
      </c>
      <c r="W61" s="51">
        <f t="shared" si="20"/>
        <v>42832.253373611115</v>
      </c>
      <c r="X61" s="51">
        <f t="shared" si="20"/>
        <v>50832.253373611115</v>
      </c>
      <c r="Y61" s="51">
        <f t="shared" si="20"/>
        <v>50832.253373611115</v>
      </c>
      <c r="Z61" s="51">
        <f t="shared" si="20"/>
        <v>50832.253373611115</v>
      </c>
      <c r="AA61" s="51">
        <f t="shared" si="20"/>
        <v>50832.253373611115</v>
      </c>
      <c r="AB61" s="51">
        <f t="shared" si="20"/>
        <v>50832.253373611115</v>
      </c>
      <c r="AC61" s="52">
        <f t="shared" si="20"/>
        <v>62832.253373611115</v>
      </c>
      <c r="AD61" s="5"/>
    </row>
    <row r="62" spans="1:30" ht="15.5" x14ac:dyDescent="0.35">
      <c r="A62" s="35" t="s">
        <v>50</v>
      </c>
      <c r="B62" s="20" t="s">
        <v>125</v>
      </c>
      <c r="C62" s="17">
        <v>31047.045138888887</v>
      </c>
      <c r="D62" s="17">
        <v>31047.045138888887</v>
      </c>
      <c r="E62" s="17">
        <v>31047.045138888887</v>
      </c>
      <c r="F62" s="17">
        <v>31047.045138888887</v>
      </c>
      <c r="G62" s="17">
        <v>31047.045138888887</v>
      </c>
      <c r="H62" s="17">
        <v>31047.045138888887</v>
      </c>
      <c r="I62" s="17">
        <v>31047.045138888887</v>
      </c>
      <c r="J62" s="17">
        <v>31047.045138888887</v>
      </c>
      <c r="K62" s="17">
        <v>31047.045138888887</v>
      </c>
      <c r="L62" s="17">
        <v>31047.045138888887</v>
      </c>
      <c r="M62" s="17">
        <v>31047.045138888887</v>
      </c>
      <c r="N62" s="17">
        <v>31047.045138888887</v>
      </c>
      <c r="O62" s="17">
        <v>31047.045138888887</v>
      </c>
      <c r="P62" s="17">
        <v>32832.253373611115</v>
      </c>
      <c r="Q62" s="17">
        <v>32832.253373611115</v>
      </c>
      <c r="R62" s="17">
        <v>32832.253373611115</v>
      </c>
      <c r="S62" s="17">
        <v>32832.253373611115</v>
      </c>
      <c r="T62" s="17">
        <v>32832.253373611115</v>
      </c>
      <c r="U62" s="17">
        <v>32832.253373611115</v>
      </c>
      <c r="V62" s="17">
        <v>32832.253373611115</v>
      </c>
      <c r="W62" s="17">
        <v>32832.253373611115</v>
      </c>
      <c r="X62" s="17">
        <v>32832.253373611115</v>
      </c>
      <c r="Y62" s="17">
        <v>32832.253373611115</v>
      </c>
      <c r="Z62" s="17">
        <v>32832.253373611115</v>
      </c>
      <c r="AA62" s="17">
        <v>32832.253373611115</v>
      </c>
      <c r="AB62" s="17">
        <v>32832.253373611115</v>
      </c>
      <c r="AC62" s="40">
        <v>32832.253373611115</v>
      </c>
      <c r="AD62" s="5"/>
    </row>
    <row r="63" spans="1:30" ht="15.5" x14ac:dyDescent="0.35">
      <c r="A63" s="35" t="s">
        <v>201</v>
      </c>
      <c r="B63" s="20" t="s">
        <v>291</v>
      </c>
      <c r="C63" s="17">
        <v>0</v>
      </c>
      <c r="D63" s="17">
        <v>200000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40">
        <v>0</v>
      </c>
      <c r="AD63" s="5"/>
    </row>
    <row r="64" spans="1:30" ht="15.5" x14ac:dyDescent="0.35">
      <c r="A64" s="35" t="s">
        <v>213</v>
      </c>
      <c r="B64" s="20" t="s">
        <v>290</v>
      </c>
      <c r="C64" s="17">
        <v>8000</v>
      </c>
      <c r="D64" s="17">
        <v>8000</v>
      </c>
      <c r="E64" s="17">
        <v>110000</v>
      </c>
      <c r="F64" s="17">
        <v>8000</v>
      </c>
      <c r="G64" s="17">
        <v>8000</v>
      </c>
      <c r="H64" s="17">
        <v>20000</v>
      </c>
      <c r="I64" s="17">
        <v>0</v>
      </c>
      <c r="J64" s="17">
        <v>75000</v>
      </c>
      <c r="K64" s="17">
        <v>8000</v>
      </c>
      <c r="L64" s="17">
        <v>75000</v>
      </c>
      <c r="M64" s="17">
        <v>8000</v>
      </c>
      <c r="N64" s="17">
        <v>20000</v>
      </c>
      <c r="O64" s="17">
        <v>8000</v>
      </c>
      <c r="P64" s="17">
        <v>0</v>
      </c>
      <c r="Q64" s="17">
        <v>8000</v>
      </c>
      <c r="R64" s="17">
        <v>0</v>
      </c>
      <c r="S64" s="17">
        <v>110000</v>
      </c>
      <c r="T64" s="17">
        <v>0</v>
      </c>
      <c r="U64" s="17">
        <v>0</v>
      </c>
      <c r="V64" s="17">
        <v>8000</v>
      </c>
      <c r="W64" s="17">
        <v>0</v>
      </c>
      <c r="X64" s="17">
        <v>8000</v>
      </c>
      <c r="Y64" s="17">
        <v>8000</v>
      </c>
      <c r="Z64" s="17">
        <v>8000</v>
      </c>
      <c r="AA64" s="17">
        <v>8000</v>
      </c>
      <c r="AB64" s="17">
        <v>8000</v>
      </c>
      <c r="AC64" s="40">
        <v>20000</v>
      </c>
      <c r="AD64" s="5"/>
    </row>
    <row r="65" spans="1:30" ht="15.5" x14ac:dyDescent="0.35">
      <c r="A65" s="35" t="s">
        <v>202</v>
      </c>
      <c r="B65" s="20" t="s">
        <v>292</v>
      </c>
      <c r="C65" s="17">
        <v>10000</v>
      </c>
      <c r="D65" s="17">
        <v>0</v>
      </c>
      <c r="E65" s="17">
        <v>0</v>
      </c>
      <c r="F65" s="17">
        <v>10000</v>
      </c>
      <c r="G65" s="17">
        <v>0</v>
      </c>
      <c r="H65" s="17">
        <v>10000</v>
      </c>
      <c r="I65" s="17">
        <v>10000</v>
      </c>
      <c r="J65" s="17">
        <v>10000</v>
      </c>
      <c r="K65" s="17">
        <v>0</v>
      </c>
      <c r="L65" s="17">
        <v>10000</v>
      </c>
      <c r="M65" s="17">
        <v>10000</v>
      </c>
      <c r="N65" s="17">
        <v>10000</v>
      </c>
      <c r="O65" s="17">
        <v>10000</v>
      </c>
      <c r="P65" s="17">
        <v>10000</v>
      </c>
      <c r="Q65" s="17">
        <v>0</v>
      </c>
      <c r="R65" s="17">
        <v>10000</v>
      </c>
      <c r="S65" s="17">
        <v>10000</v>
      </c>
      <c r="T65" s="17">
        <v>0</v>
      </c>
      <c r="U65" s="17">
        <v>0</v>
      </c>
      <c r="V65" s="17">
        <v>10000</v>
      </c>
      <c r="W65" s="17">
        <v>10000</v>
      </c>
      <c r="X65" s="17">
        <v>10000</v>
      </c>
      <c r="Y65" s="17">
        <v>10000</v>
      </c>
      <c r="Z65" s="17">
        <v>10000</v>
      </c>
      <c r="AA65" s="17">
        <v>10000</v>
      </c>
      <c r="AB65" s="17">
        <v>10000</v>
      </c>
      <c r="AC65" s="40">
        <v>10000</v>
      </c>
      <c r="AD65" s="5"/>
    </row>
    <row r="66" spans="1:30" ht="15.5" x14ac:dyDescent="0.35">
      <c r="A66" s="35" t="s">
        <v>51</v>
      </c>
      <c r="B66" s="20" t="s">
        <v>126</v>
      </c>
      <c r="C66" s="12">
        <v>1</v>
      </c>
      <c r="D66" s="12">
        <v>1</v>
      </c>
      <c r="E66" s="12">
        <v>1</v>
      </c>
      <c r="F66" s="12">
        <v>1</v>
      </c>
      <c r="G66" s="12">
        <v>1</v>
      </c>
      <c r="H66" s="12">
        <v>1</v>
      </c>
      <c r="I66" s="12">
        <v>1</v>
      </c>
      <c r="J66" s="12">
        <v>1</v>
      </c>
      <c r="K66" s="12">
        <v>1</v>
      </c>
      <c r="L66" s="12">
        <v>1</v>
      </c>
      <c r="M66" s="12">
        <v>1</v>
      </c>
      <c r="N66" s="12">
        <v>1</v>
      </c>
      <c r="O66" s="12">
        <v>2</v>
      </c>
      <c r="P66" s="12">
        <v>1</v>
      </c>
      <c r="Q66" s="12">
        <v>1</v>
      </c>
      <c r="R66" s="12">
        <v>1</v>
      </c>
      <c r="S66" s="12">
        <v>1</v>
      </c>
      <c r="T66" s="12">
        <v>1</v>
      </c>
      <c r="U66" s="12">
        <v>1</v>
      </c>
      <c r="V66" s="12">
        <v>1</v>
      </c>
      <c r="W66" s="12">
        <v>1</v>
      </c>
      <c r="X66" s="12">
        <v>1</v>
      </c>
      <c r="Y66" s="12">
        <v>1</v>
      </c>
      <c r="Z66" s="12">
        <v>1</v>
      </c>
      <c r="AA66" s="12">
        <v>1</v>
      </c>
      <c r="AB66" s="12">
        <v>1</v>
      </c>
      <c r="AC66" s="36">
        <v>1</v>
      </c>
      <c r="AD66" s="5"/>
    </row>
    <row r="67" spans="1:30" ht="15.5" x14ac:dyDescent="0.35">
      <c r="A67" s="44" t="s">
        <v>52</v>
      </c>
      <c r="B67" s="29" t="s">
        <v>127</v>
      </c>
      <c r="C67" s="30">
        <v>20000</v>
      </c>
      <c r="D67" s="30">
        <v>20000</v>
      </c>
      <c r="E67" s="30">
        <v>20000</v>
      </c>
      <c r="F67" s="30">
        <v>20000</v>
      </c>
      <c r="G67" s="30">
        <v>20000</v>
      </c>
      <c r="H67" s="30">
        <v>10000</v>
      </c>
      <c r="I67" s="30">
        <v>10000</v>
      </c>
      <c r="J67" s="30">
        <v>20000</v>
      </c>
      <c r="K67" s="30">
        <v>0</v>
      </c>
      <c r="L67" s="30">
        <v>20000</v>
      </c>
      <c r="M67" s="30">
        <v>10000</v>
      </c>
      <c r="N67" s="30">
        <v>20000</v>
      </c>
      <c r="O67" s="30">
        <v>20000</v>
      </c>
      <c r="P67" s="30">
        <v>20000</v>
      </c>
      <c r="Q67" s="30">
        <v>20000</v>
      </c>
      <c r="R67" s="30">
        <v>20000</v>
      </c>
      <c r="S67" s="30">
        <v>20000</v>
      </c>
      <c r="T67" s="30">
        <v>20000</v>
      </c>
      <c r="U67" s="30">
        <v>20000</v>
      </c>
      <c r="V67" s="30">
        <v>20000</v>
      </c>
      <c r="W67" s="30">
        <v>20000</v>
      </c>
      <c r="X67" s="30">
        <v>20000</v>
      </c>
      <c r="Y67" s="30">
        <v>20000</v>
      </c>
      <c r="Z67" s="30">
        <v>20000</v>
      </c>
      <c r="AA67" s="30">
        <v>20000</v>
      </c>
      <c r="AB67" s="30">
        <v>20000</v>
      </c>
      <c r="AC67" s="45">
        <v>20000</v>
      </c>
      <c r="AD67" s="5"/>
    </row>
    <row r="68" spans="1:30" ht="15.5" x14ac:dyDescent="0.35">
      <c r="A68" s="35" t="s">
        <v>53</v>
      </c>
      <c r="B68" s="20" t="s">
        <v>128</v>
      </c>
      <c r="C68" s="17">
        <v>3550</v>
      </c>
      <c r="D68" s="17">
        <v>7350</v>
      </c>
      <c r="E68" s="17">
        <v>7350</v>
      </c>
      <c r="F68" s="17">
        <v>3550</v>
      </c>
      <c r="G68" s="17">
        <v>7350</v>
      </c>
      <c r="H68" s="17">
        <v>0</v>
      </c>
      <c r="I68" s="17">
        <v>3550</v>
      </c>
      <c r="J68" s="17">
        <v>0</v>
      </c>
      <c r="K68" s="17">
        <v>0</v>
      </c>
      <c r="L68" s="17">
        <v>4900</v>
      </c>
      <c r="M68" s="17">
        <v>3550</v>
      </c>
      <c r="N68" s="17">
        <v>0</v>
      </c>
      <c r="O68" s="17">
        <v>6900</v>
      </c>
      <c r="P68" s="17">
        <v>6900</v>
      </c>
      <c r="Q68" s="17">
        <v>4900</v>
      </c>
      <c r="R68" s="17">
        <v>3550</v>
      </c>
      <c r="S68" s="17">
        <v>3550</v>
      </c>
      <c r="T68" s="17">
        <v>3550</v>
      </c>
      <c r="U68" s="17">
        <v>6900</v>
      </c>
      <c r="V68" s="17">
        <v>0</v>
      </c>
      <c r="W68" s="17">
        <v>3550</v>
      </c>
      <c r="X68" s="17">
        <v>3550</v>
      </c>
      <c r="Y68" s="17">
        <v>4900</v>
      </c>
      <c r="Z68" s="17">
        <v>6900</v>
      </c>
      <c r="AA68" s="17">
        <v>0</v>
      </c>
      <c r="AB68" s="17">
        <v>4900</v>
      </c>
      <c r="AC68" s="40">
        <v>2000</v>
      </c>
      <c r="AD68" s="5"/>
    </row>
    <row r="69" spans="1:30" ht="15.5" x14ac:dyDescent="0.35">
      <c r="A69" s="35" t="s">
        <v>54</v>
      </c>
      <c r="B69" s="20" t="s">
        <v>129</v>
      </c>
      <c r="C69" s="17">
        <v>0</v>
      </c>
      <c r="D69" s="17"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40">
        <v>0</v>
      </c>
      <c r="AD69" s="5"/>
    </row>
    <row r="70" spans="1:30" ht="15.5" x14ac:dyDescent="0.35">
      <c r="A70" s="35" t="s">
        <v>55</v>
      </c>
      <c r="B70" s="20" t="s">
        <v>130</v>
      </c>
      <c r="C70" s="17"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40">
        <v>0</v>
      </c>
      <c r="AD70" s="5"/>
    </row>
    <row r="71" spans="1:30" ht="15.5" x14ac:dyDescent="0.35">
      <c r="A71" s="35" t="s">
        <v>56</v>
      </c>
      <c r="B71" s="20" t="s">
        <v>131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40">
        <v>0</v>
      </c>
      <c r="AD71" s="5"/>
    </row>
    <row r="72" spans="1:30" ht="15.5" x14ac:dyDescent="0.35">
      <c r="A72" s="49" t="s">
        <v>57</v>
      </c>
      <c r="B72" s="50" t="s">
        <v>132</v>
      </c>
      <c r="C72" s="51">
        <f>+C73*C74</f>
        <v>45869.045138888891</v>
      </c>
      <c r="D72" s="51">
        <f t="shared" ref="D72:AC72" si="21">+D73*D74</f>
        <v>45869.045138888891</v>
      </c>
      <c r="E72" s="51">
        <f t="shared" si="21"/>
        <v>45869.045138888891</v>
      </c>
      <c r="F72" s="51">
        <f t="shared" si="21"/>
        <v>45869.045138888891</v>
      </c>
      <c r="G72" s="51">
        <f t="shared" si="21"/>
        <v>45869.045138888891</v>
      </c>
      <c r="H72" s="51">
        <f t="shared" si="21"/>
        <v>45869.045138888891</v>
      </c>
      <c r="I72" s="51">
        <f t="shared" si="21"/>
        <v>45869.045138888891</v>
      </c>
      <c r="J72" s="51">
        <f t="shared" si="21"/>
        <v>45869.045138888891</v>
      </c>
      <c r="K72" s="51">
        <f t="shared" si="21"/>
        <v>45869.045138888891</v>
      </c>
      <c r="L72" s="51">
        <f t="shared" si="21"/>
        <v>45869.045138888891</v>
      </c>
      <c r="M72" s="51">
        <f t="shared" si="21"/>
        <v>45869.045138888891</v>
      </c>
      <c r="N72" s="51">
        <f t="shared" si="21"/>
        <v>45869.045138888891</v>
      </c>
      <c r="O72" s="51">
        <f t="shared" si="21"/>
        <v>45869.045138888891</v>
      </c>
      <c r="P72" s="51">
        <f t="shared" si="21"/>
        <v>47654.253373611115</v>
      </c>
      <c r="Q72" s="51">
        <f t="shared" si="21"/>
        <v>47654.253373611115</v>
      </c>
      <c r="R72" s="51">
        <f t="shared" si="21"/>
        <v>47654.253373611115</v>
      </c>
      <c r="S72" s="51">
        <f t="shared" si="21"/>
        <v>47654.253373611115</v>
      </c>
      <c r="T72" s="51">
        <f t="shared" si="21"/>
        <v>47654.253373611115</v>
      </c>
      <c r="U72" s="51">
        <f t="shared" si="21"/>
        <v>47654.253373611115</v>
      </c>
      <c r="V72" s="51">
        <f t="shared" si="21"/>
        <v>47654.253373611115</v>
      </c>
      <c r="W72" s="51">
        <f t="shared" si="21"/>
        <v>47654.253373611115</v>
      </c>
      <c r="X72" s="51">
        <f t="shared" si="21"/>
        <v>47654.253373611115</v>
      </c>
      <c r="Y72" s="51">
        <f t="shared" si="21"/>
        <v>47654.253373611115</v>
      </c>
      <c r="Z72" s="51">
        <f t="shared" si="21"/>
        <v>47654.253373611115</v>
      </c>
      <c r="AA72" s="51">
        <f t="shared" si="21"/>
        <v>47654.253373611115</v>
      </c>
      <c r="AB72" s="51">
        <f t="shared" si="21"/>
        <v>47654.253373611115</v>
      </c>
      <c r="AC72" s="52">
        <f t="shared" si="21"/>
        <v>47654.253373611115</v>
      </c>
      <c r="AD72" s="5"/>
    </row>
    <row r="73" spans="1:30" ht="15.5" x14ac:dyDescent="0.35">
      <c r="A73" s="35" t="s">
        <v>58</v>
      </c>
      <c r="B73" s="20" t="s">
        <v>133</v>
      </c>
      <c r="C73" s="26">
        <v>1</v>
      </c>
      <c r="D73" s="26">
        <v>1</v>
      </c>
      <c r="E73" s="26">
        <v>1</v>
      </c>
      <c r="F73" s="26">
        <v>1</v>
      </c>
      <c r="G73" s="26">
        <v>1</v>
      </c>
      <c r="H73" s="26">
        <v>1</v>
      </c>
      <c r="I73" s="26">
        <v>1</v>
      </c>
      <c r="J73" s="26">
        <v>1</v>
      </c>
      <c r="K73" s="26">
        <v>1</v>
      </c>
      <c r="L73" s="26">
        <v>1</v>
      </c>
      <c r="M73" s="26">
        <v>1</v>
      </c>
      <c r="N73" s="26">
        <v>1</v>
      </c>
      <c r="O73" s="26">
        <v>1</v>
      </c>
      <c r="P73" s="26">
        <v>1</v>
      </c>
      <c r="Q73" s="26">
        <v>1</v>
      </c>
      <c r="R73" s="26">
        <v>1</v>
      </c>
      <c r="S73" s="26">
        <v>1</v>
      </c>
      <c r="T73" s="26">
        <v>1</v>
      </c>
      <c r="U73" s="26">
        <v>1</v>
      </c>
      <c r="V73" s="26">
        <v>1</v>
      </c>
      <c r="W73" s="26">
        <v>1</v>
      </c>
      <c r="X73" s="26">
        <v>1</v>
      </c>
      <c r="Y73" s="26">
        <v>1</v>
      </c>
      <c r="Z73" s="26">
        <v>1</v>
      </c>
      <c r="AA73" s="26">
        <v>1</v>
      </c>
      <c r="AB73" s="26">
        <v>1</v>
      </c>
      <c r="AC73" s="46">
        <v>1</v>
      </c>
      <c r="AD73" s="5"/>
    </row>
    <row r="74" spans="1:30" ht="15.5" x14ac:dyDescent="0.35">
      <c r="A74" s="35" t="s">
        <v>59</v>
      </c>
      <c r="B74" s="20" t="s">
        <v>134</v>
      </c>
      <c r="C74" s="17">
        <f>C62+14822</f>
        <v>45869.045138888891</v>
      </c>
      <c r="D74" s="17">
        <f t="shared" ref="D74:AC74" si="22">D62+14822</f>
        <v>45869.045138888891</v>
      </c>
      <c r="E74" s="17">
        <f t="shared" si="22"/>
        <v>45869.045138888891</v>
      </c>
      <c r="F74" s="17">
        <f t="shared" si="22"/>
        <v>45869.045138888891</v>
      </c>
      <c r="G74" s="17">
        <f t="shared" si="22"/>
        <v>45869.045138888891</v>
      </c>
      <c r="H74" s="17">
        <f t="shared" si="22"/>
        <v>45869.045138888891</v>
      </c>
      <c r="I74" s="17">
        <f t="shared" si="22"/>
        <v>45869.045138888891</v>
      </c>
      <c r="J74" s="17">
        <f t="shared" si="22"/>
        <v>45869.045138888891</v>
      </c>
      <c r="K74" s="17">
        <f t="shared" si="22"/>
        <v>45869.045138888891</v>
      </c>
      <c r="L74" s="17">
        <f t="shared" si="22"/>
        <v>45869.045138888891</v>
      </c>
      <c r="M74" s="17">
        <f t="shared" si="22"/>
        <v>45869.045138888891</v>
      </c>
      <c r="N74" s="17">
        <f t="shared" si="22"/>
        <v>45869.045138888891</v>
      </c>
      <c r="O74" s="17">
        <f t="shared" si="22"/>
        <v>45869.045138888891</v>
      </c>
      <c r="P74" s="17">
        <f t="shared" si="22"/>
        <v>47654.253373611115</v>
      </c>
      <c r="Q74" s="17">
        <f t="shared" si="22"/>
        <v>47654.253373611115</v>
      </c>
      <c r="R74" s="17">
        <f t="shared" si="22"/>
        <v>47654.253373611115</v>
      </c>
      <c r="S74" s="17">
        <f t="shared" si="22"/>
        <v>47654.253373611115</v>
      </c>
      <c r="T74" s="17">
        <f t="shared" si="22"/>
        <v>47654.253373611115</v>
      </c>
      <c r="U74" s="17">
        <f t="shared" si="22"/>
        <v>47654.253373611115</v>
      </c>
      <c r="V74" s="17">
        <f t="shared" si="22"/>
        <v>47654.253373611115</v>
      </c>
      <c r="W74" s="17">
        <f t="shared" si="22"/>
        <v>47654.253373611115</v>
      </c>
      <c r="X74" s="17">
        <f t="shared" si="22"/>
        <v>47654.253373611115</v>
      </c>
      <c r="Y74" s="17">
        <f t="shared" si="22"/>
        <v>47654.253373611115</v>
      </c>
      <c r="Z74" s="17">
        <f t="shared" si="22"/>
        <v>47654.253373611115</v>
      </c>
      <c r="AA74" s="17">
        <f t="shared" si="22"/>
        <v>47654.253373611115</v>
      </c>
      <c r="AB74" s="17">
        <f t="shared" si="22"/>
        <v>47654.253373611115</v>
      </c>
      <c r="AC74" s="40">
        <f t="shared" si="22"/>
        <v>47654.253373611115</v>
      </c>
      <c r="AD74" s="5"/>
    </row>
    <row r="75" spans="1:30" ht="15.5" x14ac:dyDescent="0.35">
      <c r="A75" s="49" t="s">
        <v>60</v>
      </c>
      <c r="B75" s="50" t="s">
        <v>135</v>
      </c>
      <c r="C75" s="51">
        <f>+(((C78+C77)*(1+(1-C79)))-(C77+C78))*C76</f>
        <v>0</v>
      </c>
      <c r="D75" s="51">
        <f t="shared" ref="D75:AC75" si="23">+(((D78+D77)*(1+(1-D79)))-(D77+D78))*D76</f>
        <v>0</v>
      </c>
      <c r="E75" s="51">
        <f t="shared" si="23"/>
        <v>0</v>
      </c>
      <c r="F75" s="51">
        <f t="shared" si="23"/>
        <v>0</v>
      </c>
      <c r="G75" s="51">
        <f t="shared" si="23"/>
        <v>0</v>
      </c>
      <c r="H75" s="51">
        <f t="shared" si="23"/>
        <v>0</v>
      </c>
      <c r="I75" s="51">
        <f t="shared" si="23"/>
        <v>0</v>
      </c>
      <c r="J75" s="51">
        <f t="shared" si="23"/>
        <v>0</v>
      </c>
      <c r="K75" s="51">
        <f t="shared" si="23"/>
        <v>0</v>
      </c>
      <c r="L75" s="51">
        <f t="shared" si="23"/>
        <v>0</v>
      </c>
      <c r="M75" s="51">
        <f t="shared" si="23"/>
        <v>0</v>
      </c>
      <c r="N75" s="51">
        <f t="shared" si="23"/>
        <v>0</v>
      </c>
      <c r="O75" s="51">
        <f t="shared" si="23"/>
        <v>0</v>
      </c>
      <c r="P75" s="51">
        <f t="shared" si="23"/>
        <v>0</v>
      </c>
      <c r="Q75" s="51">
        <f t="shared" si="23"/>
        <v>0</v>
      </c>
      <c r="R75" s="51">
        <f t="shared" si="23"/>
        <v>0</v>
      </c>
      <c r="S75" s="51">
        <f t="shared" si="23"/>
        <v>0</v>
      </c>
      <c r="T75" s="51">
        <f t="shared" si="23"/>
        <v>0</v>
      </c>
      <c r="U75" s="51">
        <f t="shared" si="23"/>
        <v>0</v>
      </c>
      <c r="V75" s="51">
        <f t="shared" si="23"/>
        <v>0</v>
      </c>
      <c r="W75" s="51">
        <f t="shared" si="23"/>
        <v>0</v>
      </c>
      <c r="X75" s="51">
        <f t="shared" si="23"/>
        <v>0</v>
      </c>
      <c r="Y75" s="51">
        <f t="shared" si="23"/>
        <v>0</v>
      </c>
      <c r="Z75" s="51">
        <f t="shared" si="23"/>
        <v>0</v>
      </c>
      <c r="AA75" s="51">
        <f t="shared" si="23"/>
        <v>0</v>
      </c>
      <c r="AB75" s="51">
        <f t="shared" si="23"/>
        <v>0</v>
      </c>
      <c r="AC75" s="52">
        <f t="shared" si="23"/>
        <v>0</v>
      </c>
      <c r="AD75" s="5"/>
    </row>
    <row r="76" spans="1:30" ht="15.5" x14ac:dyDescent="0.35">
      <c r="A76" s="35" t="s">
        <v>61</v>
      </c>
      <c r="B76" s="20" t="s">
        <v>136</v>
      </c>
      <c r="C76" s="31">
        <v>0</v>
      </c>
      <c r="D76" s="31">
        <f>D38-D44</f>
        <v>64.783333333333331</v>
      </c>
      <c r="E76" s="31">
        <v>0</v>
      </c>
      <c r="F76" s="31">
        <f>F38-F44</f>
        <v>83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f>L38-L44</f>
        <v>887.75</v>
      </c>
      <c r="M76" s="31">
        <v>0</v>
      </c>
      <c r="N76" s="31">
        <v>0</v>
      </c>
      <c r="O76" s="31">
        <f t="shared" ref="O76:U76" si="24">O38-O44</f>
        <v>241.09</v>
      </c>
      <c r="P76" s="31">
        <f t="shared" si="24"/>
        <v>959.5</v>
      </c>
      <c r="Q76" s="31">
        <f t="shared" si="24"/>
        <v>64.5</v>
      </c>
      <c r="R76" s="31">
        <f t="shared" si="24"/>
        <v>1.5</v>
      </c>
      <c r="S76" s="31">
        <f t="shared" si="24"/>
        <v>19.100000000000001</v>
      </c>
      <c r="T76" s="31">
        <f t="shared" si="24"/>
        <v>17.34</v>
      </c>
      <c r="U76" s="31">
        <f t="shared" si="24"/>
        <v>135</v>
      </c>
      <c r="V76" s="31">
        <f t="shared" ref="V76:AC76" si="25">V38-V44</f>
        <v>45.4</v>
      </c>
      <c r="W76" s="31">
        <f t="shared" si="25"/>
        <v>12.5</v>
      </c>
      <c r="X76" s="31">
        <f t="shared" si="25"/>
        <v>75</v>
      </c>
      <c r="Y76" s="31">
        <f t="shared" si="25"/>
        <v>39.15</v>
      </c>
      <c r="Z76" s="31">
        <f t="shared" si="25"/>
        <v>303.54000000000002</v>
      </c>
      <c r="AA76" s="31">
        <f t="shared" si="25"/>
        <v>22.5</v>
      </c>
      <c r="AB76" s="31">
        <f t="shared" si="25"/>
        <v>46.5</v>
      </c>
      <c r="AC76" s="47">
        <f t="shared" si="25"/>
        <v>3.6833333333333331</v>
      </c>
      <c r="AD76" s="5"/>
    </row>
    <row r="77" spans="1:30" ht="15.5" x14ac:dyDescent="0.35">
      <c r="A77" s="35" t="s">
        <v>62</v>
      </c>
      <c r="B77" s="20" t="s">
        <v>108</v>
      </c>
      <c r="C77" s="17">
        <f>+C45</f>
        <v>22941</v>
      </c>
      <c r="D77" s="17">
        <f t="shared" ref="D77:AC77" si="26">+D45</f>
        <v>90426</v>
      </c>
      <c r="E77" s="17">
        <f t="shared" si="26"/>
        <v>45000</v>
      </c>
      <c r="F77" s="17">
        <f t="shared" si="26"/>
        <v>90426</v>
      </c>
      <c r="G77" s="17">
        <f t="shared" si="26"/>
        <v>37100</v>
      </c>
      <c r="H77" s="17">
        <f t="shared" si="26"/>
        <v>165615</v>
      </c>
      <c r="I77" s="17">
        <f t="shared" si="26"/>
        <v>24122</v>
      </c>
      <c r="J77" s="17">
        <f t="shared" si="26"/>
        <v>20231</v>
      </c>
      <c r="K77" s="17">
        <f t="shared" si="26"/>
        <v>0</v>
      </c>
      <c r="L77" s="17">
        <f t="shared" si="26"/>
        <v>20915</v>
      </c>
      <c r="M77" s="17">
        <f t="shared" si="26"/>
        <v>17410</v>
      </c>
      <c r="N77" s="17">
        <f t="shared" si="26"/>
        <v>0</v>
      </c>
      <c r="O77" s="17">
        <f t="shared" si="26"/>
        <v>66503</v>
      </c>
      <c r="P77" s="17">
        <f t="shared" si="26"/>
        <v>10206</v>
      </c>
      <c r="Q77" s="17">
        <f t="shared" si="26"/>
        <v>35460</v>
      </c>
      <c r="R77" s="17">
        <f t="shared" si="26"/>
        <v>0</v>
      </c>
      <c r="S77" s="17">
        <f t="shared" si="26"/>
        <v>12156</v>
      </c>
      <c r="T77" s="17">
        <f t="shared" si="26"/>
        <v>24573</v>
      </c>
      <c r="U77" s="17">
        <f t="shared" si="26"/>
        <v>35394</v>
      </c>
      <c r="V77" s="17">
        <f t="shared" si="26"/>
        <v>26490</v>
      </c>
      <c r="W77" s="17">
        <f t="shared" si="26"/>
        <v>0</v>
      </c>
      <c r="X77" s="17">
        <f t="shared" si="26"/>
        <v>21392</v>
      </c>
      <c r="Y77" s="17">
        <f t="shared" si="26"/>
        <v>49238</v>
      </c>
      <c r="Z77" s="17">
        <f t="shared" si="26"/>
        <v>35394</v>
      </c>
      <c r="AA77" s="17">
        <f t="shared" si="26"/>
        <v>112210</v>
      </c>
      <c r="AB77" s="17">
        <f t="shared" si="26"/>
        <v>0</v>
      </c>
      <c r="AC77" s="40">
        <f t="shared" si="26"/>
        <v>56887</v>
      </c>
      <c r="AD77" s="5"/>
    </row>
    <row r="78" spans="1:30" ht="15.5" x14ac:dyDescent="0.35">
      <c r="A78" s="35" t="s">
        <v>63</v>
      </c>
      <c r="B78" s="20" t="s">
        <v>90</v>
      </c>
      <c r="C78" s="17">
        <f>+C27</f>
        <v>4776</v>
      </c>
      <c r="D78" s="17">
        <f t="shared" ref="D78:AC78" si="27">+D27</f>
        <v>6031.5708333333332</v>
      </c>
      <c r="E78" s="17">
        <f t="shared" si="27"/>
        <v>0</v>
      </c>
      <c r="F78" s="17">
        <f t="shared" si="27"/>
        <v>7915</v>
      </c>
      <c r="G78" s="17">
        <f t="shared" si="27"/>
        <v>7287.2652777777785</v>
      </c>
      <c r="H78" s="17">
        <f t="shared" si="27"/>
        <v>0</v>
      </c>
      <c r="I78" s="17">
        <f t="shared" si="27"/>
        <v>0</v>
      </c>
      <c r="J78" s="17">
        <f t="shared" si="27"/>
        <v>0</v>
      </c>
      <c r="K78" s="17">
        <f t="shared" si="27"/>
        <v>0</v>
      </c>
      <c r="L78" s="17">
        <f t="shared" si="27"/>
        <v>7497.6125000000002</v>
      </c>
      <c r="M78" s="17">
        <f t="shared" si="27"/>
        <v>0</v>
      </c>
      <c r="N78" s="17">
        <f t="shared" si="27"/>
        <v>5404</v>
      </c>
      <c r="O78" s="17">
        <f t="shared" si="27"/>
        <v>8789.8611111111131</v>
      </c>
      <c r="P78" s="17">
        <f t="shared" si="27"/>
        <v>8393.8336111111093</v>
      </c>
      <c r="Q78" s="17">
        <f t="shared" si="27"/>
        <v>6383.1528819444438</v>
      </c>
      <c r="R78" s="17">
        <f t="shared" si="27"/>
        <v>0</v>
      </c>
      <c r="S78" s="17">
        <f t="shared" si="27"/>
        <v>0</v>
      </c>
      <c r="T78" s="17">
        <f t="shared" si="27"/>
        <v>6288.2082553819446</v>
      </c>
      <c r="U78" s="17">
        <f t="shared" si="27"/>
        <v>5363.572942361111</v>
      </c>
      <c r="V78" s="17">
        <f t="shared" si="27"/>
        <v>0</v>
      </c>
      <c r="W78" s="17">
        <f t="shared" si="27"/>
        <v>5363.572942361111</v>
      </c>
      <c r="X78" s="17">
        <f t="shared" si="27"/>
        <v>6383.1528819444438</v>
      </c>
      <c r="Y78" s="17">
        <f t="shared" si="27"/>
        <v>9477.1526006944441</v>
      </c>
      <c r="Z78" s="17">
        <f t="shared" si="27"/>
        <v>9295.2781250000007</v>
      </c>
      <c r="AA78" s="17">
        <f t="shared" si="27"/>
        <v>6140.8101326388887</v>
      </c>
      <c r="AB78" s="17">
        <f t="shared" si="27"/>
        <v>5363.572942361111</v>
      </c>
      <c r="AC78" s="40">
        <f t="shared" si="27"/>
        <v>0</v>
      </c>
      <c r="AD78" s="5"/>
    </row>
    <row r="79" spans="1:30" ht="15.5" x14ac:dyDescent="0.35">
      <c r="A79" s="35" t="s">
        <v>203</v>
      </c>
      <c r="B79" s="20"/>
      <c r="C79" s="18">
        <v>1</v>
      </c>
      <c r="D79" s="18">
        <v>1</v>
      </c>
      <c r="E79" s="18">
        <v>1</v>
      </c>
      <c r="F79" s="18">
        <v>1</v>
      </c>
      <c r="G79" s="18">
        <v>0</v>
      </c>
      <c r="H79" s="18">
        <v>0</v>
      </c>
      <c r="I79" s="18">
        <v>1</v>
      </c>
      <c r="J79" s="18">
        <v>1</v>
      </c>
      <c r="K79" s="18">
        <v>1</v>
      </c>
      <c r="L79" s="18">
        <v>1</v>
      </c>
      <c r="M79" s="18">
        <v>1</v>
      </c>
      <c r="N79" s="18">
        <v>1</v>
      </c>
      <c r="O79" s="18">
        <v>1</v>
      </c>
      <c r="P79" s="18">
        <v>1</v>
      </c>
      <c r="Q79" s="18">
        <v>1</v>
      </c>
      <c r="R79" s="18">
        <v>1</v>
      </c>
      <c r="S79" s="18">
        <v>1</v>
      </c>
      <c r="T79" s="18">
        <v>1</v>
      </c>
      <c r="U79" s="18">
        <v>1</v>
      </c>
      <c r="V79" s="18">
        <v>1</v>
      </c>
      <c r="W79" s="18">
        <v>1</v>
      </c>
      <c r="X79" s="18">
        <v>1</v>
      </c>
      <c r="Y79" s="18">
        <v>1</v>
      </c>
      <c r="Z79" s="18">
        <v>1</v>
      </c>
      <c r="AA79" s="18">
        <v>1</v>
      </c>
      <c r="AB79" s="18">
        <v>1</v>
      </c>
      <c r="AC79" s="41">
        <v>1</v>
      </c>
      <c r="AD79" s="5"/>
    </row>
    <row r="80" spans="1:30" ht="15.5" x14ac:dyDescent="0.35">
      <c r="A80" s="49" t="s">
        <v>64</v>
      </c>
      <c r="B80" s="50" t="s">
        <v>138</v>
      </c>
      <c r="C80" s="51">
        <f>+C81*C82</f>
        <v>0</v>
      </c>
      <c r="D80" s="51">
        <f t="shared" ref="D80:AC80" si="28">+D81*D82</f>
        <v>0</v>
      </c>
      <c r="E80" s="51">
        <f t="shared" si="28"/>
        <v>0</v>
      </c>
      <c r="F80" s="51">
        <f t="shared" si="28"/>
        <v>0</v>
      </c>
      <c r="G80" s="51">
        <f t="shared" si="28"/>
        <v>0</v>
      </c>
      <c r="H80" s="51">
        <f t="shared" si="28"/>
        <v>0</v>
      </c>
      <c r="I80" s="51">
        <f t="shared" si="28"/>
        <v>0</v>
      </c>
      <c r="J80" s="51">
        <f t="shared" si="28"/>
        <v>0</v>
      </c>
      <c r="K80" s="51">
        <f t="shared" si="28"/>
        <v>0</v>
      </c>
      <c r="L80" s="51">
        <f t="shared" si="28"/>
        <v>0</v>
      </c>
      <c r="M80" s="51">
        <f t="shared" si="28"/>
        <v>0</v>
      </c>
      <c r="N80" s="51">
        <f t="shared" si="28"/>
        <v>0</v>
      </c>
      <c r="O80" s="51">
        <f t="shared" si="28"/>
        <v>0</v>
      </c>
      <c r="P80" s="51">
        <f t="shared" si="28"/>
        <v>0</v>
      </c>
      <c r="Q80" s="51">
        <f t="shared" si="28"/>
        <v>0</v>
      </c>
      <c r="R80" s="51">
        <f t="shared" si="28"/>
        <v>0</v>
      </c>
      <c r="S80" s="51">
        <f t="shared" si="28"/>
        <v>0</v>
      </c>
      <c r="T80" s="51">
        <f t="shared" si="28"/>
        <v>0</v>
      </c>
      <c r="U80" s="51">
        <f t="shared" si="28"/>
        <v>0</v>
      </c>
      <c r="V80" s="51">
        <f t="shared" si="28"/>
        <v>0</v>
      </c>
      <c r="W80" s="51">
        <f t="shared" si="28"/>
        <v>0</v>
      </c>
      <c r="X80" s="51">
        <f t="shared" si="28"/>
        <v>0</v>
      </c>
      <c r="Y80" s="51">
        <f t="shared" si="28"/>
        <v>0</v>
      </c>
      <c r="Z80" s="51">
        <f t="shared" si="28"/>
        <v>0</v>
      </c>
      <c r="AA80" s="51">
        <f t="shared" si="28"/>
        <v>0</v>
      </c>
      <c r="AB80" s="51">
        <f t="shared" si="28"/>
        <v>0</v>
      </c>
      <c r="AC80" s="52">
        <f t="shared" si="28"/>
        <v>0</v>
      </c>
      <c r="AD80" s="5"/>
    </row>
    <row r="81" spans="1:30" ht="15.5" x14ac:dyDescent="0.35">
      <c r="A81" s="35" t="s">
        <v>312</v>
      </c>
      <c r="B81" s="20" t="s">
        <v>139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3">
        <v>0</v>
      </c>
      <c r="R81" s="13">
        <v>0</v>
      </c>
      <c r="S81" s="13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36">
        <v>0</v>
      </c>
      <c r="AD81" s="5"/>
    </row>
    <row r="82" spans="1:30" ht="15.5" x14ac:dyDescent="0.35">
      <c r="A82" s="35" t="s">
        <v>313</v>
      </c>
      <c r="B82" s="20" t="s">
        <v>140</v>
      </c>
      <c r="C82" s="17"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40">
        <v>0</v>
      </c>
      <c r="AD82" s="5"/>
    </row>
    <row r="83" spans="1:30" ht="15.5" x14ac:dyDescent="0.35">
      <c r="A83" s="49" t="s">
        <v>199</v>
      </c>
      <c r="B83" s="50" t="s">
        <v>141</v>
      </c>
      <c r="C83" s="51">
        <f>+(((C86+C85)*(1+(1-C87)))-(C85+C86))*C84</f>
        <v>0</v>
      </c>
      <c r="D83" s="51">
        <f>+(((D86+D85)*(1+(1-D87)))-(D85+D86))*D84</f>
        <v>0</v>
      </c>
      <c r="E83" s="51">
        <f t="shared" ref="E83:AC83" si="29">+(((E86+E85)*(1+(1-E87)))-(E85+E86))*E84</f>
        <v>0</v>
      </c>
      <c r="F83" s="51">
        <f t="shared" si="29"/>
        <v>0</v>
      </c>
      <c r="G83" s="51">
        <f t="shared" si="29"/>
        <v>0</v>
      </c>
      <c r="H83" s="51">
        <f t="shared" si="29"/>
        <v>0</v>
      </c>
      <c r="I83" s="51">
        <f t="shared" si="29"/>
        <v>0</v>
      </c>
      <c r="J83" s="51">
        <f t="shared" si="29"/>
        <v>0</v>
      </c>
      <c r="K83" s="51">
        <f t="shared" si="29"/>
        <v>0</v>
      </c>
      <c r="L83" s="51">
        <f t="shared" si="29"/>
        <v>0</v>
      </c>
      <c r="M83" s="51">
        <f t="shared" si="29"/>
        <v>0</v>
      </c>
      <c r="N83" s="51">
        <f t="shared" si="29"/>
        <v>0</v>
      </c>
      <c r="O83" s="51">
        <f t="shared" si="29"/>
        <v>187828.2396000009</v>
      </c>
      <c r="P83" s="51">
        <f t="shared" si="29"/>
        <v>0</v>
      </c>
      <c r="Q83" s="51">
        <f t="shared" si="29"/>
        <v>0</v>
      </c>
      <c r="R83" s="51">
        <f t="shared" si="29"/>
        <v>0</v>
      </c>
      <c r="S83" s="51">
        <f t="shared" si="29"/>
        <v>0</v>
      </c>
      <c r="T83" s="51">
        <f t="shared" si="29"/>
        <v>0</v>
      </c>
      <c r="U83" s="51">
        <f t="shared" si="29"/>
        <v>0</v>
      </c>
      <c r="V83" s="51">
        <f t="shared" si="29"/>
        <v>0</v>
      </c>
      <c r="W83" s="51">
        <f t="shared" si="29"/>
        <v>0</v>
      </c>
      <c r="X83" s="51">
        <f t="shared" si="29"/>
        <v>0</v>
      </c>
      <c r="Y83" s="51">
        <f t="shared" si="29"/>
        <v>0</v>
      </c>
      <c r="Z83" s="51">
        <f t="shared" si="29"/>
        <v>0</v>
      </c>
      <c r="AA83" s="51">
        <f t="shared" si="29"/>
        <v>0</v>
      </c>
      <c r="AB83" s="51">
        <f t="shared" si="29"/>
        <v>0</v>
      </c>
      <c r="AC83" s="52">
        <f t="shared" si="29"/>
        <v>0</v>
      </c>
      <c r="AD83" s="5"/>
    </row>
    <row r="84" spans="1:30" ht="15.5" x14ac:dyDescent="0.35">
      <c r="A84" s="35" t="s">
        <v>200</v>
      </c>
      <c r="B84" s="20" t="s">
        <v>142</v>
      </c>
      <c r="C84" s="12">
        <f>48*4</f>
        <v>192</v>
      </c>
      <c r="D84" s="12">
        <f>48*4</f>
        <v>192</v>
      </c>
      <c r="E84" s="12">
        <v>192</v>
      </c>
      <c r="F84" s="12">
        <v>192</v>
      </c>
      <c r="G84" s="12">
        <v>192</v>
      </c>
      <c r="H84" s="12">
        <v>192</v>
      </c>
      <c r="I84" s="12">
        <v>192</v>
      </c>
      <c r="J84" s="12">
        <v>192</v>
      </c>
      <c r="K84" s="12">
        <v>192</v>
      </c>
      <c r="L84" s="12">
        <v>192</v>
      </c>
      <c r="M84" s="12">
        <v>192</v>
      </c>
      <c r="N84" s="12">
        <v>192</v>
      </c>
      <c r="O84" s="12">
        <v>192</v>
      </c>
      <c r="P84" s="12">
        <v>192</v>
      </c>
      <c r="Q84" s="12">
        <v>192</v>
      </c>
      <c r="R84" s="12">
        <v>192</v>
      </c>
      <c r="S84" s="12">
        <v>192</v>
      </c>
      <c r="T84" s="12">
        <v>192</v>
      </c>
      <c r="U84" s="12">
        <v>192</v>
      </c>
      <c r="V84" s="12">
        <v>192</v>
      </c>
      <c r="W84" s="12">
        <v>192</v>
      </c>
      <c r="X84" s="12">
        <v>192</v>
      </c>
      <c r="Y84" s="12">
        <v>192</v>
      </c>
      <c r="Z84" s="12">
        <v>192</v>
      </c>
      <c r="AA84" s="12">
        <v>192</v>
      </c>
      <c r="AB84" s="12">
        <v>192</v>
      </c>
      <c r="AC84" s="36">
        <v>192</v>
      </c>
      <c r="AD84" s="5"/>
    </row>
    <row r="85" spans="1:30" ht="15.5" x14ac:dyDescent="0.35">
      <c r="A85" s="44" t="s">
        <v>62</v>
      </c>
      <c r="B85" s="20" t="s">
        <v>108</v>
      </c>
      <c r="C85" s="17">
        <f t="shared" ref="C85:P85" si="30">+C45</f>
        <v>22941</v>
      </c>
      <c r="D85" s="17">
        <f t="shared" si="30"/>
        <v>90426</v>
      </c>
      <c r="E85" s="17">
        <f t="shared" si="30"/>
        <v>45000</v>
      </c>
      <c r="F85" s="17">
        <f t="shared" si="30"/>
        <v>90426</v>
      </c>
      <c r="G85" s="17">
        <f t="shared" si="30"/>
        <v>37100</v>
      </c>
      <c r="H85" s="17">
        <f t="shared" si="30"/>
        <v>165615</v>
      </c>
      <c r="I85" s="17">
        <f t="shared" si="30"/>
        <v>24122</v>
      </c>
      <c r="J85" s="17">
        <f t="shared" si="30"/>
        <v>20231</v>
      </c>
      <c r="K85" s="17">
        <f t="shared" si="30"/>
        <v>0</v>
      </c>
      <c r="L85" s="17">
        <f t="shared" si="30"/>
        <v>20915</v>
      </c>
      <c r="M85" s="17">
        <f t="shared" si="30"/>
        <v>17410</v>
      </c>
      <c r="N85" s="17">
        <f t="shared" si="30"/>
        <v>0</v>
      </c>
      <c r="O85" s="17">
        <f t="shared" si="30"/>
        <v>66503</v>
      </c>
      <c r="P85" s="17">
        <f t="shared" si="30"/>
        <v>10206</v>
      </c>
      <c r="Q85" s="17">
        <f t="shared" ref="Q85:AC85" si="31">+Q45</f>
        <v>35460</v>
      </c>
      <c r="R85" s="17">
        <f t="shared" si="31"/>
        <v>0</v>
      </c>
      <c r="S85" s="17">
        <f t="shared" si="31"/>
        <v>12156</v>
      </c>
      <c r="T85" s="17">
        <f t="shared" si="31"/>
        <v>24573</v>
      </c>
      <c r="U85" s="17">
        <f t="shared" si="31"/>
        <v>35394</v>
      </c>
      <c r="V85" s="17">
        <f t="shared" si="31"/>
        <v>26490</v>
      </c>
      <c r="W85" s="17">
        <f t="shared" si="31"/>
        <v>0</v>
      </c>
      <c r="X85" s="17">
        <f t="shared" si="31"/>
        <v>21392</v>
      </c>
      <c r="Y85" s="17">
        <f t="shared" si="31"/>
        <v>49238</v>
      </c>
      <c r="Z85" s="17">
        <f t="shared" si="31"/>
        <v>35394</v>
      </c>
      <c r="AA85" s="17">
        <f t="shared" si="31"/>
        <v>112210</v>
      </c>
      <c r="AB85" s="17">
        <f t="shared" si="31"/>
        <v>0</v>
      </c>
      <c r="AC85" s="40">
        <f t="shared" si="31"/>
        <v>56887</v>
      </c>
      <c r="AD85" s="5"/>
    </row>
    <row r="86" spans="1:30" ht="15.5" x14ac:dyDescent="0.35">
      <c r="A86" s="35" t="s">
        <v>67</v>
      </c>
      <c r="B86" s="20" t="s">
        <v>137</v>
      </c>
      <c r="C86" s="17">
        <f t="shared" ref="C86:AC86" si="32">+(C14+C17+C18+C19+C20+C21+C22+C23)/(30*8)</f>
        <v>4532.3347222222228</v>
      </c>
      <c r="D86" s="17">
        <f t="shared" si="32"/>
        <v>7497.6125000000002</v>
      </c>
      <c r="E86" s="17">
        <f t="shared" si="32"/>
        <v>7497.6125000000002</v>
      </c>
      <c r="F86" s="17">
        <f t="shared" si="32"/>
        <v>8996.0597222222223</v>
      </c>
      <c r="G86" s="17">
        <f t="shared" si="32"/>
        <v>6093.2569444444443</v>
      </c>
      <c r="H86" s="17">
        <f t="shared" si="32"/>
        <v>8895.8333333333339</v>
      </c>
      <c r="I86" s="17">
        <f t="shared" si="32"/>
        <v>7242.0055555555555</v>
      </c>
      <c r="J86" s="17">
        <f t="shared" si="32"/>
        <v>5176.0965277777768</v>
      </c>
      <c r="K86" s="17">
        <f t="shared" si="32"/>
        <v>5955.6680555555549</v>
      </c>
      <c r="L86" s="17">
        <f t="shared" si="32"/>
        <v>8302.7777777777774</v>
      </c>
      <c r="M86" s="17">
        <f t="shared" si="32"/>
        <v>7242.0055555555555</v>
      </c>
      <c r="N86" s="17">
        <f t="shared" si="32"/>
        <v>7031.4708333333338</v>
      </c>
      <c r="O86" s="17">
        <f t="shared" si="32"/>
        <v>5961.5986111111115</v>
      </c>
      <c r="P86" s="17">
        <f t="shared" si="32"/>
        <v>8780.1875</v>
      </c>
      <c r="Q86" s="17">
        <f t="shared" si="32"/>
        <v>6052.0231944444431</v>
      </c>
      <c r="R86" s="17">
        <f t="shared" si="32"/>
        <v>5074.9641666666666</v>
      </c>
      <c r="S86" s="17">
        <f t="shared" si="32"/>
        <v>5567.200277777778</v>
      </c>
      <c r="T86" s="17">
        <f t="shared" si="32"/>
        <v>5074.9641666666666</v>
      </c>
      <c r="U86" s="17">
        <f t="shared" si="32"/>
        <v>5086.8252777777789</v>
      </c>
      <c r="V86" s="17">
        <f t="shared" si="32"/>
        <v>5448.5891666666666</v>
      </c>
      <c r="W86" s="17">
        <f t="shared" si="32"/>
        <v>5086.8252777777789</v>
      </c>
      <c r="X86" s="17">
        <f t="shared" si="32"/>
        <v>6052.0231944444431</v>
      </c>
      <c r="Y86" s="17">
        <f t="shared" si="32"/>
        <v>9148.9553749999995</v>
      </c>
      <c r="Z86" s="17">
        <f t="shared" si="32"/>
        <v>8780.1875</v>
      </c>
      <c r="AA86" s="17">
        <f t="shared" si="32"/>
        <v>5088.942486111112</v>
      </c>
      <c r="AB86" s="17">
        <f t="shared" si="32"/>
        <v>5389.283611111111</v>
      </c>
      <c r="AC86" s="40">
        <f t="shared" si="32"/>
        <v>10081.944444444445</v>
      </c>
      <c r="AD86" s="5"/>
    </row>
    <row r="87" spans="1:30" ht="15.5" x14ac:dyDescent="0.35">
      <c r="A87" s="35" t="s">
        <v>204</v>
      </c>
      <c r="B87" s="20"/>
      <c r="C87" s="32">
        <f t="shared" ref="C87:AC87" si="33">+(100%-C16)</f>
        <v>1</v>
      </c>
      <c r="D87" s="32">
        <f t="shared" si="33"/>
        <v>1</v>
      </c>
      <c r="E87" s="32">
        <f t="shared" si="33"/>
        <v>1</v>
      </c>
      <c r="F87" s="32">
        <f t="shared" si="33"/>
        <v>1</v>
      </c>
      <c r="G87" s="32">
        <f t="shared" si="33"/>
        <v>1</v>
      </c>
      <c r="H87" s="32">
        <f t="shared" si="33"/>
        <v>1</v>
      </c>
      <c r="I87" s="32">
        <f t="shared" si="33"/>
        <v>1</v>
      </c>
      <c r="J87" s="32">
        <f t="shared" si="33"/>
        <v>1</v>
      </c>
      <c r="K87" s="32">
        <f t="shared" si="33"/>
        <v>1</v>
      </c>
      <c r="L87" s="32">
        <f t="shared" si="33"/>
        <v>1</v>
      </c>
      <c r="M87" s="32">
        <f t="shared" si="33"/>
        <v>1</v>
      </c>
      <c r="N87" s="32">
        <f t="shared" si="33"/>
        <v>1</v>
      </c>
      <c r="O87" s="32">
        <f t="shared" si="33"/>
        <v>0.98650000000000004</v>
      </c>
      <c r="P87" s="32">
        <f t="shared" si="33"/>
        <v>1</v>
      </c>
      <c r="Q87" s="32">
        <f t="shared" si="33"/>
        <v>1</v>
      </c>
      <c r="R87" s="32">
        <f t="shared" si="33"/>
        <v>1</v>
      </c>
      <c r="S87" s="32">
        <f t="shared" si="33"/>
        <v>1</v>
      </c>
      <c r="T87" s="32">
        <f t="shared" si="33"/>
        <v>1</v>
      </c>
      <c r="U87" s="32">
        <f t="shared" si="33"/>
        <v>1</v>
      </c>
      <c r="V87" s="32">
        <f t="shared" si="33"/>
        <v>1</v>
      </c>
      <c r="W87" s="32">
        <f t="shared" si="33"/>
        <v>1</v>
      </c>
      <c r="X87" s="32">
        <f t="shared" si="33"/>
        <v>1</v>
      </c>
      <c r="Y87" s="32">
        <f t="shared" si="33"/>
        <v>1</v>
      </c>
      <c r="Z87" s="32">
        <f t="shared" si="33"/>
        <v>1</v>
      </c>
      <c r="AA87" s="32">
        <f t="shared" si="33"/>
        <v>1</v>
      </c>
      <c r="AB87" s="32">
        <f t="shared" si="33"/>
        <v>1</v>
      </c>
      <c r="AC87" s="48">
        <f t="shared" si="33"/>
        <v>1</v>
      </c>
      <c r="AD87" s="5"/>
    </row>
    <row r="88" spans="1:30" ht="15.5" x14ac:dyDescent="0.35">
      <c r="A88" s="49" t="s">
        <v>68</v>
      </c>
      <c r="B88" s="50" t="s">
        <v>143</v>
      </c>
      <c r="C88" s="51">
        <f>+C89*C90</f>
        <v>0</v>
      </c>
      <c r="D88" s="51">
        <f t="shared" ref="D88:AC88" si="34">+D89*D90</f>
        <v>0</v>
      </c>
      <c r="E88" s="51">
        <f t="shared" si="34"/>
        <v>0</v>
      </c>
      <c r="F88" s="51">
        <f t="shared" si="34"/>
        <v>0</v>
      </c>
      <c r="G88" s="51">
        <f t="shared" si="34"/>
        <v>0</v>
      </c>
      <c r="H88" s="51">
        <f t="shared" si="34"/>
        <v>0</v>
      </c>
      <c r="I88" s="51">
        <f t="shared" si="34"/>
        <v>0</v>
      </c>
      <c r="J88" s="51">
        <f t="shared" si="34"/>
        <v>0</v>
      </c>
      <c r="K88" s="51">
        <f t="shared" si="34"/>
        <v>0</v>
      </c>
      <c r="L88" s="51">
        <f t="shared" si="34"/>
        <v>0</v>
      </c>
      <c r="M88" s="51">
        <f t="shared" si="34"/>
        <v>0</v>
      </c>
      <c r="N88" s="51">
        <f t="shared" si="34"/>
        <v>0</v>
      </c>
      <c r="O88" s="51">
        <f t="shared" si="34"/>
        <v>0</v>
      </c>
      <c r="P88" s="51">
        <f t="shared" si="34"/>
        <v>0</v>
      </c>
      <c r="Q88" s="51">
        <f t="shared" si="34"/>
        <v>0</v>
      </c>
      <c r="R88" s="51">
        <f t="shared" si="34"/>
        <v>0</v>
      </c>
      <c r="S88" s="51">
        <f t="shared" si="34"/>
        <v>0</v>
      </c>
      <c r="T88" s="51">
        <f t="shared" si="34"/>
        <v>0</v>
      </c>
      <c r="U88" s="51">
        <f t="shared" si="34"/>
        <v>0</v>
      </c>
      <c r="V88" s="51">
        <f t="shared" si="34"/>
        <v>0</v>
      </c>
      <c r="W88" s="51">
        <f t="shared" si="34"/>
        <v>0</v>
      </c>
      <c r="X88" s="51">
        <f t="shared" si="34"/>
        <v>0</v>
      </c>
      <c r="Y88" s="51">
        <f t="shared" si="34"/>
        <v>0</v>
      </c>
      <c r="Z88" s="51">
        <f t="shared" si="34"/>
        <v>0</v>
      </c>
      <c r="AA88" s="51">
        <f t="shared" si="34"/>
        <v>0</v>
      </c>
      <c r="AB88" s="51">
        <f t="shared" si="34"/>
        <v>0</v>
      </c>
      <c r="AC88" s="52">
        <f t="shared" si="34"/>
        <v>0</v>
      </c>
      <c r="AD88" s="5"/>
    </row>
    <row r="89" spans="1:30" ht="15.5" x14ac:dyDescent="0.35">
      <c r="A89" s="35" t="s">
        <v>310</v>
      </c>
      <c r="B89" s="20" t="s">
        <v>144</v>
      </c>
      <c r="C89" s="17"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40">
        <v>0</v>
      </c>
      <c r="AD89" s="3"/>
    </row>
    <row r="90" spans="1:30" ht="15.5" x14ac:dyDescent="0.35">
      <c r="A90" s="35" t="s">
        <v>311</v>
      </c>
      <c r="B90" s="20" t="s">
        <v>145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41">
        <v>0</v>
      </c>
      <c r="AD90" s="5"/>
    </row>
    <row r="91" spans="1:30" ht="15.5" x14ac:dyDescent="0.35">
      <c r="A91" s="49" t="s">
        <v>71</v>
      </c>
      <c r="B91" s="50" t="s">
        <v>146</v>
      </c>
      <c r="C91" s="51">
        <f>+C92*C93</f>
        <v>0</v>
      </c>
      <c r="D91" s="51">
        <f t="shared" ref="D91:AC91" si="35">+D92*D93</f>
        <v>0</v>
      </c>
      <c r="E91" s="51">
        <f t="shared" si="35"/>
        <v>0</v>
      </c>
      <c r="F91" s="51">
        <f t="shared" si="35"/>
        <v>0</v>
      </c>
      <c r="G91" s="51">
        <f t="shared" si="35"/>
        <v>0</v>
      </c>
      <c r="H91" s="51">
        <f t="shared" si="35"/>
        <v>0</v>
      </c>
      <c r="I91" s="51">
        <f t="shared" si="35"/>
        <v>0</v>
      </c>
      <c r="J91" s="51">
        <f t="shared" si="35"/>
        <v>0</v>
      </c>
      <c r="K91" s="51">
        <f t="shared" si="35"/>
        <v>0</v>
      </c>
      <c r="L91" s="51">
        <f t="shared" si="35"/>
        <v>0</v>
      </c>
      <c r="M91" s="51">
        <f t="shared" si="35"/>
        <v>0</v>
      </c>
      <c r="N91" s="51">
        <f t="shared" si="35"/>
        <v>0</v>
      </c>
      <c r="O91" s="51">
        <f t="shared" si="35"/>
        <v>0</v>
      </c>
      <c r="P91" s="51">
        <f t="shared" si="35"/>
        <v>0</v>
      </c>
      <c r="Q91" s="51">
        <f t="shared" si="35"/>
        <v>0</v>
      </c>
      <c r="R91" s="51">
        <f t="shared" si="35"/>
        <v>0</v>
      </c>
      <c r="S91" s="51">
        <f t="shared" si="35"/>
        <v>0</v>
      </c>
      <c r="T91" s="51">
        <f t="shared" si="35"/>
        <v>0</v>
      </c>
      <c r="U91" s="51">
        <f t="shared" si="35"/>
        <v>0</v>
      </c>
      <c r="V91" s="51">
        <f t="shared" si="35"/>
        <v>0</v>
      </c>
      <c r="W91" s="51">
        <f t="shared" si="35"/>
        <v>0</v>
      </c>
      <c r="X91" s="51">
        <f t="shared" si="35"/>
        <v>0</v>
      </c>
      <c r="Y91" s="51">
        <f>+Y92*Y93</f>
        <v>0</v>
      </c>
      <c r="Z91" s="51">
        <f t="shared" si="35"/>
        <v>0</v>
      </c>
      <c r="AA91" s="51">
        <f t="shared" si="35"/>
        <v>0</v>
      </c>
      <c r="AB91" s="51">
        <f t="shared" si="35"/>
        <v>0</v>
      </c>
      <c r="AC91" s="52">
        <f t="shared" si="35"/>
        <v>0</v>
      </c>
      <c r="AD91" s="5"/>
    </row>
    <row r="92" spans="1:30" ht="15.5" x14ac:dyDescent="0.35">
      <c r="A92" s="35" t="s">
        <v>72</v>
      </c>
      <c r="B92" s="20" t="s">
        <v>147</v>
      </c>
      <c r="C92" s="17">
        <v>170000</v>
      </c>
      <c r="D92" s="17">
        <v>170000</v>
      </c>
      <c r="E92" s="17">
        <v>170000</v>
      </c>
      <c r="F92" s="17">
        <v>170000</v>
      </c>
      <c r="G92" s="17">
        <v>170000</v>
      </c>
      <c r="H92" s="17">
        <v>170000</v>
      </c>
      <c r="I92" s="17">
        <v>170000</v>
      </c>
      <c r="J92" s="17">
        <v>170000</v>
      </c>
      <c r="K92" s="17">
        <v>170000</v>
      </c>
      <c r="L92" s="17">
        <v>170000</v>
      </c>
      <c r="M92" s="17">
        <v>170000</v>
      </c>
      <c r="N92" s="17">
        <v>170000</v>
      </c>
      <c r="O92" s="17">
        <v>170000</v>
      </c>
      <c r="P92" s="17">
        <v>200000</v>
      </c>
      <c r="Q92" s="17">
        <v>200000</v>
      </c>
      <c r="R92" s="17">
        <v>200000</v>
      </c>
      <c r="S92" s="17">
        <v>200000</v>
      </c>
      <c r="T92" s="17">
        <v>200000</v>
      </c>
      <c r="U92" s="17">
        <v>200000</v>
      </c>
      <c r="V92" s="17">
        <v>200000</v>
      </c>
      <c r="W92" s="17">
        <v>200000</v>
      </c>
      <c r="X92" s="17">
        <v>200000</v>
      </c>
      <c r="Y92" s="17">
        <v>200000</v>
      </c>
      <c r="Z92" s="17">
        <v>200000</v>
      </c>
      <c r="AA92" s="17">
        <v>200000</v>
      </c>
      <c r="AB92" s="17">
        <v>200000</v>
      </c>
      <c r="AC92" s="40">
        <v>200000</v>
      </c>
      <c r="AD92" s="5"/>
    </row>
    <row r="93" spans="1:30" ht="15.5" x14ac:dyDescent="0.35">
      <c r="A93" s="35" t="s">
        <v>73</v>
      </c>
      <c r="B93" s="20" t="s">
        <v>148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36">
        <v>0</v>
      </c>
      <c r="AD93" s="5"/>
    </row>
    <row r="94" spans="1:30" ht="15.5" x14ac:dyDescent="0.35">
      <c r="A94" s="49" t="s">
        <v>74</v>
      </c>
      <c r="B94" s="50" t="s">
        <v>149</v>
      </c>
      <c r="C94" s="51">
        <f>+C95*C96</f>
        <v>0</v>
      </c>
      <c r="D94" s="51">
        <f t="shared" ref="D94:AC94" si="36">+D95*D96</f>
        <v>0</v>
      </c>
      <c r="E94" s="51">
        <f t="shared" si="36"/>
        <v>0</v>
      </c>
      <c r="F94" s="51">
        <f t="shared" si="36"/>
        <v>0</v>
      </c>
      <c r="G94" s="51">
        <f t="shared" si="36"/>
        <v>0</v>
      </c>
      <c r="H94" s="51">
        <f t="shared" si="36"/>
        <v>0</v>
      </c>
      <c r="I94" s="51">
        <f t="shared" si="36"/>
        <v>0</v>
      </c>
      <c r="J94" s="51">
        <f t="shared" si="36"/>
        <v>0</v>
      </c>
      <c r="K94" s="51">
        <f t="shared" si="36"/>
        <v>0</v>
      </c>
      <c r="L94" s="51">
        <f t="shared" si="36"/>
        <v>0</v>
      </c>
      <c r="M94" s="51">
        <f t="shared" si="36"/>
        <v>0</v>
      </c>
      <c r="N94" s="51">
        <f t="shared" si="36"/>
        <v>0</v>
      </c>
      <c r="O94" s="51">
        <f t="shared" si="36"/>
        <v>0</v>
      </c>
      <c r="P94" s="51">
        <f t="shared" si="36"/>
        <v>0</v>
      </c>
      <c r="Q94" s="51">
        <f t="shared" si="36"/>
        <v>0</v>
      </c>
      <c r="R94" s="51">
        <f t="shared" si="36"/>
        <v>0</v>
      </c>
      <c r="S94" s="51">
        <f t="shared" si="36"/>
        <v>0</v>
      </c>
      <c r="T94" s="51">
        <f t="shared" si="36"/>
        <v>0</v>
      </c>
      <c r="U94" s="51">
        <f t="shared" si="36"/>
        <v>0</v>
      </c>
      <c r="V94" s="51">
        <f t="shared" si="36"/>
        <v>0</v>
      </c>
      <c r="W94" s="51">
        <f t="shared" si="36"/>
        <v>0</v>
      </c>
      <c r="X94" s="51">
        <f t="shared" si="36"/>
        <v>0</v>
      </c>
      <c r="Y94" s="51">
        <f t="shared" si="36"/>
        <v>0</v>
      </c>
      <c r="Z94" s="51">
        <f t="shared" si="36"/>
        <v>0</v>
      </c>
      <c r="AA94" s="51">
        <f t="shared" si="36"/>
        <v>0</v>
      </c>
      <c r="AB94" s="51">
        <f t="shared" si="36"/>
        <v>0</v>
      </c>
      <c r="AC94" s="52">
        <f t="shared" si="36"/>
        <v>0</v>
      </c>
      <c r="AD94" s="5"/>
    </row>
    <row r="95" spans="1:30" ht="15.5" x14ac:dyDescent="0.35">
      <c r="A95" s="35" t="s">
        <v>75</v>
      </c>
      <c r="B95" s="20" t="s">
        <v>150</v>
      </c>
      <c r="C95" s="17">
        <v>31047.045138888887</v>
      </c>
      <c r="D95" s="17">
        <v>31047.045138888887</v>
      </c>
      <c r="E95" s="17">
        <v>31047.045138888887</v>
      </c>
      <c r="F95" s="17">
        <v>31047.045138888887</v>
      </c>
      <c r="G95" s="17">
        <v>31047.045138888887</v>
      </c>
      <c r="H95" s="17">
        <v>31047.045138888887</v>
      </c>
      <c r="I95" s="17">
        <v>31047.045138888887</v>
      </c>
      <c r="J95" s="17">
        <v>31047.045138888887</v>
      </c>
      <c r="K95" s="17">
        <v>31047.045138888887</v>
      </c>
      <c r="L95" s="17">
        <v>31047.045138888887</v>
      </c>
      <c r="M95" s="17">
        <v>31047.045138888887</v>
      </c>
      <c r="N95" s="17">
        <v>31047.045138888887</v>
      </c>
      <c r="O95" s="17">
        <v>31047.045138888887</v>
      </c>
      <c r="P95" s="17">
        <v>32832.253373611115</v>
      </c>
      <c r="Q95" s="17">
        <v>32832.253373611115</v>
      </c>
      <c r="R95" s="17">
        <v>32832.253373611115</v>
      </c>
      <c r="S95" s="17">
        <v>32832.253373611115</v>
      </c>
      <c r="T95" s="17">
        <v>32832.253373611115</v>
      </c>
      <c r="U95" s="17">
        <v>32832.253373611115</v>
      </c>
      <c r="V95" s="17">
        <v>32832.253373611115</v>
      </c>
      <c r="W95" s="17">
        <v>32832.253373611115</v>
      </c>
      <c r="X95" s="17">
        <v>32832.253373611115</v>
      </c>
      <c r="Y95" s="17">
        <v>32832.253373611115</v>
      </c>
      <c r="Z95" s="17">
        <v>32832.253373611115</v>
      </c>
      <c r="AA95" s="17">
        <v>32832.253373611115</v>
      </c>
      <c r="AB95" s="17">
        <v>32832.253373611115</v>
      </c>
      <c r="AC95" s="40">
        <v>32832.253373611115</v>
      </c>
      <c r="AD95" s="5"/>
    </row>
    <row r="96" spans="1:30" ht="15.5" x14ac:dyDescent="0.35">
      <c r="A96" s="35" t="s">
        <v>76</v>
      </c>
      <c r="B96" s="20" t="s">
        <v>151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36">
        <v>0</v>
      </c>
      <c r="AD96" s="5"/>
    </row>
    <row r="97" spans="1:30" ht="15.5" x14ac:dyDescent="0.35">
      <c r="A97" s="49" t="s">
        <v>77</v>
      </c>
      <c r="B97" s="50" t="s">
        <v>152</v>
      </c>
      <c r="C97" s="51">
        <f>+C98*C99</f>
        <v>0</v>
      </c>
      <c r="D97" s="51">
        <f t="shared" ref="D97:AC97" si="37">+D98*D99</f>
        <v>5717.6472222222228</v>
      </c>
      <c r="E97" s="51">
        <f t="shared" si="37"/>
        <v>0</v>
      </c>
      <c r="F97" s="51">
        <f t="shared" si="37"/>
        <v>5717.6472222222228</v>
      </c>
      <c r="G97" s="51">
        <f t="shared" si="37"/>
        <v>5717.6472222222228</v>
      </c>
      <c r="H97" s="51">
        <f t="shared" si="37"/>
        <v>0</v>
      </c>
      <c r="I97" s="51">
        <f t="shared" si="37"/>
        <v>0</v>
      </c>
      <c r="J97" s="51">
        <f t="shared" si="37"/>
        <v>0</v>
      </c>
      <c r="K97" s="51">
        <f t="shared" si="37"/>
        <v>0</v>
      </c>
      <c r="L97" s="51">
        <f t="shared" si="37"/>
        <v>0</v>
      </c>
      <c r="M97" s="51">
        <f t="shared" si="37"/>
        <v>0</v>
      </c>
      <c r="N97" s="51">
        <f t="shared" si="37"/>
        <v>0</v>
      </c>
      <c r="O97" s="51">
        <f t="shared" si="37"/>
        <v>11435.294444444446</v>
      </c>
      <c r="P97" s="51">
        <f t="shared" si="37"/>
        <v>12053.699166666667</v>
      </c>
      <c r="Q97" s="51">
        <f t="shared" si="37"/>
        <v>6026.8495833333336</v>
      </c>
      <c r="R97" s="51">
        <f t="shared" si="37"/>
        <v>0</v>
      </c>
      <c r="S97" s="51">
        <f t="shared" si="37"/>
        <v>0</v>
      </c>
      <c r="T97" s="51">
        <f t="shared" si="37"/>
        <v>0</v>
      </c>
      <c r="U97" s="51">
        <f t="shared" si="37"/>
        <v>12053.699166666667</v>
      </c>
      <c r="V97" s="51">
        <f t="shared" si="37"/>
        <v>0</v>
      </c>
      <c r="W97" s="51">
        <f t="shared" si="37"/>
        <v>0</v>
      </c>
      <c r="X97" s="51">
        <f t="shared" si="37"/>
        <v>6026.8495833333336</v>
      </c>
      <c r="Y97" s="51">
        <f t="shared" si="37"/>
        <v>0</v>
      </c>
      <c r="Z97" s="51">
        <f t="shared" si="37"/>
        <v>6026.8495833333336</v>
      </c>
      <c r="AA97" s="51">
        <f t="shared" si="37"/>
        <v>0</v>
      </c>
      <c r="AB97" s="51">
        <f t="shared" si="37"/>
        <v>0</v>
      </c>
      <c r="AC97" s="52">
        <f t="shared" si="37"/>
        <v>0</v>
      </c>
      <c r="AD97" s="5"/>
    </row>
    <row r="98" spans="1:30" ht="15.5" x14ac:dyDescent="0.35">
      <c r="A98" s="35" t="s">
        <v>78</v>
      </c>
      <c r="B98" s="20" t="s">
        <v>153</v>
      </c>
      <c r="C98" s="17">
        <v>5717.6472222222228</v>
      </c>
      <c r="D98" s="17">
        <v>5717.6472222222228</v>
      </c>
      <c r="E98" s="17">
        <v>5717.6472222222228</v>
      </c>
      <c r="F98" s="17">
        <v>5717.6472222222228</v>
      </c>
      <c r="G98" s="17">
        <v>5717.6472222222228</v>
      </c>
      <c r="H98" s="17">
        <v>5717.6472222222228</v>
      </c>
      <c r="I98" s="17">
        <v>5717.6472222222228</v>
      </c>
      <c r="J98" s="17">
        <v>5717.6472222222228</v>
      </c>
      <c r="K98" s="17">
        <v>5717.6472222222228</v>
      </c>
      <c r="L98" s="17">
        <v>5717.6472222222228</v>
      </c>
      <c r="M98" s="17">
        <v>5717.6472222222228</v>
      </c>
      <c r="N98" s="17">
        <v>5717.6472222222228</v>
      </c>
      <c r="O98" s="17">
        <v>5717.6472222222228</v>
      </c>
      <c r="P98" s="17">
        <v>6026.8495833333336</v>
      </c>
      <c r="Q98" s="17">
        <v>6026.8495833333336</v>
      </c>
      <c r="R98" s="17">
        <v>6026.8495833333336</v>
      </c>
      <c r="S98" s="17">
        <v>6026.8495833333336</v>
      </c>
      <c r="T98" s="17">
        <v>6026.8495833333336</v>
      </c>
      <c r="U98" s="17">
        <v>6026.8495833333336</v>
      </c>
      <c r="V98" s="17">
        <v>6026.8495833333336</v>
      </c>
      <c r="W98" s="17">
        <v>6026.8495833333336</v>
      </c>
      <c r="X98" s="17">
        <v>6026.8495833333336</v>
      </c>
      <c r="Y98" s="17">
        <v>6026.8495833333336</v>
      </c>
      <c r="Z98" s="17">
        <v>6026.8495833333336</v>
      </c>
      <c r="AA98" s="17">
        <v>6026.8495833333336</v>
      </c>
      <c r="AB98" s="17">
        <v>6026.8495833333336</v>
      </c>
      <c r="AC98" s="40">
        <v>6026.8495833333336</v>
      </c>
      <c r="AD98" s="5"/>
    </row>
    <row r="99" spans="1:30" ht="15.5" x14ac:dyDescent="0.35">
      <c r="A99" s="35" t="s">
        <v>79</v>
      </c>
      <c r="B99" s="20" t="s">
        <v>154</v>
      </c>
      <c r="C99" s="12">
        <v>0</v>
      </c>
      <c r="D99" s="12">
        <v>1</v>
      </c>
      <c r="E99" s="12">
        <v>0</v>
      </c>
      <c r="F99" s="12">
        <v>1</v>
      </c>
      <c r="G99" s="12">
        <v>1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2</v>
      </c>
      <c r="P99" s="12">
        <v>2</v>
      </c>
      <c r="Q99" s="13">
        <v>1</v>
      </c>
      <c r="R99" s="13">
        <v>0</v>
      </c>
      <c r="S99" s="13">
        <v>0</v>
      </c>
      <c r="T99" s="13">
        <v>0</v>
      </c>
      <c r="U99" s="13">
        <v>2</v>
      </c>
      <c r="V99" s="13">
        <v>0</v>
      </c>
      <c r="W99" s="13">
        <v>0</v>
      </c>
      <c r="X99" s="13">
        <v>1</v>
      </c>
      <c r="Y99" s="13">
        <v>0</v>
      </c>
      <c r="Z99" s="13">
        <v>1</v>
      </c>
      <c r="AA99" s="13">
        <v>0</v>
      </c>
      <c r="AB99" s="13">
        <v>0</v>
      </c>
      <c r="AC99" s="39">
        <v>0</v>
      </c>
      <c r="AD99" s="5"/>
    </row>
    <row r="100" spans="1:30" ht="15.5" x14ac:dyDescent="0.35">
      <c r="A100" s="49" t="s">
        <v>85</v>
      </c>
      <c r="B100" s="50" t="s">
        <v>155</v>
      </c>
      <c r="C100" s="51">
        <f>+(C101+C103)*C102</f>
        <v>0</v>
      </c>
      <c r="D100" s="51">
        <f t="shared" ref="D100:AC100" si="38">+(D101+D103)*D102</f>
        <v>0</v>
      </c>
      <c r="E100" s="51">
        <f t="shared" si="38"/>
        <v>0</v>
      </c>
      <c r="F100" s="51">
        <f t="shared" si="38"/>
        <v>0</v>
      </c>
      <c r="G100" s="51">
        <f t="shared" si="38"/>
        <v>0</v>
      </c>
      <c r="H100" s="51">
        <f t="shared" si="38"/>
        <v>0</v>
      </c>
      <c r="I100" s="51">
        <f t="shared" si="38"/>
        <v>0</v>
      </c>
      <c r="J100" s="51">
        <f t="shared" si="38"/>
        <v>0</v>
      </c>
      <c r="K100" s="51">
        <f t="shared" si="38"/>
        <v>0</v>
      </c>
      <c r="L100" s="51">
        <f t="shared" si="38"/>
        <v>0</v>
      </c>
      <c r="M100" s="51">
        <f t="shared" si="38"/>
        <v>0</v>
      </c>
      <c r="N100" s="51">
        <f t="shared" si="38"/>
        <v>0</v>
      </c>
      <c r="O100" s="51">
        <f t="shared" si="38"/>
        <v>0</v>
      </c>
      <c r="P100" s="51">
        <f t="shared" si="38"/>
        <v>0</v>
      </c>
      <c r="Q100" s="51">
        <f t="shared" si="38"/>
        <v>0</v>
      </c>
      <c r="R100" s="51">
        <f t="shared" si="38"/>
        <v>0</v>
      </c>
      <c r="S100" s="51">
        <f t="shared" si="38"/>
        <v>0</v>
      </c>
      <c r="T100" s="51">
        <f t="shared" si="38"/>
        <v>0</v>
      </c>
      <c r="U100" s="51">
        <f t="shared" si="38"/>
        <v>0</v>
      </c>
      <c r="V100" s="51">
        <f t="shared" si="38"/>
        <v>0</v>
      </c>
      <c r="W100" s="51">
        <f t="shared" si="38"/>
        <v>0</v>
      </c>
      <c r="X100" s="51">
        <f t="shared" si="38"/>
        <v>0</v>
      </c>
      <c r="Y100" s="51">
        <f t="shared" si="38"/>
        <v>0</v>
      </c>
      <c r="Z100" s="51">
        <f t="shared" si="38"/>
        <v>0</v>
      </c>
      <c r="AA100" s="51">
        <f t="shared" si="38"/>
        <v>0</v>
      </c>
      <c r="AB100" s="51">
        <f t="shared" si="38"/>
        <v>0</v>
      </c>
      <c r="AC100" s="52">
        <f t="shared" si="38"/>
        <v>0</v>
      </c>
      <c r="AD100" s="5"/>
    </row>
    <row r="101" spans="1:30" ht="15.5" x14ac:dyDescent="0.35">
      <c r="A101" s="35" t="s">
        <v>80</v>
      </c>
      <c r="B101" s="20" t="s">
        <v>156</v>
      </c>
      <c r="C101" s="17">
        <v>62000</v>
      </c>
      <c r="D101" s="17">
        <v>62000</v>
      </c>
      <c r="E101" s="17">
        <v>62000</v>
      </c>
      <c r="F101" s="17">
        <v>62000</v>
      </c>
      <c r="G101" s="17">
        <v>62000</v>
      </c>
      <c r="H101" s="17">
        <v>62000</v>
      </c>
      <c r="I101" s="17">
        <v>62000</v>
      </c>
      <c r="J101" s="17">
        <v>62000</v>
      </c>
      <c r="K101" s="17">
        <v>62000</v>
      </c>
      <c r="L101" s="17">
        <v>62000</v>
      </c>
      <c r="M101" s="17">
        <v>62000</v>
      </c>
      <c r="N101" s="17">
        <v>62000</v>
      </c>
      <c r="O101" s="17">
        <v>62000</v>
      </c>
      <c r="P101" s="17">
        <v>70000</v>
      </c>
      <c r="Q101" s="17">
        <v>70000</v>
      </c>
      <c r="R101" s="17">
        <v>70000</v>
      </c>
      <c r="S101" s="17">
        <v>70000</v>
      </c>
      <c r="T101" s="17">
        <v>70000</v>
      </c>
      <c r="U101" s="17">
        <v>70000</v>
      </c>
      <c r="V101" s="17">
        <v>70000</v>
      </c>
      <c r="W101" s="17">
        <v>70000</v>
      </c>
      <c r="X101" s="17">
        <v>70000</v>
      </c>
      <c r="Y101" s="17">
        <v>70000</v>
      </c>
      <c r="Z101" s="17">
        <v>70000</v>
      </c>
      <c r="AA101" s="17">
        <v>70000</v>
      </c>
      <c r="AB101" s="17">
        <v>70000</v>
      </c>
      <c r="AC101" s="40">
        <v>70000</v>
      </c>
      <c r="AD101" s="5"/>
    </row>
    <row r="102" spans="1:30" ht="15.5" x14ac:dyDescent="0.35">
      <c r="A102" s="35" t="s">
        <v>81</v>
      </c>
      <c r="B102" s="20" t="s">
        <v>157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36">
        <v>0</v>
      </c>
      <c r="AD102" s="5"/>
    </row>
    <row r="103" spans="1:30" ht="15.5" x14ac:dyDescent="0.35">
      <c r="A103" s="35" t="s">
        <v>67</v>
      </c>
      <c r="B103" s="20" t="s">
        <v>137</v>
      </c>
      <c r="C103" s="17">
        <f>+C86</f>
        <v>4532.3347222222228</v>
      </c>
      <c r="D103" s="17">
        <f>+D86</f>
        <v>7497.6125000000002</v>
      </c>
      <c r="E103" s="17">
        <f t="shared" ref="E103:AC103" si="39">+E86</f>
        <v>7497.6125000000002</v>
      </c>
      <c r="F103" s="17">
        <f t="shared" si="39"/>
        <v>8996.0597222222223</v>
      </c>
      <c r="G103" s="17">
        <f t="shared" si="39"/>
        <v>6093.2569444444443</v>
      </c>
      <c r="H103" s="17">
        <f t="shared" si="39"/>
        <v>8895.8333333333339</v>
      </c>
      <c r="I103" s="17">
        <f t="shared" si="39"/>
        <v>7242.0055555555555</v>
      </c>
      <c r="J103" s="17">
        <f t="shared" si="39"/>
        <v>5176.0965277777768</v>
      </c>
      <c r="K103" s="17">
        <f t="shared" si="39"/>
        <v>5955.6680555555549</v>
      </c>
      <c r="L103" s="17">
        <f t="shared" si="39"/>
        <v>8302.7777777777774</v>
      </c>
      <c r="M103" s="17">
        <f t="shared" si="39"/>
        <v>7242.0055555555555</v>
      </c>
      <c r="N103" s="17">
        <f t="shared" si="39"/>
        <v>7031.4708333333338</v>
      </c>
      <c r="O103" s="17">
        <f t="shared" si="39"/>
        <v>5961.5986111111115</v>
      </c>
      <c r="P103" s="17">
        <f t="shared" si="39"/>
        <v>8780.1875</v>
      </c>
      <c r="Q103" s="17">
        <f t="shared" si="39"/>
        <v>6052.0231944444431</v>
      </c>
      <c r="R103" s="17">
        <f t="shared" si="39"/>
        <v>5074.9641666666666</v>
      </c>
      <c r="S103" s="17">
        <f t="shared" si="39"/>
        <v>5567.200277777778</v>
      </c>
      <c r="T103" s="17">
        <f t="shared" si="39"/>
        <v>5074.9641666666666</v>
      </c>
      <c r="U103" s="17">
        <f t="shared" si="39"/>
        <v>5086.8252777777789</v>
      </c>
      <c r="V103" s="17">
        <f t="shared" si="39"/>
        <v>5448.5891666666666</v>
      </c>
      <c r="W103" s="17">
        <f t="shared" si="39"/>
        <v>5086.8252777777789</v>
      </c>
      <c r="X103" s="17">
        <f t="shared" si="39"/>
        <v>6052.0231944444431</v>
      </c>
      <c r="Y103" s="17">
        <f t="shared" si="39"/>
        <v>9148.9553749999995</v>
      </c>
      <c r="Z103" s="17">
        <f t="shared" si="39"/>
        <v>8780.1875</v>
      </c>
      <c r="AA103" s="17">
        <f t="shared" si="39"/>
        <v>5088.942486111112</v>
      </c>
      <c r="AB103" s="17">
        <f t="shared" si="39"/>
        <v>5389.283611111111</v>
      </c>
      <c r="AC103" s="40">
        <f t="shared" si="39"/>
        <v>10081.944444444445</v>
      </c>
      <c r="AD103" s="5"/>
    </row>
    <row r="104" spans="1:30" ht="15.5" x14ac:dyDescent="0.35">
      <c r="A104" s="35" t="s">
        <v>82</v>
      </c>
      <c r="B104" s="20" t="s">
        <v>158</v>
      </c>
      <c r="C104" s="17"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40">
        <v>0</v>
      </c>
      <c r="AD104" s="5"/>
    </row>
    <row r="105" spans="1:30" ht="15.5" x14ac:dyDescent="0.35">
      <c r="A105" s="35" t="s">
        <v>83</v>
      </c>
      <c r="B105" s="20" t="s">
        <v>159</v>
      </c>
      <c r="C105" s="17"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40">
        <v>0</v>
      </c>
      <c r="AD105" s="3"/>
    </row>
    <row r="106" spans="1:30" ht="15.5" x14ac:dyDescent="0.35">
      <c r="A106" s="35" t="s">
        <v>86</v>
      </c>
      <c r="B106" s="20" t="s">
        <v>160</v>
      </c>
      <c r="C106" s="17"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40">
        <v>0</v>
      </c>
      <c r="AD106" s="5"/>
    </row>
    <row r="107" spans="1:30" ht="15.5" x14ac:dyDescent="0.35">
      <c r="A107" s="35" t="s">
        <v>84</v>
      </c>
      <c r="B107" s="20" t="s">
        <v>161</v>
      </c>
      <c r="C107" s="17"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40">
        <v>0</v>
      </c>
      <c r="AD107" s="5"/>
    </row>
    <row r="108" spans="1:30" ht="16" thickBot="1" x14ac:dyDescent="0.4">
      <c r="A108" s="62" t="s">
        <v>246</v>
      </c>
      <c r="B108" s="63" t="s">
        <v>247</v>
      </c>
      <c r="C108" s="68">
        <v>0</v>
      </c>
      <c r="D108" s="68">
        <v>0</v>
      </c>
      <c r="E108" s="68">
        <v>0</v>
      </c>
      <c r="F108" s="68">
        <v>0</v>
      </c>
      <c r="G108" s="68">
        <v>0</v>
      </c>
      <c r="H108" s="68">
        <v>0</v>
      </c>
      <c r="I108" s="68">
        <v>0</v>
      </c>
      <c r="J108" s="68">
        <v>0</v>
      </c>
      <c r="K108" s="68">
        <v>0</v>
      </c>
      <c r="L108" s="68">
        <v>0</v>
      </c>
      <c r="M108" s="68">
        <v>0</v>
      </c>
      <c r="N108" s="68">
        <v>0</v>
      </c>
      <c r="O108" s="68">
        <v>0</v>
      </c>
      <c r="P108" s="68">
        <v>0</v>
      </c>
      <c r="Q108" s="68">
        <v>0</v>
      </c>
      <c r="R108" s="68">
        <v>0</v>
      </c>
      <c r="S108" s="68">
        <v>0</v>
      </c>
      <c r="T108" s="68">
        <v>0</v>
      </c>
      <c r="U108" s="68">
        <v>0</v>
      </c>
      <c r="V108" s="68">
        <v>0</v>
      </c>
      <c r="W108" s="68">
        <v>0</v>
      </c>
      <c r="X108" s="68">
        <v>0</v>
      </c>
      <c r="Y108" s="68">
        <v>0</v>
      </c>
      <c r="Z108" s="68">
        <v>0</v>
      </c>
      <c r="AA108" s="68">
        <v>0</v>
      </c>
      <c r="AB108" s="68">
        <v>0</v>
      </c>
      <c r="AC108" s="64">
        <v>0</v>
      </c>
      <c r="AD108" s="3"/>
    </row>
    <row r="109" spans="1:30" ht="20" thickBot="1" x14ac:dyDescent="0.5">
      <c r="A109" s="69" t="s">
        <v>210</v>
      </c>
      <c r="B109" s="70"/>
      <c r="C109" s="71">
        <f>+C100+C97+C94+C91+C88+C83+C80+C75+C61+C57+C53+C46+C43+C39+C37+C34+C30+C26+C67+C68+C69+C70+C71+C104+C105+C106+C107+C72+C50</f>
        <v>412996.22916666669</v>
      </c>
      <c r="D109" s="71">
        <f t="shared" ref="D109:AC109" si="40">+D100+D97+D94+D91+D88+D83+D80+D75+D61+D57+D53+D46+D43+D39+D37+D34+D30+D26+D67+D68+D69+D70+D71+D104+D105+D106+D107+D72+D50</f>
        <v>1992859.542276042</v>
      </c>
      <c r="E109" s="71">
        <f t="shared" si="40"/>
        <v>1703034.6569444446</v>
      </c>
      <c r="F109" s="71">
        <f t="shared" si="40"/>
        <v>3837236.0967375003</v>
      </c>
      <c r="G109" s="71">
        <f t="shared" si="40"/>
        <v>2018030.5659041665</v>
      </c>
      <c r="H109" s="71">
        <f t="shared" si="40"/>
        <v>980951.31944444438</v>
      </c>
      <c r="I109" s="71">
        <f t="shared" si="40"/>
        <v>198706.89372569445</v>
      </c>
      <c r="J109" s="71">
        <f t="shared" si="40"/>
        <v>474221.25451388891</v>
      </c>
      <c r="K109" s="71">
        <f t="shared" si="40"/>
        <v>147489.99583333335</v>
      </c>
      <c r="L109" s="71">
        <f t="shared" si="40"/>
        <v>5978644.9384444449</v>
      </c>
      <c r="M109" s="71">
        <f t="shared" si="40"/>
        <v>286551.47986111109</v>
      </c>
      <c r="N109" s="71">
        <f t="shared" si="40"/>
        <v>282347.69374999998</v>
      </c>
      <c r="O109" s="71">
        <f t="shared" si="40"/>
        <v>10491951.774141666</v>
      </c>
      <c r="P109" s="71">
        <f t="shared" si="40"/>
        <v>4156754.3471819446</v>
      </c>
      <c r="Q109" s="71">
        <f t="shared" si="40"/>
        <v>526369.56362222217</v>
      </c>
      <c r="R109" s="71">
        <f t="shared" si="40"/>
        <v>233747.45617361114</v>
      </c>
      <c r="S109" s="71">
        <f t="shared" si="40"/>
        <v>433132.76631250005</v>
      </c>
      <c r="T109" s="71">
        <f t="shared" si="40"/>
        <v>436449.22182868927</v>
      </c>
      <c r="U109" s="71">
        <f t="shared" si="40"/>
        <v>848147.58662847232</v>
      </c>
      <c r="V109" s="71">
        <f t="shared" si="40"/>
        <v>797291.10093055572</v>
      </c>
      <c r="W109" s="71">
        <f t="shared" si="40"/>
        <v>299127.20935763896</v>
      </c>
      <c r="X109" s="71">
        <f t="shared" si="40"/>
        <v>587877.76018472214</v>
      </c>
      <c r="Y109" s="71">
        <f t="shared" si="40"/>
        <v>2664554.4247454866</v>
      </c>
      <c r="Z109" s="71">
        <f t="shared" si="40"/>
        <v>3157281.6911736107</v>
      </c>
      <c r="AA109" s="71">
        <f t="shared" si="40"/>
        <v>330074.33511666674</v>
      </c>
      <c r="AB109" s="71">
        <f t="shared" si="40"/>
        <v>449375.09866666666</v>
      </c>
      <c r="AC109" s="72">
        <f t="shared" si="40"/>
        <v>435266.94881250005</v>
      </c>
      <c r="AD109" s="10">
        <f t="shared" ref="AD109" si="41">+SUM(C109:AC109)</f>
        <v>44160471.951478705</v>
      </c>
    </row>
    <row r="110" spans="1:30" x14ac:dyDescent="0.35">
      <c r="O110" s="3"/>
    </row>
    <row r="120" spans="9:9" x14ac:dyDescent="0.35">
      <c r="I120">
        <f>1200000+700000</f>
        <v>1900000</v>
      </c>
    </row>
    <row r="122" spans="9:9" x14ac:dyDescent="0.35">
      <c r="I122">
        <f>I120/30/8</f>
        <v>7916.666666666667</v>
      </c>
    </row>
  </sheetData>
  <autoFilter ref="A3:AC109"/>
  <mergeCells count="1">
    <mergeCell ref="A1:A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"/>
  <sheetViews>
    <sheetView topLeftCell="A73" zoomScale="70" zoomScaleNormal="70" workbookViewId="0">
      <selection activeCell="C92" sqref="C92"/>
    </sheetView>
  </sheetViews>
  <sheetFormatPr baseColWidth="10" defaultRowHeight="14.5" x14ac:dyDescent="0.35"/>
  <cols>
    <col min="1" max="1" width="94.453125" bestFit="1" customWidth="1"/>
    <col min="2" max="2" width="14" style="1" customWidth="1"/>
    <col min="3" max="3" width="40.7265625" customWidth="1"/>
    <col min="4" max="4" width="11.453125" customWidth="1"/>
    <col min="5" max="5" width="10.90625" customWidth="1"/>
  </cols>
  <sheetData>
    <row r="1" spans="1:6" ht="14.5" customHeight="1" x14ac:dyDescent="0.35">
      <c r="A1" s="73" t="s">
        <v>271</v>
      </c>
      <c r="B1" s="74"/>
      <c r="C1" s="75"/>
    </row>
    <row r="2" spans="1:6" ht="14.5" customHeight="1" x14ac:dyDescent="0.35">
      <c r="A2" s="76"/>
      <c r="B2" s="77"/>
      <c r="C2" s="78"/>
    </row>
    <row r="3" spans="1:6" x14ac:dyDescent="0.35">
      <c r="A3" s="33" t="s">
        <v>87</v>
      </c>
      <c r="B3" s="14" t="s">
        <v>88</v>
      </c>
      <c r="C3" s="34" t="s">
        <v>270</v>
      </c>
    </row>
    <row r="4" spans="1:6" x14ac:dyDescent="0.35">
      <c r="A4" s="35" t="s">
        <v>1</v>
      </c>
      <c r="B4" s="14" t="s">
        <v>162</v>
      </c>
      <c r="C4" s="36">
        <v>62</v>
      </c>
    </row>
    <row r="5" spans="1:6" x14ac:dyDescent="0.35">
      <c r="A5" s="35" t="s">
        <v>2</v>
      </c>
      <c r="B5" s="14" t="s">
        <v>2</v>
      </c>
      <c r="C5" s="36">
        <v>52</v>
      </c>
    </row>
    <row r="6" spans="1:6" x14ac:dyDescent="0.35">
      <c r="A6" s="35" t="s">
        <v>3</v>
      </c>
      <c r="B6" s="14" t="s">
        <v>163</v>
      </c>
      <c r="C6" s="37" t="s">
        <v>178</v>
      </c>
    </row>
    <row r="7" spans="1:6" x14ac:dyDescent="0.35">
      <c r="A7" s="35" t="s">
        <v>4</v>
      </c>
      <c r="B7" s="14" t="s">
        <v>164</v>
      </c>
      <c r="C7" s="36"/>
    </row>
    <row r="8" spans="1:6" x14ac:dyDescent="0.35">
      <c r="A8" s="35" t="s">
        <v>248</v>
      </c>
      <c r="B8" s="14" t="s">
        <v>215</v>
      </c>
      <c r="C8" s="55">
        <v>42767</v>
      </c>
    </row>
    <row r="9" spans="1:6" x14ac:dyDescent="0.35">
      <c r="A9" s="35" t="s">
        <v>0</v>
      </c>
      <c r="B9" s="14" t="s">
        <v>165</v>
      </c>
      <c r="C9" s="36" t="s">
        <v>180</v>
      </c>
    </row>
    <row r="10" spans="1:6" x14ac:dyDescent="0.35">
      <c r="A10" s="35" t="s">
        <v>205</v>
      </c>
      <c r="B10" s="14" t="s">
        <v>166</v>
      </c>
      <c r="C10" s="36">
        <v>40</v>
      </c>
    </row>
    <row r="11" spans="1:6" x14ac:dyDescent="0.35">
      <c r="A11" s="35" t="s">
        <v>208</v>
      </c>
      <c r="B11" s="14" t="s">
        <v>274</v>
      </c>
      <c r="C11" s="36" t="s">
        <v>209</v>
      </c>
    </row>
    <row r="12" spans="1:6" x14ac:dyDescent="0.35">
      <c r="A12" s="35" t="s">
        <v>6</v>
      </c>
      <c r="B12" s="14" t="s">
        <v>167</v>
      </c>
      <c r="C12" s="36" t="s">
        <v>191</v>
      </c>
    </row>
    <row r="13" spans="1:6" x14ac:dyDescent="0.35">
      <c r="A13" s="35" t="s">
        <v>10</v>
      </c>
      <c r="B13" s="14" t="s">
        <v>170</v>
      </c>
      <c r="C13" s="40">
        <v>1604228</v>
      </c>
      <c r="D13" s="3"/>
      <c r="E13" s="3"/>
    </row>
    <row r="14" spans="1:6" x14ac:dyDescent="0.35">
      <c r="A14" s="35" t="s">
        <v>249</v>
      </c>
      <c r="B14" s="14" t="s">
        <v>177</v>
      </c>
      <c r="C14" s="36" t="s">
        <v>250</v>
      </c>
    </row>
    <row r="15" spans="1:6" x14ac:dyDescent="0.35">
      <c r="A15" s="35" t="s">
        <v>8</v>
      </c>
      <c r="B15" s="14" t="s">
        <v>169</v>
      </c>
      <c r="C15" s="41">
        <v>0</v>
      </c>
    </row>
    <row r="16" spans="1:6" ht="15.5" x14ac:dyDescent="0.35">
      <c r="A16" s="35" t="s">
        <v>198</v>
      </c>
      <c r="B16" s="20" t="s">
        <v>275</v>
      </c>
      <c r="C16" s="40">
        <v>0</v>
      </c>
      <c r="D16" s="53"/>
      <c r="E16" s="53"/>
      <c r="F16" s="54"/>
    </row>
    <row r="17" spans="1:6" x14ac:dyDescent="0.35">
      <c r="A17" s="35" t="s">
        <v>11</v>
      </c>
      <c r="B17" s="14" t="s">
        <v>173</v>
      </c>
      <c r="C17" s="40">
        <v>126408.33333333333</v>
      </c>
      <c r="D17" s="53"/>
      <c r="E17" s="53"/>
      <c r="F17" s="54"/>
    </row>
    <row r="18" spans="1:6" x14ac:dyDescent="0.35">
      <c r="A18" s="35" t="s">
        <v>12</v>
      </c>
      <c r="B18" s="14" t="s">
        <v>172</v>
      </c>
      <c r="C18" s="40">
        <v>126408.33333333333</v>
      </c>
      <c r="D18" s="53"/>
      <c r="E18" s="53"/>
      <c r="F18" s="54"/>
    </row>
    <row r="19" spans="1:6" x14ac:dyDescent="0.35">
      <c r="A19" s="35" t="s">
        <v>13</v>
      </c>
      <c r="B19" s="14" t="s">
        <v>171</v>
      </c>
      <c r="C19" s="40">
        <v>15168.999999999998</v>
      </c>
      <c r="D19" s="53"/>
      <c r="E19" s="53"/>
      <c r="F19" s="54"/>
    </row>
    <row r="20" spans="1:6" x14ac:dyDescent="0.35">
      <c r="A20" s="35" t="s">
        <v>14</v>
      </c>
      <c r="B20" s="14" t="s">
        <v>174</v>
      </c>
      <c r="C20" s="40">
        <v>63204.166666666664</v>
      </c>
      <c r="D20" s="53"/>
      <c r="E20" s="53"/>
      <c r="F20" s="54"/>
    </row>
    <row r="21" spans="1:6" x14ac:dyDescent="0.35">
      <c r="A21" s="35" t="s">
        <v>15</v>
      </c>
      <c r="B21" s="14" t="s">
        <v>175</v>
      </c>
      <c r="C21" s="40">
        <v>182028</v>
      </c>
      <c r="D21" s="53"/>
      <c r="E21" s="53"/>
      <c r="F21" s="54"/>
    </row>
    <row r="22" spans="1:6" x14ac:dyDescent="0.35">
      <c r="A22" s="35" t="s">
        <v>16</v>
      </c>
      <c r="B22" s="14" t="s">
        <v>176</v>
      </c>
      <c r="C22" s="40">
        <v>128936.50000000001</v>
      </c>
      <c r="D22" s="53"/>
      <c r="E22" s="53"/>
      <c r="F22" s="54"/>
    </row>
    <row r="23" spans="1:6" x14ac:dyDescent="0.35">
      <c r="A23" s="35" t="s">
        <v>206</v>
      </c>
      <c r="B23" s="14" t="s">
        <v>276</v>
      </c>
      <c r="C23" s="40">
        <v>65985.149999999994</v>
      </c>
      <c r="D23" s="53"/>
      <c r="E23" s="53"/>
      <c r="F23" s="54"/>
    </row>
    <row r="24" spans="1:6" x14ac:dyDescent="0.35">
      <c r="A24" s="35" t="s">
        <v>207</v>
      </c>
      <c r="B24" s="14" t="s">
        <v>277</v>
      </c>
      <c r="C24" s="40">
        <v>60676</v>
      </c>
      <c r="D24" s="53"/>
      <c r="E24" s="53"/>
      <c r="F24" s="54"/>
    </row>
    <row r="25" spans="1:6" ht="15.5" x14ac:dyDescent="0.35">
      <c r="A25" s="49" t="s">
        <v>9</v>
      </c>
      <c r="B25" s="50" t="s">
        <v>89</v>
      </c>
      <c r="C25" s="52">
        <f>+(C26+C27)*C28</f>
        <v>0</v>
      </c>
      <c r="D25" s="53"/>
      <c r="E25" s="53"/>
      <c r="F25" s="54"/>
    </row>
    <row r="26" spans="1:6" ht="15.5" x14ac:dyDescent="0.35">
      <c r="A26" s="35" t="s">
        <v>17</v>
      </c>
      <c r="B26" s="20" t="s">
        <v>90</v>
      </c>
      <c r="C26" s="40">
        <v>10931.247074999999</v>
      </c>
      <c r="D26" s="54"/>
      <c r="E26" s="54"/>
      <c r="F26" s="54"/>
    </row>
    <row r="27" spans="1:6" ht="15.5" x14ac:dyDescent="0.35">
      <c r="A27" s="35" t="s">
        <v>18</v>
      </c>
      <c r="B27" s="20" t="s">
        <v>91</v>
      </c>
      <c r="C27" s="40">
        <v>15696.180555555557</v>
      </c>
      <c r="D27" s="54"/>
      <c r="E27" s="54"/>
      <c r="F27" s="54"/>
    </row>
    <row r="28" spans="1:6" ht="15.5" x14ac:dyDescent="0.35">
      <c r="A28" s="35" t="s">
        <v>19</v>
      </c>
      <c r="B28" s="20" t="s">
        <v>92</v>
      </c>
      <c r="C28" s="40">
        <v>0</v>
      </c>
      <c r="D28" s="54"/>
      <c r="E28" s="54"/>
      <c r="F28" s="54"/>
    </row>
    <row r="29" spans="1:6" ht="15.5" x14ac:dyDescent="0.35">
      <c r="A29" s="49" t="s">
        <v>251</v>
      </c>
      <c r="B29" s="50" t="s">
        <v>278</v>
      </c>
      <c r="C29" s="52">
        <f>+((C16+C17+C18+C19+C20+C21+C22)/(30*8))*C30</f>
        <v>1241498.3777777778</v>
      </c>
      <c r="D29" s="54"/>
      <c r="E29" s="54"/>
      <c r="F29" s="54"/>
    </row>
    <row r="30" spans="1:6" ht="15.5" x14ac:dyDescent="0.35">
      <c r="A30" s="56" t="s">
        <v>26</v>
      </c>
      <c r="B30" s="20" t="s">
        <v>279</v>
      </c>
      <c r="C30" s="36">
        <f>58*8</f>
        <v>464</v>
      </c>
      <c r="D30" s="54"/>
      <c r="E30" s="54"/>
      <c r="F30" s="54"/>
    </row>
    <row r="31" spans="1:6" ht="15.5" x14ac:dyDescent="0.35">
      <c r="A31" s="49" t="s">
        <v>272</v>
      </c>
      <c r="B31" s="50" t="s">
        <v>280</v>
      </c>
      <c r="C31" s="52">
        <f>+(C32+C33)*C34</f>
        <v>1225175.573166</v>
      </c>
    </row>
    <row r="32" spans="1:6" ht="15.5" x14ac:dyDescent="0.35">
      <c r="A32" s="35" t="s">
        <v>28</v>
      </c>
      <c r="B32" s="20" t="s">
        <v>281</v>
      </c>
      <c r="C32" s="57">
        <v>10931.247074999999</v>
      </c>
    </row>
    <row r="33" spans="1:3" ht="15.5" x14ac:dyDescent="0.35">
      <c r="A33" s="35" t="s">
        <v>29</v>
      </c>
      <c r="B33" s="20" t="s">
        <v>282</v>
      </c>
      <c r="C33" s="58">
        <v>1.2500000000000001E-2</v>
      </c>
    </row>
    <row r="34" spans="1:3" ht="15.5" x14ac:dyDescent="0.35">
      <c r="A34" s="35" t="s">
        <v>30</v>
      </c>
      <c r="B34" s="20" t="s">
        <v>283</v>
      </c>
      <c r="C34" s="59">
        <f>3.18+4.57+104.33</f>
        <v>112.08</v>
      </c>
    </row>
    <row r="35" spans="1:3" ht="15.5" x14ac:dyDescent="0.35">
      <c r="A35" s="49" t="s">
        <v>265</v>
      </c>
      <c r="B35" s="50" t="s">
        <v>284</v>
      </c>
      <c r="C35" s="60">
        <f>+(C36*C37)+(C38*C39)</f>
        <v>327937.41224999999</v>
      </c>
    </row>
    <row r="36" spans="1:3" ht="15.5" x14ac:dyDescent="0.35">
      <c r="A36" s="35" t="s">
        <v>17</v>
      </c>
      <c r="B36" s="20" t="s">
        <v>90</v>
      </c>
      <c r="C36" s="57">
        <f>+C26</f>
        <v>10931.247074999999</v>
      </c>
    </row>
    <row r="37" spans="1:3" ht="15.5" x14ac:dyDescent="0.35">
      <c r="A37" s="35" t="s">
        <v>266</v>
      </c>
      <c r="B37" s="20" t="s">
        <v>285</v>
      </c>
      <c r="C37" s="59">
        <v>30</v>
      </c>
    </row>
    <row r="38" spans="1:3" ht="15.5" x14ac:dyDescent="0.35">
      <c r="A38" s="35" t="s">
        <v>268</v>
      </c>
      <c r="B38" s="20" t="s">
        <v>114</v>
      </c>
      <c r="C38" s="59">
        <v>0</v>
      </c>
    </row>
    <row r="39" spans="1:3" ht="15.5" x14ac:dyDescent="0.35">
      <c r="A39" s="35" t="s">
        <v>269</v>
      </c>
      <c r="B39" s="20" t="s">
        <v>286</v>
      </c>
      <c r="C39" s="61">
        <v>75213</v>
      </c>
    </row>
    <row r="40" spans="1:3" ht="15.5" x14ac:dyDescent="0.35">
      <c r="A40" s="49" t="s">
        <v>267</v>
      </c>
      <c r="B40" s="50" t="s">
        <v>287</v>
      </c>
      <c r="C40" s="52">
        <f>+C41*C42</f>
        <v>6793990.29</v>
      </c>
    </row>
    <row r="41" spans="1:3" ht="15.5" x14ac:dyDescent="0.35">
      <c r="A41" s="35" t="s">
        <v>264</v>
      </c>
      <c r="B41" s="20" t="s">
        <v>288</v>
      </c>
      <c r="C41" s="43">
        <v>90.33</v>
      </c>
    </row>
    <row r="42" spans="1:3" ht="15.5" x14ac:dyDescent="0.35">
      <c r="A42" s="35" t="s">
        <v>252</v>
      </c>
      <c r="B42" s="20" t="s">
        <v>289</v>
      </c>
      <c r="C42" s="61">
        <v>75213</v>
      </c>
    </row>
    <row r="43" spans="1:3" ht="15.5" x14ac:dyDescent="0.35">
      <c r="A43" s="49" t="s">
        <v>35</v>
      </c>
      <c r="B43" s="50" t="s">
        <v>113</v>
      </c>
      <c r="C43" s="52">
        <f>+C44*C45</f>
        <v>2745274.5</v>
      </c>
    </row>
    <row r="44" spans="1:3" ht="15.5" x14ac:dyDescent="0.35">
      <c r="A44" s="35" t="s">
        <v>39</v>
      </c>
      <c r="B44" s="20" t="s">
        <v>114</v>
      </c>
      <c r="C44" s="36">
        <v>36.5</v>
      </c>
    </row>
    <row r="45" spans="1:3" ht="15.5" x14ac:dyDescent="0.35">
      <c r="A45" s="35" t="s">
        <v>40</v>
      </c>
      <c r="B45" s="20" t="s">
        <v>115</v>
      </c>
      <c r="C45" s="61">
        <v>75213</v>
      </c>
    </row>
    <row r="46" spans="1:3" ht="15.5" x14ac:dyDescent="0.35">
      <c r="A46" s="49" t="s">
        <v>253</v>
      </c>
      <c r="B46" s="50" t="s">
        <v>293</v>
      </c>
      <c r="C46" s="52">
        <f>+(C47*C51)+C48+C50+C49</f>
        <v>62094.090277777774</v>
      </c>
    </row>
    <row r="47" spans="1:3" ht="15.5" x14ac:dyDescent="0.35">
      <c r="A47" s="35" t="s">
        <v>50</v>
      </c>
      <c r="B47" s="20" t="s">
        <v>125</v>
      </c>
      <c r="C47" s="40">
        <v>31047.045138888887</v>
      </c>
    </row>
    <row r="48" spans="1:3" ht="15.5" x14ac:dyDescent="0.35">
      <c r="A48" s="35" t="s">
        <v>201</v>
      </c>
      <c r="B48" s="20" t="s">
        <v>291</v>
      </c>
      <c r="C48" s="40">
        <v>0</v>
      </c>
    </row>
    <row r="49" spans="1:3" ht="15.5" x14ac:dyDescent="0.35">
      <c r="A49" s="35" t="s">
        <v>213</v>
      </c>
      <c r="B49" s="20" t="s">
        <v>290</v>
      </c>
      <c r="C49" s="40">
        <v>0</v>
      </c>
    </row>
    <row r="50" spans="1:3" ht="15.5" x14ac:dyDescent="0.35">
      <c r="A50" s="35" t="s">
        <v>202</v>
      </c>
      <c r="B50" s="20" t="s">
        <v>292</v>
      </c>
      <c r="C50" s="40">
        <v>0</v>
      </c>
    </row>
    <row r="51" spans="1:3" ht="15.5" x14ac:dyDescent="0.35">
      <c r="A51" s="35" t="s">
        <v>51</v>
      </c>
      <c r="B51" s="20" t="s">
        <v>126</v>
      </c>
      <c r="C51" s="40">
        <v>2</v>
      </c>
    </row>
    <row r="52" spans="1:3" ht="15.5" x14ac:dyDescent="0.35">
      <c r="A52" s="44" t="s">
        <v>254</v>
      </c>
      <c r="B52" s="29" t="s">
        <v>127</v>
      </c>
      <c r="C52" s="45">
        <v>0</v>
      </c>
    </row>
    <row r="53" spans="1:3" ht="15.5" x14ac:dyDescent="0.35">
      <c r="A53" s="35" t="s">
        <v>53</v>
      </c>
      <c r="B53" s="20" t="s">
        <v>128</v>
      </c>
      <c r="C53" s="40">
        <v>0</v>
      </c>
    </row>
    <row r="54" spans="1:3" ht="15.5" x14ac:dyDescent="0.35">
      <c r="A54" s="35" t="s">
        <v>54</v>
      </c>
      <c r="B54" s="20" t="s">
        <v>129</v>
      </c>
      <c r="C54" s="40">
        <v>0</v>
      </c>
    </row>
    <row r="55" spans="1:3" ht="15.5" x14ac:dyDescent="0.35">
      <c r="A55" s="35" t="s">
        <v>255</v>
      </c>
      <c r="B55" s="20" t="s">
        <v>131</v>
      </c>
      <c r="C55" s="40">
        <v>0</v>
      </c>
    </row>
    <row r="56" spans="1:3" ht="15.5" x14ac:dyDescent="0.35">
      <c r="A56" s="49" t="s">
        <v>256</v>
      </c>
      <c r="B56" s="50" t="s">
        <v>294</v>
      </c>
      <c r="C56" s="52">
        <f>+(((C59+C58)*(1+(1-C60)))-(C58+C59))*C57</f>
        <v>0</v>
      </c>
    </row>
    <row r="57" spans="1:3" ht="15.5" x14ac:dyDescent="0.35">
      <c r="A57" s="35" t="s">
        <v>61</v>
      </c>
      <c r="B57" s="20" t="s">
        <v>136</v>
      </c>
      <c r="C57" s="47">
        <f>+C30-C41</f>
        <v>373.67</v>
      </c>
    </row>
    <row r="58" spans="1:3" ht="15.5" x14ac:dyDescent="0.35">
      <c r="A58" s="35" t="s">
        <v>295</v>
      </c>
      <c r="B58" s="20" t="s">
        <v>296</v>
      </c>
      <c r="C58" s="40">
        <f>+C45</f>
        <v>75213</v>
      </c>
    </row>
    <row r="59" spans="1:3" ht="15.5" x14ac:dyDescent="0.35">
      <c r="A59" s="35" t="s">
        <v>63</v>
      </c>
      <c r="B59" s="20" t="s">
        <v>90</v>
      </c>
      <c r="C59" s="40">
        <f>+C36</f>
        <v>10931.247074999999</v>
      </c>
    </row>
    <row r="60" spans="1:3" ht="15.5" x14ac:dyDescent="0.35">
      <c r="A60" s="35" t="s">
        <v>203</v>
      </c>
      <c r="B60" s="20"/>
      <c r="C60" s="41">
        <v>1</v>
      </c>
    </row>
    <row r="61" spans="1:3" ht="15.5" x14ac:dyDescent="0.35">
      <c r="A61" s="49" t="s">
        <v>64</v>
      </c>
      <c r="B61" s="50" t="s">
        <v>138</v>
      </c>
      <c r="C61" s="52">
        <f>+C62*C63</f>
        <v>0</v>
      </c>
    </row>
    <row r="62" spans="1:3" ht="15.5" x14ac:dyDescent="0.35">
      <c r="A62" s="35" t="s">
        <v>65</v>
      </c>
      <c r="B62" s="20" t="s">
        <v>139</v>
      </c>
      <c r="C62" s="36">
        <v>0</v>
      </c>
    </row>
    <row r="63" spans="1:3" ht="15.5" x14ac:dyDescent="0.35">
      <c r="A63" s="35" t="s">
        <v>66</v>
      </c>
      <c r="B63" s="20" t="s">
        <v>140</v>
      </c>
      <c r="C63" s="40">
        <v>0</v>
      </c>
    </row>
    <row r="64" spans="1:3" ht="15.5" x14ac:dyDescent="0.35">
      <c r="A64" s="49" t="s">
        <v>297</v>
      </c>
      <c r="B64" s="50" t="s">
        <v>298</v>
      </c>
      <c r="C64" s="52">
        <f>+(((C67+C66)*(1+(1-C68)))-(C66+C67))*C65</f>
        <v>0</v>
      </c>
    </row>
    <row r="65" spans="1:3" ht="15.5" x14ac:dyDescent="0.35">
      <c r="A65" s="35" t="s">
        <v>257</v>
      </c>
      <c r="B65" s="20" t="s">
        <v>299</v>
      </c>
      <c r="C65" s="36">
        <f>192*12</f>
        <v>2304</v>
      </c>
    </row>
    <row r="66" spans="1:3" ht="15.5" x14ac:dyDescent="0.35">
      <c r="A66" s="44" t="s">
        <v>301</v>
      </c>
      <c r="B66" s="20" t="s">
        <v>108</v>
      </c>
      <c r="C66" s="40">
        <f>+C42</f>
        <v>75213</v>
      </c>
    </row>
    <row r="67" spans="1:3" ht="15.5" x14ac:dyDescent="0.35">
      <c r="A67" s="35" t="s">
        <v>261</v>
      </c>
      <c r="B67" s="20" t="s">
        <v>300</v>
      </c>
      <c r="C67" s="40">
        <v>10072.100936111112</v>
      </c>
    </row>
    <row r="68" spans="1:3" ht="15.5" x14ac:dyDescent="0.35">
      <c r="A68" s="35" t="s">
        <v>204</v>
      </c>
      <c r="B68" s="20"/>
      <c r="C68" s="48">
        <v>1</v>
      </c>
    </row>
    <row r="69" spans="1:3" ht="15.5" x14ac:dyDescent="0.35">
      <c r="A69" s="49" t="s">
        <v>68</v>
      </c>
      <c r="B69" s="50" t="s">
        <v>302</v>
      </c>
      <c r="C69" s="52">
        <f>+C70*C71</f>
        <v>0</v>
      </c>
    </row>
    <row r="70" spans="1:3" ht="15.5" x14ac:dyDescent="0.35">
      <c r="A70" s="35" t="s">
        <v>69</v>
      </c>
      <c r="B70" s="20" t="s">
        <v>144</v>
      </c>
      <c r="C70" s="40">
        <v>0</v>
      </c>
    </row>
    <row r="71" spans="1:3" ht="15.5" x14ac:dyDescent="0.35">
      <c r="A71" s="35" t="s">
        <v>70</v>
      </c>
      <c r="B71" s="20" t="s">
        <v>145</v>
      </c>
      <c r="C71" s="41">
        <v>0</v>
      </c>
    </row>
    <row r="72" spans="1:3" ht="15.5" x14ac:dyDescent="0.35">
      <c r="A72" s="49" t="s">
        <v>258</v>
      </c>
      <c r="B72" s="50" t="s">
        <v>304</v>
      </c>
      <c r="C72" s="52">
        <f>+C73*C74</f>
        <v>0</v>
      </c>
    </row>
    <row r="73" spans="1:3" ht="15.5" x14ac:dyDescent="0.35">
      <c r="A73" s="35" t="s">
        <v>72</v>
      </c>
      <c r="B73" s="20" t="s">
        <v>147</v>
      </c>
      <c r="C73" s="40">
        <v>0</v>
      </c>
    </row>
    <row r="74" spans="1:3" ht="15.5" x14ac:dyDescent="0.35">
      <c r="A74" s="35" t="s">
        <v>73</v>
      </c>
      <c r="B74" s="20" t="s">
        <v>148</v>
      </c>
      <c r="C74" s="36">
        <v>0</v>
      </c>
    </row>
    <row r="75" spans="1:3" ht="15.5" x14ac:dyDescent="0.35">
      <c r="A75" s="49" t="s">
        <v>259</v>
      </c>
      <c r="B75" s="50" t="s">
        <v>303</v>
      </c>
      <c r="C75" s="52">
        <f>+C76*C77</f>
        <v>0</v>
      </c>
    </row>
    <row r="76" spans="1:3" ht="15.5" x14ac:dyDescent="0.35">
      <c r="A76" s="35" t="s">
        <v>75</v>
      </c>
      <c r="B76" s="20" t="s">
        <v>150</v>
      </c>
      <c r="C76" s="40">
        <v>32832.253373611115</v>
      </c>
    </row>
    <row r="77" spans="1:3" ht="15.5" x14ac:dyDescent="0.35">
      <c r="A77" s="35" t="s">
        <v>76</v>
      </c>
      <c r="B77" s="20" t="s">
        <v>151</v>
      </c>
      <c r="C77" s="36">
        <v>0</v>
      </c>
    </row>
    <row r="78" spans="1:3" ht="15.5" x14ac:dyDescent="0.35">
      <c r="A78" s="49" t="s">
        <v>85</v>
      </c>
      <c r="B78" s="50" t="s">
        <v>305</v>
      </c>
      <c r="C78" s="52">
        <f>+(C79+C81)*C80</f>
        <v>0</v>
      </c>
    </row>
    <row r="79" spans="1:3" ht="15.5" x14ac:dyDescent="0.35">
      <c r="A79" s="35" t="s">
        <v>260</v>
      </c>
      <c r="B79" s="20" t="s">
        <v>306</v>
      </c>
      <c r="C79" s="40">
        <v>70000</v>
      </c>
    </row>
    <row r="80" spans="1:3" ht="15.5" x14ac:dyDescent="0.35">
      <c r="A80" s="35" t="s">
        <v>81</v>
      </c>
      <c r="B80" s="20" t="s">
        <v>157</v>
      </c>
      <c r="C80" s="36">
        <v>0</v>
      </c>
    </row>
    <row r="81" spans="1:4" ht="15.5" x14ac:dyDescent="0.35">
      <c r="A81" s="35" t="s">
        <v>261</v>
      </c>
      <c r="B81" s="20" t="s">
        <v>300</v>
      </c>
      <c r="C81" s="40">
        <f>+C67</f>
        <v>10072.100936111112</v>
      </c>
    </row>
    <row r="82" spans="1:4" ht="15.5" x14ac:dyDescent="0.35">
      <c r="A82" s="35" t="s">
        <v>82</v>
      </c>
      <c r="B82" s="20" t="s">
        <v>158</v>
      </c>
      <c r="C82" s="40">
        <v>0</v>
      </c>
    </row>
    <row r="83" spans="1:4" ht="15.5" x14ac:dyDescent="0.35">
      <c r="A83" s="35" t="s">
        <v>262</v>
      </c>
      <c r="B83" s="20" t="s">
        <v>307</v>
      </c>
      <c r="C83" s="40">
        <v>0</v>
      </c>
    </row>
    <row r="84" spans="1:4" ht="15.5" x14ac:dyDescent="0.35">
      <c r="A84" s="35" t="s">
        <v>263</v>
      </c>
      <c r="B84" s="20" t="s">
        <v>160</v>
      </c>
      <c r="C84" s="40">
        <v>0</v>
      </c>
    </row>
    <row r="85" spans="1:4" ht="15.5" x14ac:dyDescent="0.35">
      <c r="A85" s="35" t="s">
        <v>84</v>
      </c>
      <c r="B85" s="20" t="s">
        <v>161</v>
      </c>
      <c r="C85" s="40">
        <v>0</v>
      </c>
    </row>
    <row r="86" spans="1:4" ht="16" thickBot="1" x14ac:dyDescent="0.4">
      <c r="A86" s="62" t="s">
        <v>246</v>
      </c>
      <c r="B86" s="63" t="s">
        <v>247</v>
      </c>
      <c r="C86" s="64">
        <v>0</v>
      </c>
    </row>
    <row r="87" spans="1:4" ht="24" thickBot="1" x14ac:dyDescent="0.6">
      <c r="A87" s="67" t="s">
        <v>273</v>
      </c>
      <c r="B87" s="65"/>
      <c r="C87" s="66">
        <f>+C25+C29+C31+C35+C40+C43+C46+C52+C53+C54+C55+C56+C61+C64+C69+C72+C75+C78+C82+C83+C84+C85+C86</f>
        <v>12395970.243471555</v>
      </c>
      <c r="D87" s="3"/>
    </row>
  </sheetData>
  <autoFilter ref="A3:C87"/>
  <mergeCells count="1">
    <mergeCell ref="A1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COSTOS ACCIDENTALIDAD</vt:lpstr>
      <vt:lpstr>COSTOS ENFERMEDAD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</dc:creator>
  <cp:lastModifiedBy>PAOLA</cp:lastModifiedBy>
  <dcterms:created xsi:type="dcterms:W3CDTF">2018-02-09T01:44:19Z</dcterms:created>
  <dcterms:modified xsi:type="dcterms:W3CDTF">2018-11-05T21:53:40Z</dcterms:modified>
</cp:coreProperties>
</file>