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4.xml" ContentType="application/vnd.openxmlformats-officedocument.spreadsheetml.comments+xml"/>
  <Override PartName="/xl/drawings/drawing17.xml" ContentType="application/vnd.openxmlformats-officedocument.drawing+xml"/>
  <Override PartName="/xl/comments5.xml" ContentType="application/vnd.openxmlformats-officedocument.spreadsheetml.comments+xml"/>
  <Override PartName="/xl/drawings/drawing18.xml" ContentType="application/vnd.openxmlformats-officedocument.drawing+xml"/>
  <Override PartName="/xl/comments6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7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8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9.xml" ContentType="application/vnd.openxmlformats-officedocument.spreadsheetml.comments+xml"/>
  <Override PartName="/xl/drawings/drawing32.xml" ContentType="application/vnd.openxmlformats-officedocument.drawing+xml"/>
  <Override PartName="/xl/comments10.xml" ContentType="application/vnd.openxmlformats-officedocument.spreadsheetml.comments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omments11.xml" ContentType="application/vnd.openxmlformats-officedocument.spreadsheetml.comments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ndre\OneDrive\Documents\Proyecto de Grado\Proyecto enviado\TrabajoFinal\Sustentanción\TrabajoFinal\Sustentanción\"/>
    </mc:Choice>
  </mc:AlternateContent>
  <xr:revisionPtr revIDLastSave="0" documentId="8_{A3E2D80C-9270-461F-AA2F-410D6512D6AB}" xr6:coauthVersionLast="46" xr6:coauthVersionMax="46" xr10:uidLastSave="{00000000-0000-0000-0000-000000000000}"/>
  <bookViews>
    <workbookView xWindow="-120" yWindow="-120" windowWidth="20730" windowHeight="11040" tabRatio="731" firstSheet="27" activeTab="37" xr2:uid="{00000000-000D-0000-FFFF-FFFF00000000}"/>
  </bookViews>
  <sheets>
    <sheet name="FODA" sheetId="72" r:id="rId1"/>
    <sheet name="FODA_Aumentada" sheetId="73" r:id="rId2"/>
    <sheet name="WorkFlowServicio" sheetId="65" r:id="rId3"/>
    <sheet name="Organigrama" sheetId="43" r:id="rId4"/>
    <sheet name="PronósticoDmda" sheetId="45" r:id="rId5"/>
    <sheet name="InvActivosFijos" sheetId="11" r:id="rId6"/>
    <sheet name="DepreciaciónActFijos" sheetId="12" r:id="rId7"/>
    <sheet name="GastosArranque" sheetId="13" r:id="rId8"/>
    <sheet name="ProyecciónIPC" sheetId="21" r:id="rId9"/>
    <sheet name="EgrePlanOrgá" sheetId="59" r:id="rId10"/>
    <sheet name="EgreUndPlanOrgá" sheetId="61" r:id="rId11"/>
    <sheet name="Egre$PlanOrgá" sheetId="62" r:id="rId12"/>
    <sheet name="EgrePlanMix" sheetId="60" r:id="rId13"/>
    <sheet name="EgreUndPlanMix" sheetId="63" r:id="rId14"/>
    <sheet name="Egre$PlanMix" sheetId="64" r:id="rId15"/>
    <sheet name="CapProd" sheetId="17" r:id="rId16"/>
    <sheet name="AtenciónDmda" sheetId="18" r:id="rId17"/>
    <sheet name="PrestSociales" sheetId="19" r:id="rId18"/>
    <sheet name="PresPersonal" sheetId="20" r:id="rId19"/>
    <sheet name="HE-PersonalTemp" sheetId="22" r:id="rId20"/>
    <sheet name="PresCostosProd" sheetId="23" r:id="rId21"/>
    <sheet name="PresGastosAdmin" sheetId="24" r:id="rId22"/>
    <sheet name="PresOperac" sheetId="25" r:id="rId23"/>
    <sheet name="ProyIngresos" sheetId="26" r:id="rId24"/>
    <sheet name="PresIngresos" sheetId="27" r:id="rId25"/>
    <sheet name="GastosVentas" sheetId="28" r:id="rId26"/>
    <sheet name="ClasifCostos" sheetId="51" r:id="rId27"/>
    <sheet name="IngVsEgr" sheetId="31" r:id="rId28"/>
    <sheet name="InvCapital" sheetId="34" r:id="rId29"/>
    <sheet name="InvTotal" sheetId="35" r:id="rId30"/>
    <sheet name="Crédito" sheetId="48" r:id="rId31"/>
    <sheet name="EstadoResult" sheetId="52" r:id="rId32"/>
    <sheet name="CashFlow" sheetId="53" r:id="rId33"/>
    <sheet name="BG-AV" sheetId="54" r:id="rId34"/>
    <sheet name="BG-AH" sheetId="74" r:id="rId35"/>
    <sheet name="Med_Anali" sheetId="75" r:id="rId36"/>
    <sheet name="IndicFinanc" sheetId="71" state="hidden" r:id="rId37"/>
    <sheet name="Ind_Finan" sheetId="76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2._Matriz_Plan_de_Acción">#REF!</definedName>
    <definedName name="_fin5">[1]Lista!$G$3:$G$27</definedName>
    <definedName name="AB">[2]BASE!$A:$IV</definedName>
    <definedName name="ABC">[2]BASE1!$A:$IV</definedName>
    <definedName name="ABCD">#REF!</definedName>
    <definedName name="ABVF">[2]GRADO1!$A:$IV</definedName>
    <definedName name="ACTIVIDADES">#REF!</definedName>
    <definedName name="acto">'[3]Tablas Base'!$A$233:$A$258</definedName>
    <definedName name="Adriana">'[4]Plan operativo'!#REF!</definedName>
    <definedName name="agentes">'[3]Tablas Base'!$A$80:$A$123</definedName>
    <definedName name="ALCANCE">'[5]Plan auditoría'!$C$5</definedName>
    <definedName name="año">'[3]Tablas Base'!$A$631:$A$632</definedName>
    <definedName name="area">'[3]Tablas Base'!$A$176:$A$188</definedName>
    <definedName name="areas">'[3]Tablas Base'!$A$176:$B$188</definedName>
    <definedName name="ARRIBA">#REF!</definedName>
    <definedName name="AUDITOR1">'[5]Plan auditoría'!$E$7</definedName>
    <definedName name="AUDITOR2">'[5]Plan auditoría'!$G$7</definedName>
    <definedName name="car">'[6]Tablas Base'!$A$41:$A$60</definedName>
    <definedName name="carg">'[6]Tablas Base'!$A$23:$A$39</definedName>
    <definedName name="CARGO">[7]PANEL!$A$2:$A$153</definedName>
    <definedName name="cargos">'[3]Tablas Base'!$A$126:$A$147</definedName>
    <definedName name="CAUSAS_CLENT">[8]Maestro!$P$6:$P$38</definedName>
    <definedName name="CAUSAS_HORA_SAL_CARG">[8]Maestro!$R$6:$R$39</definedName>
    <definedName name="CAUSAS_PROV">[8]Maestro!$N$6:$N$38</definedName>
    <definedName name="CAUSAS_TIEM_SAL_DESC">[8]Maestro!$V$6:$V$38</definedName>
    <definedName name="CAUSAS_TIEMCARGUE">[8]Maestro!$Q$6:$Q$38</definedName>
    <definedName name="CAUSAS_TIEMDESCAR">[8]Maestro!$U$6:$U$38</definedName>
    <definedName name="CAUSAS_VPER">[8]Maestro!$O$6:$O$36</definedName>
    <definedName name="Certificación">#REF!</definedName>
    <definedName name="CINCO">#REF!</definedName>
    <definedName name="clasificacion">'[3]Tablas Base'!$A$691:$A$695</definedName>
    <definedName name="CLASIFICACIÓNCR">#REF!</definedName>
    <definedName name="Clien">[8]B.DATOS!$BD$10:$BD$12842</definedName>
    <definedName name="Clien_1">[8]B.DATOS!$BS$10:$BS$12842</definedName>
    <definedName name="Cliente">[8]B.DATOS!$B$10:$B$12842</definedName>
    <definedName name="Cobertura">#REF!</definedName>
    <definedName name="cod_entrega_clien">[8]B.DATOS!$BU$10:$BU$12842</definedName>
    <definedName name="Cod_Entrega_Prov">[8]B.DATOS!$BT$10:$BT$12842</definedName>
    <definedName name="Competencias">#REF!</definedName>
    <definedName name="condición">'[3]Tablas Base'!$A$261:$A$287</definedName>
    <definedName name="CONSE">#REF!</definedName>
    <definedName name="continua">[9]Lista!$B$3:$B$50</definedName>
    <definedName name="costo">'[3]Tablas Base'!#REF!</definedName>
    <definedName name="Cotizaciones">#REF!</definedName>
    <definedName name="_xlnm.Criteria">'[5]Plan auditoría'!$C$6</definedName>
    <definedName name="CUAT">#REF!</definedName>
    <definedName name="Cump">[8]B.DATOS!$BB$10:$BB$12842</definedName>
    <definedName name="Cump_entr">[8]B.DATOS!$BK$10:$BK$12842</definedName>
    <definedName name="Cump_entre_clien">[8]B.DATOS!$BL$10:$BL$12842</definedName>
    <definedName name="cup">[3]Principal!#REF!</definedName>
    <definedName name="D">#REF!</definedName>
    <definedName name="dato">'[3]Indicadores Accidentalidad'!$D$37</definedName>
    <definedName name="datos">'[3]Indicadores Accidentalidad'!$8:$69</definedName>
    <definedName name="dependencia">'[3]Tablas Base'!$A$559:$A$560</definedName>
    <definedName name="dependencias">[10]Lista!#REF!</definedName>
    <definedName name="Descuentos">#REF!</definedName>
    <definedName name="dias">'[3]Tablas Base'!$A$637:$A$643</definedName>
    <definedName name="diasem">'[3]Tablas Base'!$A$151:$B$158</definedName>
    <definedName name="Disponibilidad">#REF!</definedName>
    <definedName name="DOS">#REF!</definedName>
    <definedName name="ESCALA">'[11]MATRIZ DE ANALISIS'!$D$10:$D$14</definedName>
    <definedName name="examen">'[3]Tablas Base'!$A$663:$A$681</definedName>
    <definedName name="examenes">'[3]Tablas Base'!$A$662:$B$681</definedName>
    <definedName name="Experiencia">#REF!</definedName>
    <definedName name="Export" hidden="1">{"'Hoja1'!$A$1:$I$70"}</definedName>
    <definedName name="EXPOSI">#REF!</definedName>
    <definedName name="factor">[12]Hoja1!$B$2:$B$81</definedName>
    <definedName name="FECHA">'[5]Plan auditoría'!$I$2</definedName>
    <definedName name="fin">[10]Lista!$D$5:$D$29</definedName>
    <definedName name="finrato">'[3]Ingreso de Datos'!$A$99</definedName>
    <definedName name="formulas">'[3]Ingreso de Datos'!$A$5:$Z$5</definedName>
    <definedName name="gam">[10]Lista!$B$6:$B$11</definedName>
    <definedName name="Garantía">#REF!</definedName>
    <definedName name="HFGHJVF">#REF!</definedName>
    <definedName name="HTML_CodePage" hidden="1">1252</definedName>
    <definedName name="HTML_Control" hidden="1">{"'Hoja1'!$A$1:$I$70"}</definedName>
    <definedName name="HTML_Description" hidden="1">""</definedName>
    <definedName name="HTML_Email" hidden="1">""</definedName>
    <definedName name="HTML_Header" hidden="1">"Hoja1"</definedName>
    <definedName name="HTML_LastUpdate" hidden="1">"27/12/2000"</definedName>
    <definedName name="HTML_LineAfter" hidden="1">FALSE</definedName>
    <definedName name="HTML_LineBefore" hidden="1">FALSE</definedName>
    <definedName name="HTML_Name" hidden="1">"win98"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"CALENDARIO 2001"</definedName>
    <definedName name="Impactocualitat">'[13]Soporte Calificación'!$N$65503:$N$65526</definedName>
    <definedName name="Impactocualitativo">'[13]Soporte Calificación'!$M$65509:$M$65528</definedName>
    <definedName name="Impactocuantita">'[13]Soporte Calificación'!$M$65509:$M$65528</definedName>
    <definedName name="Impactocuantitativo">'[13]Soporte Calificación'!$M$65509:$M$65528</definedName>
    <definedName name="indicadores">#REF!</definedName>
    <definedName name="indice">'[3]Indicadores Accidentalidad'!$B$8:$N$69</definedName>
    <definedName name="iniar">[9]Lista!$F$3:$F$28</definedName>
    <definedName name="inicial">[9]Lista!$F$3:$F$28</definedName>
    <definedName name="inicio">[10]Lista!$C$5:$C$18</definedName>
    <definedName name="inicio5">[14]Lista!$F$3:$F$16</definedName>
    <definedName name="lesiones">'[3]Tablas Base'!$A$43:$A$78</definedName>
    <definedName name="LIDER">'[5]Plan auditoría'!$C$7</definedName>
    <definedName name="lista_Año">[15]Tablero!$W$3:$W$4</definedName>
    <definedName name="LISTA_PROCESOS">'[5]Plan auditoría'!$D$12:$D$22</definedName>
    <definedName name="LISTADO">'[5]Plan auditoría'!$D$12:$D$23</definedName>
    <definedName name="Lugares">'[3]Tablas Base'!$A$192:$A$229</definedName>
    <definedName name="MAESTRO_CAB">[8]Maestro!$D$6:$D$24</definedName>
    <definedName name="MAESTRO_CLIENT">[8]Maestro!$B$6:$B$32</definedName>
    <definedName name="MAESTRO_DESTINO">[8]Maestro!$I$6:$I$54</definedName>
    <definedName name="MAESTRO_ORIGEN">[8]Maestro!$H$6:$H$23</definedName>
    <definedName name="MAESTRO_TRAYLER">[8]Maestro!$F$6:$F$35</definedName>
    <definedName name="matrizrato">'[3]Ingreso de Datos'!$A$9:$AA$91</definedName>
    <definedName name="me">'[3]Tablas Base'!$A$327:$A$340</definedName>
    <definedName name="medicamentos">'[3]Tablas Base'!$A$565:$A$591</definedName>
    <definedName name="mes">'[3]Tablas Base'!$A$648:$A$659</definedName>
    <definedName name="MES_ENTREGA">[8]B.DATOS!$BY$10:$BY$12842</definedName>
    <definedName name="meses">'[3]Tablas Base'!$A$161:$B$173</definedName>
    <definedName name="motivo">'[3]Tablas Base'!$A$619:$A$626</definedName>
    <definedName name="NATURALEZA_DE_LA_LESION">#REF!</definedName>
    <definedName name="NLESION">#REF!</definedName>
    <definedName name="nombre">'[3]Tablas Base'!$A$344:$A$541</definedName>
    <definedName name="novedad">'[3]Tablas Base'!$A$547:$A$555</definedName>
    <definedName name="OBEC">#REF!</definedName>
    <definedName name="OBJETIVO">'[5]Plan auditoría'!$C$4</definedName>
    <definedName name="ocurrencia">'[11]PANORAMA RIESGOS'!$CC$1:$CD$5</definedName>
    <definedName name="OPCIONESM">#REF!</definedName>
    <definedName name="operaciones">#REF!</definedName>
    <definedName name="Organización">#REF!</definedName>
    <definedName name="Pago">#REF!</definedName>
    <definedName name="partes">'[3]Tablas Base'!$A$5:$A$41</definedName>
    <definedName name="personales">'[3]Tablas Base'!$A$290:$A$305</definedName>
    <definedName name="PLACAS">#REF!</definedName>
    <definedName name="precios">'[16]Inventarios base'!$A$5:$M$345</definedName>
    <definedName name="PROBAB">#REF!</definedName>
    <definedName name="Probabilidad">'[13]Soporte Calificación'!$F$65509:$F$65518</definedName>
    <definedName name="PROCESO">[10]Lista!#REF!</definedName>
    <definedName name="productos">'[16]Inventarios base'!$A$4:$A$345</definedName>
    <definedName name="PROG_INTER">[8]B.DATOS!$AX$10:$AX$12842</definedName>
    <definedName name="PROG_NAC">[8]B.DATOS!$AY$10:$AY$12842</definedName>
    <definedName name="Provee">[8]B.DATOS!$BR$10:$BR$12842</definedName>
    <definedName name="Rango1">'[17]Matriz de Peligros'!$CG$495:$CH$505</definedName>
    <definedName name="Rango2">'[17]Matriz de Peligros'!$CJ$495:$CL$517</definedName>
    <definedName name="REPROG">[8]Maestro!$M$6:$M$7</definedName>
    <definedName name="SEM_ENTREGA">[8]B.DATOS!$BX$10:$BX$12842</definedName>
    <definedName name="SEMANA">[8]B.DATOS!$BV$10:$BV$12842</definedName>
    <definedName name="Semanas">[18]Maestro!$J$3:$J$55</definedName>
    <definedName name="sino">'[3]Tablas Base'!$A$685:$A$687</definedName>
    <definedName name="sintoma">'[3]Tablas Base'!$A$595:$A$605</definedName>
    <definedName name="solver_adj" localSheetId="8" hidden="1">ProyecciónIPC!#REF!</definedName>
    <definedName name="solver_cvg" localSheetId="8" hidden="1">0.0001</definedName>
    <definedName name="solver_drv" localSheetId="8" hidden="1">2</definedName>
    <definedName name="solver_eng" localSheetId="8" hidden="1">2</definedName>
    <definedName name="solver_est" localSheetId="8" hidden="1">1</definedName>
    <definedName name="solver_itr" localSheetId="8" hidden="1">2147483647</definedName>
    <definedName name="solver_lhs1" localSheetId="8" hidden="1">ProyecciónIPC!#REF!</definedName>
    <definedName name="solver_lhs2" localSheetId="8" hidden="1">ProyecciónIPC!#REF!</definedName>
    <definedName name="solver_lhs3" localSheetId="8" hidden="1">ProyecciónIPC!#REF!</definedName>
    <definedName name="solver_lhs4" localSheetId="8" hidden="1">ProyecciónIPC!#REF!</definedName>
    <definedName name="solver_mip" localSheetId="8" hidden="1">2147483647</definedName>
    <definedName name="solver_mni" localSheetId="8" hidden="1">30</definedName>
    <definedName name="solver_mrt" localSheetId="8" hidden="1">0.075</definedName>
    <definedName name="solver_msl" localSheetId="8" hidden="1">2</definedName>
    <definedName name="solver_neg" localSheetId="8" hidden="1">1</definedName>
    <definedName name="solver_nod" localSheetId="8" hidden="1">2147483647</definedName>
    <definedName name="solver_num" localSheetId="8" hidden="1">4</definedName>
    <definedName name="solver_nwt" localSheetId="8" hidden="1">1</definedName>
    <definedName name="solver_opt" localSheetId="8" hidden="1">ProyecciónIPC!#REF!</definedName>
    <definedName name="solver_pre" localSheetId="8" hidden="1">0.000001</definedName>
    <definedName name="solver_rbv" localSheetId="8" hidden="1">2</definedName>
    <definedName name="solver_rel1" localSheetId="8" hidden="1">1</definedName>
    <definedName name="solver_rel2" localSheetId="8" hidden="1">3</definedName>
    <definedName name="solver_rel3" localSheetId="8" hidden="1">1</definedName>
    <definedName name="solver_rel4" localSheetId="8" hidden="1">3</definedName>
    <definedName name="solver_rhs1" localSheetId="8" hidden="1">1</definedName>
    <definedName name="solver_rhs2" localSheetId="8" hidden="1">0</definedName>
    <definedName name="solver_rhs3" localSheetId="8" hidden="1">1</definedName>
    <definedName name="solver_rhs4" localSheetId="8" hidden="1">0</definedName>
    <definedName name="solver_rlx" localSheetId="8" hidden="1">2</definedName>
    <definedName name="solver_rsd" localSheetId="8" hidden="1">0</definedName>
    <definedName name="solver_scl" localSheetId="8" hidden="1">2</definedName>
    <definedName name="solver_sho" localSheetId="8" hidden="1">2</definedName>
    <definedName name="solver_ssz" localSheetId="8" hidden="1">100</definedName>
    <definedName name="solver_tim" localSheetId="8" hidden="1">2147483647</definedName>
    <definedName name="solver_tol" localSheetId="8" hidden="1">1</definedName>
    <definedName name="solver_typ" localSheetId="8" hidden="1">2</definedName>
    <definedName name="solver_val" localSheetId="8" hidden="1">0</definedName>
    <definedName name="solver_ver" localSheetId="8" hidden="1">3</definedName>
    <definedName name="SUBPROCESO">[10]Lista!#REF!</definedName>
    <definedName name="Tarifas">[8]B.DATOS!$AT$10:$AT$12842</definedName>
    <definedName name="TIEM_CARGUE">[8]B.DATOS!$BF$10:$BF$12842</definedName>
    <definedName name="TIEM_PRO_1">[8]B.DATOS!$N$10:$N$12842</definedName>
    <definedName name="TIEM_SAL_CARG">[8]B.DATOS!$BG$10:$BG$12842</definedName>
    <definedName name="TIEM_VIAJE">[8]B.DATOS!$BQ$10:$BQ$12842</definedName>
    <definedName name="TIEMP_DESCAR">[8]B.DATOS!$BN$10:$BN$12842</definedName>
    <definedName name="TIP_VIAJE">[8]Maestro!$C$6:$C$9</definedName>
    <definedName name="TIP_VIAJE_1">[8]B.DATOS!$C$10:$C$12842</definedName>
    <definedName name="TIPO">'[3]Tablas Base'!#REF!</definedName>
    <definedName name="trabajo">'[3]Tablas Base'!$A$307:$A$322</definedName>
    <definedName name="TRES">#REF!</definedName>
    <definedName name="unidad">'[3]Tablas Base'!$A$610:$A$615</definedName>
    <definedName name="UNO">#REF!</definedName>
    <definedName name="VPer">[8]B.DATOS!$AW$10:$AW$12842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76" l="1"/>
  <c r="O9" i="19"/>
  <c r="O13" i="19"/>
  <c r="O14" i="19"/>
  <c r="O15" i="19"/>
  <c r="O16" i="19"/>
  <c r="O17" i="19"/>
  <c r="O18" i="19"/>
  <c r="O21" i="19"/>
  <c r="O22" i="19"/>
  <c r="G10" i="35"/>
  <c r="I17" i="45"/>
  <c r="I18" i="45"/>
  <c r="G16" i="74"/>
  <c r="F27" i="74"/>
  <c r="H31" i="74"/>
  <c r="D20" i="19"/>
  <c r="F13" i="19"/>
  <c r="H9" i="45"/>
  <c r="N9" i="45" s="1"/>
  <c r="D9" i="45"/>
  <c r="J9" i="45" s="1"/>
  <c r="E9" i="45"/>
  <c r="K9" i="45" s="1"/>
  <c r="F9" i="45"/>
  <c r="L9" i="45" s="1"/>
  <c r="G9" i="45"/>
  <c r="M9" i="45" s="1"/>
  <c r="C9" i="45"/>
  <c r="I9" i="45" s="1"/>
  <c r="G27" i="74"/>
  <c r="J27" i="74" s="1"/>
  <c r="H27" i="74"/>
  <c r="L27" i="74" s="1"/>
  <c r="F16" i="74"/>
  <c r="C43" i="76"/>
  <c r="C44" i="76"/>
  <c r="Q54" i="71"/>
  <c r="R54" i="71" s="1"/>
  <c r="Q64" i="71"/>
  <c r="S64" i="71" s="1"/>
  <c r="Q59" i="71"/>
  <c r="R59" i="71" s="1"/>
  <c r="F103" i="71"/>
  <c r="D103" i="71"/>
  <c r="J30" i="7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J16" i="45"/>
  <c r="N18" i="45" s="1"/>
  <c r="D11" i="20"/>
  <c r="E20" i="74"/>
  <c r="E21" i="74"/>
  <c r="E22" i="74"/>
  <c r="E23" i="74"/>
  <c r="E24" i="74"/>
  <c r="E25" i="74"/>
  <c r="E26" i="74"/>
  <c r="F26" i="74"/>
  <c r="E27" i="74"/>
  <c r="E30" i="74"/>
  <c r="F30" i="74"/>
  <c r="G30" i="74"/>
  <c r="J30" i="74" s="1"/>
  <c r="H30" i="74"/>
  <c r="E31" i="74"/>
  <c r="F31" i="74"/>
  <c r="G31" i="74"/>
  <c r="F34" i="74"/>
  <c r="G34" i="74"/>
  <c r="I34" i="74" s="1"/>
  <c r="H34" i="74"/>
  <c r="L34" i="74" s="1"/>
  <c r="E35" i="74"/>
  <c r="E36" i="74"/>
  <c r="E37" i="74"/>
  <c r="F37" i="74"/>
  <c r="E38" i="74"/>
  <c r="F13" i="74"/>
  <c r="G13" i="74"/>
  <c r="J13" i="74" s="1"/>
  <c r="H13" i="74"/>
  <c r="F14" i="74"/>
  <c r="G14" i="74"/>
  <c r="H16" i="74"/>
  <c r="L16" i="74" s="1"/>
  <c r="E8" i="74"/>
  <c r="E9" i="74"/>
  <c r="E13" i="74"/>
  <c r="E14" i="74"/>
  <c r="E15" i="74"/>
  <c r="E16" i="74"/>
  <c r="L13" i="74"/>
  <c r="L30" i="74"/>
  <c r="J14" i="74"/>
  <c r="J31" i="74"/>
  <c r="J34" i="74"/>
  <c r="K30" i="74"/>
  <c r="K34" i="74"/>
  <c r="I14" i="74"/>
  <c r="I31" i="74"/>
  <c r="F30" i="53"/>
  <c r="C10" i="24"/>
  <c r="D10" i="24" s="1"/>
  <c r="H8" i="28"/>
  <c r="U7" i="27"/>
  <c r="J22" i="26"/>
  <c r="J23" i="26"/>
  <c r="J21" i="26"/>
  <c r="J16" i="26"/>
  <c r="J17" i="26"/>
  <c r="J15" i="26"/>
  <c r="B25" i="26"/>
  <c r="B26" i="26"/>
  <c r="B24" i="26"/>
  <c r="B19" i="26"/>
  <c r="B20" i="26"/>
  <c r="B18" i="26"/>
  <c r="D13" i="20"/>
  <c r="C14" i="20"/>
  <c r="D15" i="20"/>
  <c r="D14" i="20"/>
  <c r="H2" i="20"/>
  <c r="F2" i="20"/>
  <c r="I2" i="20"/>
  <c r="D6" i="20" s="1"/>
  <c r="G2" i="20"/>
  <c r="F5" i="22" s="1"/>
  <c r="D5" i="22" s="1"/>
  <c r="F8" i="17"/>
  <c r="G8" i="17"/>
  <c r="F7" i="17"/>
  <c r="G7" i="17"/>
  <c r="D13" i="17" s="1"/>
  <c r="D6" i="18"/>
  <c r="G28" i="64"/>
  <c r="G27" i="64"/>
  <c r="G25" i="60"/>
  <c r="G26" i="64" s="1"/>
  <c r="G24" i="60"/>
  <c r="G20" i="60"/>
  <c r="G21" i="64"/>
  <c r="G19" i="60"/>
  <c r="G20" i="64" s="1"/>
  <c r="G15" i="60"/>
  <c r="G17" i="60" s="1"/>
  <c r="G14" i="60"/>
  <c r="G15" i="64" s="1"/>
  <c r="G13" i="60"/>
  <c r="G12" i="60"/>
  <c r="G11" i="60"/>
  <c r="G12" i="64" s="1"/>
  <c r="G7" i="60"/>
  <c r="G22" i="62"/>
  <c r="G17" i="62"/>
  <c r="N11" i="45"/>
  <c r="M11" i="45"/>
  <c r="Q8" i="63" s="1"/>
  <c r="L11" i="45"/>
  <c r="P8" i="63" s="1"/>
  <c r="P28" i="63" s="1"/>
  <c r="Q28" i="64" s="1"/>
  <c r="K11" i="45"/>
  <c r="O8" i="63" s="1"/>
  <c r="J11" i="45"/>
  <c r="I11" i="45"/>
  <c r="H11" i="45"/>
  <c r="L8" i="63" s="1"/>
  <c r="G11" i="45"/>
  <c r="F11" i="45"/>
  <c r="E11" i="45"/>
  <c r="D11" i="45"/>
  <c r="H8" i="63" s="1"/>
  <c r="C11" i="45"/>
  <c r="N10" i="45"/>
  <c r="R8" i="61" s="1"/>
  <c r="M10" i="45"/>
  <c r="L10" i="45"/>
  <c r="L14" i="18" s="1"/>
  <c r="L18" i="18" s="1"/>
  <c r="K10" i="45"/>
  <c r="O8" i="61" s="1"/>
  <c r="J10" i="45"/>
  <c r="N8" i="61" s="1"/>
  <c r="I10" i="45"/>
  <c r="H10" i="45"/>
  <c r="L8" i="61" s="1"/>
  <c r="G10" i="45"/>
  <c r="K8" i="61" s="1"/>
  <c r="F10" i="45"/>
  <c r="E10" i="45"/>
  <c r="D10" i="45"/>
  <c r="H8" i="61" s="1"/>
  <c r="C10" i="45"/>
  <c r="G26" i="59"/>
  <c r="G21" i="59"/>
  <c r="G21" i="62"/>
  <c r="G20" i="59"/>
  <c r="G23" i="59" s="1"/>
  <c r="G20" i="62"/>
  <c r="G16" i="59"/>
  <c r="G15" i="59"/>
  <c r="G14" i="59"/>
  <c r="G13" i="59"/>
  <c r="G12" i="59"/>
  <c r="G8" i="59"/>
  <c r="G8" i="62"/>
  <c r="G12" i="62"/>
  <c r="G13" i="62"/>
  <c r="G14" i="62"/>
  <c r="G15" i="62"/>
  <c r="G16" i="62"/>
  <c r="G8" i="64"/>
  <c r="G13" i="64"/>
  <c r="G14" i="64"/>
  <c r="G16" i="64"/>
  <c r="G25" i="64"/>
  <c r="C8" i="13"/>
  <c r="K18" i="59"/>
  <c r="X23" i="73"/>
  <c r="X24" i="73"/>
  <c r="X25" i="73"/>
  <c r="X22" i="73"/>
  <c r="M32" i="73"/>
  <c r="N32" i="73"/>
  <c r="O32" i="73"/>
  <c r="P32" i="73"/>
  <c r="Q32" i="73"/>
  <c r="R32" i="73"/>
  <c r="S32" i="73"/>
  <c r="T32" i="73"/>
  <c r="U32" i="73"/>
  <c r="V32" i="73"/>
  <c r="W32" i="73"/>
  <c r="L32" i="73"/>
  <c r="J31" i="73"/>
  <c r="J26" i="73"/>
  <c r="J21" i="73"/>
  <c r="J16" i="73"/>
  <c r="J11" i="73"/>
  <c r="X14" i="73"/>
  <c r="X15" i="73"/>
  <c r="X10" i="73"/>
  <c r="X7" i="73"/>
  <c r="X8" i="73"/>
  <c r="X9" i="73"/>
  <c r="X28" i="73"/>
  <c r="X29" i="73"/>
  <c r="X30" i="73"/>
  <c r="X27" i="73"/>
  <c r="X31" i="73"/>
  <c r="X19" i="73"/>
  <c r="X20" i="73"/>
  <c r="X17" i="73"/>
  <c r="X18" i="73"/>
  <c r="X13" i="73"/>
  <c r="X12" i="73"/>
  <c r="X21" i="73"/>
  <c r="X16" i="73"/>
  <c r="J32" i="73"/>
  <c r="X11" i="73"/>
  <c r="D8" i="52"/>
  <c r="E8" i="52"/>
  <c r="F8" i="52" s="1"/>
  <c r="H9" i="54" s="1"/>
  <c r="K11" i="73"/>
  <c r="K31" i="73"/>
  <c r="K10" i="73"/>
  <c r="K13" i="73"/>
  <c r="K17" i="73"/>
  <c r="K25" i="73"/>
  <c r="K29" i="73"/>
  <c r="K14" i="73"/>
  <c r="K18" i="73"/>
  <c r="K22" i="73"/>
  <c r="K26" i="73"/>
  <c r="K30" i="73"/>
  <c r="K15" i="73"/>
  <c r="K19" i="73"/>
  <c r="K23" i="73"/>
  <c r="K27" i="73"/>
  <c r="K12" i="73"/>
  <c r="K16" i="73"/>
  <c r="K20" i="73"/>
  <c r="K24" i="73"/>
  <c r="K28" i="73"/>
  <c r="K7" i="73"/>
  <c r="K8" i="73"/>
  <c r="K9" i="73"/>
  <c r="K21" i="73"/>
  <c r="C74" i="48"/>
  <c r="G19" i="51"/>
  <c r="C7" i="13"/>
  <c r="C11" i="13" s="1"/>
  <c r="D19" i="24"/>
  <c r="E19" i="24" s="1"/>
  <c r="D11" i="24"/>
  <c r="E11" i="24" s="1"/>
  <c r="D9" i="24"/>
  <c r="X26" i="73"/>
  <c r="X32" i="73"/>
  <c r="G9" i="59"/>
  <c r="E46" i="11"/>
  <c r="F44" i="11"/>
  <c r="F6" i="11"/>
  <c r="F7" i="11"/>
  <c r="F8" i="11"/>
  <c r="F9" i="11"/>
  <c r="F10" i="11"/>
  <c r="C8" i="24"/>
  <c r="D8" i="24" s="1"/>
  <c r="E8" i="24" s="1"/>
  <c r="F8" i="24" s="1"/>
  <c r="J13" i="19"/>
  <c r="J14" i="19"/>
  <c r="J15" i="19"/>
  <c r="J16" i="19"/>
  <c r="J17" i="19"/>
  <c r="J18" i="19"/>
  <c r="J7" i="19"/>
  <c r="J21" i="19" s="1"/>
  <c r="D23" i="19"/>
  <c r="G23" i="19"/>
  <c r="D12" i="20"/>
  <c r="D17" i="20" s="1"/>
  <c r="E13" i="20"/>
  <c r="E14" i="20"/>
  <c r="F14" i="20" s="1"/>
  <c r="E15" i="20"/>
  <c r="F15" i="20"/>
  <c r="G15" i="20" s="1"/>
  <c r="E16" i="20"/>
  <c r="F16" i="20"/>
  <c r="G16" i="20"/>
  <c r="H16" i="20" s="1"/>
  <c r="I16" i="20" s="1"/>
  <c r="E10" i="20"/>
  <c r="F10" i="20" s="1"/>
  <c r="F11" i="20" s="1"/>
  <c r="F18" i="11"/>
  <c r="F19" i="11"/>
  <c r="D20" i="11"/>
  <c r="D21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G10" i="59"/>
  <c r="G11" i="59"/>
  <c r="H7" i="12"/>
  <c r="I7" i="12"/>
  <c r="H8" i="12"/>
  <c r="I8" i="12"/>
  <c r="H9" i="12"/>
  <c r="I9" i="12"/>
  <c r="H10" i="12"/>
  <c r="J10" i="12"/>
  <c r="L10" i="12" s="1"/>
  <c r="M10" i="12" s="1"/>
  <c r="N10" i="12" s="1"/>
  <c r="O10" i="12" s="1"/>
  <c r="P10" i="12" s="1"/>
  <c r="Q10" i="12" s="1"/>
  <c r="H11" i="12"/>
  <c r="I11" i="12"/>
  <c r="D6" i="24"/>
  <c r="G7" i="19"/>
  <c r="G21" i="19" s="1"/>
  <c r="G22" i="19" s="1"/>
  <c r="G13" i="19"/>
  <c r="G14" i="19"/>
  <c r="G15" i="19"/>
  <c r="G16" i="19"/>
  <c r="G17" i="19"/>
  <c r="G18" i="19"/>
  <c r="H7" i="19"/>
  <c r="H21" i="19" s="1"/>
  <c r="H20" i="19"/>
  <c r="H13" i="19"/>
  <c r="H14" i="19"/>
  <c r="H15" i="19"/>
  <c r="H16" i="19"/>
  <c r="H17" i="19"/>
  <c r="H18" i="19"/>
  <c r="I7" i="19"/>
  <c r="I21" i="19"/>
  <c r="I22" i="19" s="1"/>
  <c r="I13" i="19"/>
  <c r="I14" i="19"/>
  <c r="I15" i="19"/>
  <c r="I16" i="19"/>
  <c r="I17" i="19"/>
  <c r="I18" i="19"/>
  <c r="F43" i="11"/>
  <c r="F45" i="11"/>
  <c r="G8" i="60"/>
  <c r="G9" i="64" s="1"/>
  <c r="F9" i="63"/>
  <c r="G9" i="60"/>
  <c r="G10" i="64" s="1"/>
  <c r="F10" i="63"/>
  <c r="G10" i="60"/>
  <c r="G11" i="64" s="1"/>
  <c r="F11" i="63"/>
  <c r="F12" i="63"/>
  <c r="F13" i="63"/>
  <c r="F15" i="63"/>
  <c r="G16" i="60"/>
  <c r="F16" i="60"/>
  <c r="F17" i="63"/>
  <c r="F19" i="60"/>
  <c r="F20" i="60"/>
  <c r="G22" i="60"/>
  <c r="F21" i="60"/>
  <c r="F22" i="63" s="1"/>
  <c r="D24" i="26"/>
  <c r="D25" i="26"/>
  <c r="D26" i="26"/>
  <c r="N21" i="18"/>
  <c r="O21" i="18"/>
  <c r="P21" i="18"/>
  <c r="Q21" i="18"/>
  <c r="E6" i="18"/>
  <c r="E8" i="18"/>
  <c r="B7" i="62"/>
  <c r="B6" i="60" s="1"/>
  <c r="B7" i="63" s="1"/>
  <c r="B7" i="64" s="1"/>
  <c r="B7" i="61"/>
  <c r="B22" i="61"/>
  <c r="B24" i="62"/>
  <c r="B18" i="61"/>
  <c r="B19" i="62"/>
  <c r="S44" i="53"/>
  <c r="G34" i="53"/>
  <c r="H34" i="53"/>
  <c r="G32" i="53"/>
  <c r="H32" i="53"/>
  <c r="I32" i="53" s="1"/>
  <c r="G31" i="53"/>
  <c r="H31" i="53"/>
  <c r="I31" i="53" s="1"/>
  <c r="J31" i="53" s="1"/>
  <c r="K31" i="53" s="1"/>
  <c r="K6" i="19"/>
  <c r="P6" i="19" s="1"/>
  <c r="K9" i="19"/>
  <c r="G9" i="53"/>
  <c r="F9" i="54"/>
  <c r="F21" i="54" s="1"/>
  <c r="F21" i="74" s="1"/>
  <c r="D19" i="19"/>
  <c r="C21" i="18"/>
  <c r="D24" i="45"/>
  <c r="F33" i="71"/>
  <c r="C54" i="71"/>
  <c r="F6" i="71"/>
  <c r="F8" i="71"/>
  <c r="G6" i="71"/>
  <c r="G8" i="71"/>
  <c r="H6" i="71"/>
  <c r="H8" i="71"/>
  <c r="F22" i="19"/>
  <c r="F16" i="19"/>
  <c r="F15" i="19"/>
  <c r="F14" i="19"/>
  <c r="F7" i="48"/>
  <c r="C13" i="20"/>
  <c r="J5" i="19"/>
  <c r="C12" i="20" s="1"/>
  <c r="C22" i="17"/>
  <c r="D22" i="17"/>
  <c r="G19" i="17" s="1"/>
  <c r="C15" i="17"/>
  <c r="D15" i="17"/>
  <c r="G12" i="17"/>
  <c r="C16" i="18" s="1"/>
  <c r="D21" i="18"/>
  <c r="E21" i="18"/>
  <c r="F21" i="18"/>
  <c r="G21" i="18"/>
  <c r="H21" i="18"/>
  <c r="I21" i="18"/>
  <c r="J21" i="18"/>
  <c r="K21" i="18"/>
  <c r="L21" i="18"/>
  <c r="M21" i="18"/>
  <c r="F14" i="63"/>
  <c r="F16" i="63"/>
  <c r="F25" i="63"/>
  <c r="F26" i="63"/>
  <c r="I26" i="63" s="1"/>
  <c r="F27" i="63"/>
  <c r="E8" i="60"/>
  <c r="E9" i="63"/>
  <c r="E9" i="60"/>
  <c r="E10" i="63"/>
  <c r="E10" i="60"/>
  <c r="E11" i="63" s="1"/>
  <c r="E11" i="60"/>
  <c r="E12" i="63"/>
  <c r="E12" i="60"/>
  <c r="E13" i="63"/>
  <c r="E13" i="60"/>
  <c r="E14" i="63" s="1"/>
  <c r="E14" i="60"/>
  <c r="E15" i="63"/>
  <c r="E15" i="60"/>
  <c r="E16" i="63"/>
  <c r="E17" i="63"/>
  <c r="E7" i="60"/>
  <c r="E8" i="63"/>
  <c r="E24" i="60"/>
  <c r="E20" i="60"/>
  <c r="E21" i="60"/>
  <c r="E19" i="60"/>
  <c r="F23" i="61"/>
  <c r="E25" i="62"/>
  <c r="E21" i="62"/>
  <c r="E20" i="62"/>
  <c r="E9" i="62"/>
  <c r="E10" i="62"/>
  <c r="E11" i="62"/>
  <c r="E12" i="62"/>
  <c r="E13" i="62"/>
  <c r="E14" i="62"/>
  <c r="E15" i="62"/>
  <c r="E16" i="62"/>
  <c r="E8" i="62"/>
  <c r="F21" i="62"/>
  <c r="F22" i="62"/>
  <c r="F20" i="62"/>
  <c r="F16" i="62"/>
  <c r="F17" i="62"/>
  <c r="F9" i="62"/>
  <c r="F10" i="62"/>
  <c r="F11" i="62"/>
  <c r="F12" i="62"/>
  <c r="F13" i="62"/>
  <c r="F14" i="62"/>
  <c r="F15" i="62"/>
  <c r="F8" i="62"/>
  <c r="F20" i="61"/>
  <c r="F21" i="61"/>
  <c r="F19" i="61"/>
  <c r="F13" i="61"/>
  <c r="F9" i="61"/>
  <c r="F10" i="61"/>
  <c r="F11" i="61"/>
  <c r="F12" i="61"/>
  <c r="F14" i="61"/>
  <c r="F15" i="61"/>
  <c r="F16" i="61"/>
  <c r="F17" i="61"/>
  <c r="F8" i="61"/>
  <c r="G45" i="19"/>
  <c r="I45" i="19" s="1"/>
  <c r="G46" i="19"/>
  <c r="I46" i="19"/>
  <c r="J46" i="19" s="1"/>
  <c r="G47" i="19"/>
  <c r="I47" i="19" s="1"/>
  <c r="J47" i="19" s="1"/>
  <c r="G48" i="19"/>
  <c r="I48" i="19"/>
  <c r="J48" i="19"/>
  <c r="G49" i="19"/>
  <c r="I49" i="19" s="1"/>
  <c r="J49" i="19" s="1"/>
  <c r="F50" i="19"/>
  <c r="G50" i="19"/>
  <c r="I50" i="19"/>
  <c r="J50" i="19"/>
  <c r="G51" i="19"/>
  <c r="I51" i="19" s="1"/>
  <c r="J51" i="19" s="1"/>
  <c r="G52" i="19"/>
  <c r="I52" i="19" s="1"/>
  <c r="J52" i="19" s="1"/>
  <c r="G53" i="19"/>
  <c r="I53" i="19" s="1"/>
  <c r="J53" i="19" s="1"/>
  <c r="F54" i="19"/>
  <c r="G54" i="19"/>
  <c r="I54" i="19" s="1"/>
  <c r="J54" i="19" s="1"/>
  <c r="G55" i="19"/>
  <c r="I55" i="19" s="1"/>
  <c r="J55" i="19" s="1"/>
  <c r="G56" i="19"/>
  <c r="I56" i="19"/>
  <c r="J56" i="19"/>
  <c r="G57" i="19"/>
  <c r="I57" i="19" s="1"/>
  <c r="J57" i="19" s="1"/>
  <c r="K19" i="19"/>
  <c r="K24" i="19"/>
  <c r="K25" i="19" s="1"/>
  <c r="L13" i="19"/>
  <c r="L14" i="19"/>
  <c r="L15" i="19"/>
  <c r="L16" i="19"/>
  <c r="L17" i="19"/>
  <c r="L18" i="19"/>
  <c r="L24" i="19"/>
  <c r="M13" i="19"/>
  <c r="M14" i="19"/>
  <c r="M15" i="19"/>
  <c r="M16" i="19"/>
  <c r="M17" i="19"/>
  <c r="M18" i="19"/>
  <c r="M24" i="19"/>
  <c r="G62" i="19"/>
  <c r="I62" i="19" s="1"/>
  <c r="G63" i="19"/>
  <c r="G64" i="19" s="1"/>
  <c r="H62" i="19" s="1"/>
  <c r="I63" i="19"/>
  <c r="J63" i="19" s="1"/>
  <c r="G12" i="51"/>
  <c r="C21" i="64"/>
  <c r="C20" i="64"/>
  <c r="B23" i="60"/>
  <c r="B24" i="64" s="1"/>
  <c r="B18" i="60"/>
  <c r="C21" i="63"/>
  <c r="C20" i="63"/>
  <c r="B24" i="63"/>
  <c r="C20" i="61"/>
  <c r="C21" i="62"/>
  <c r="C19" i="61"/>
  <c r="C20" i="62"/>
  <c r="B27" i="12"/>
  <c r="G24" i="45"/>
  <c r="G26" i="45" s="1"/>
  <c r="F24" i="45"/>
  <c r="F26" i="45" s="1"/>
  <c r="E24" i="45"/>
  <c r="E25" i="45" s="1"/>
  <c r="F51" i="53"/>
  <c r="F42" i="53"/>
  <c r="F36" i="53"/>
  <c r="G40" i="53"/>
  <c r="G33" i="53"/>
  <c r="H33" i="53"/>
  <c r="I33" i="53"/>
  <c r="J33" i="53" s="1"/>
  <c r="K33" i="53" s="1"/>
  <c r="L33" i="53" s="1"/>
  <c r="M33" i="53" s="1"/>
  <c r="N33" i="53" s="1"/>
  <c r="O33" i="53" s="1"/>
  <c r="P33" i="53" s="1"/>
  <c r="Q33" i="53" s="1"/>
  <c r="R33" i="53" s="1"/>
  <c r="G17" i="53"/>
  <c r="H40" i="53"/>
  <c r="H17" i="53"/>
  <c r="I40" i="53"/>
  <c r="I17" i="53"/>
  <c r="J40" i="53"/>
  <c r="J17" i="53"/>
  <c r="K40" i="53"/>
  <c r="K17" i="53"/>
  <c r="L40" i="53"/>
  <c r="L17" i="53"/>
  <c r="M40" i="53"/>
  <c r="M17" i="53"/>
  <c r="N40" i="53"/>
  <c r="N17" i="53"/>
  <c r="O40" i="53"/>
  <c r="O17" i="53"/>
  <c r="P40" i="53"/>
  <c r="P17" i="53"/>
  <c r="Q40" i="53"/>
  <c r="Q17" i="53"/>
  <c r="R40" i="53"/>
  <c r="R17" i="53"/>
  <c r="T40" i="53"/>
  <c r="T17" i="53"/>
  <c r="H14" i="54"/>
  <c r="H14" i="74" s="1"/>
  <c r="U40" i="53"/>
  <c r="U17" i="53"/>
  <c r="S17" i="53"/>
  <c r="G24" i="71"/>
  <c r="F24" i="71"/>
  <c r="E24" i="71"/>
  <c r="D24" i="71"/>
  <c r="E28" i="54"/>
  <c r="E28" i="74"/>
  <c r="N24" i="19"/>
  <c r="F17" i="19"/>
  <c r="F18" i="19"/>
  <c r="F21" i="19"/>
  <c r="E20" i="53"/>
  <c r="E21" i="53"/>
  <c r="E22" i="53"/>
  <c r="E23" i="53"/>
  <c r="E24" i="53"/>
  <c r="E25" i="53"/>
  <c r="E26" i="53"/>
  <c r="E27" i="53"/>
  <c r="E28" i="53"/>
  <c r="E29" i="53"/>
  <c r="E19" i="53"/>
  <c r="D9" i="26"/>
  <c r="C19" i="26"/>
  <c r="K16" i="26"/>
  <c r="C20" i="26"/>
  <c r="C26" i="26"/>
  <c r="K23" i="26"/>
  <c r="C18" i="26"/>
  <c r="C24" i="26"/>
  <c r="K21" i="26"/>
  <c r="F18" i="51"/>
  <c r="E18" i="51"/>
  <c r="F17" i="51"/>
  <c r="E17" i="51"/>
  <c r="I5" i="19"/>
  <c r="C8" i="20"/>
  <c r="D7" i="18"/>
  <c r="E7" i="18"/>
  <c r="E9" i="18"/>
  <c r="D10" i="18"/>
  <c r="E10" i="18"/>
  <c r="D21" i="17"/>
  <c r="D20" i="17"/>
  <c r="D19" i="17"/>
  <c r="J24" i="45"/>
  <c r="N24" i="45"/>
  <c r="N25" i="45" s="1"/>
  <c r="I24" i="45"/>
  <c r="I25" i="45" s="1"/>
  <c r="O24" i="45"/>
  <c r="O25" i="45" s="1"/>
  <c r="M24" i="45"/>
  <c r="M26" i="45" s="1"/>
  <c r="L24" i="45"/>
  <c r="L25" i="45" s="1"/>
  <c r="K24" i="45"/>
  <c r="K25" i="45" s="1"/>
  <c r="H24" i="45"/>
  <c r="H25" i="45" s="1"/>
  <c r="H26" i="45"/>
  <c r="G7" i="12"/>
  <c r="G8" i="12"/>
  <c r="G9" i="12"/>
  <c r="G10" i="12"/>
  <c r="G11" i="12"/>
  <c r="C32" i="22"/>
  <c r="H53" i="53"/>
  <c r="I53" i="53"/>
  <c r="J53" i="53"/>
  <c r="K53" i="53"/>
  <c r="L53" i="53"/>
  <c r="M53" i="53"/>
  <c r="N53" i="53" s="1"/>
  <c r="O53" i="53" s="1"/>
  <c r="P53" i="53" s="1"/>
  <c r="Q53" i="53" s="1"/>
  <c r="R53" i="53" s="1"/>
  <c r="H52" i="53"/>
  <c r="I52" i="53" s="1"/>
  <c r="J52" i="53" s="1"/>
  <c r="K52" i="53" s="1"/>
  <c r="L52" i="53" s="1"/>
  <c r="M52" i="53" s="1"/>
  <c r="N52" i="53" s="1"/>
  <c r="O52" i="53" s="1"/>
  <c r="P52" i="53" s="1"/>
  <c r="Q52" i="53" s="1"/>
  <c r="R52" i="53" s="1"/>
  <c r="C15" i="20"/>
  <c r="G5" i="19"/>
  <c r="C6" i="20"/>
  <c r="H5" i="19"/>
  <c r="C7" i="20"/>
  <c r="K5" i="19"/>
  <c r="C10" i="20" s="1"/>
  <c r="N9" i="19"/>
  <c r="L9" i="19"/>
  <c r="M9" i="19"/>
  <c r="F8" i="63"/>
  <c r="K16" i="45"/>
  <c r="C53" i="71"/>
  <c r="C50" i="71"/>
  <c r="G103" i="71"/>
  <c r="C51" i="71"/>
  <c r="C52" i="71"/>
  <c r="F9" i="74"/>
  <c r="K15" i="26"/>
  <c r="K17" i="26"/>
  <c r="G11" i="51"/>
  <c r="E6" i="24"/>
  <c r="H11" i="51" s="1"/>
  <c r="E9" i="24"/>
  <c r="F9" i="24"/>
  <c r="I12" i="51" s="1"/>
  <c r="I23" i="19"/>
  <c r="J21" i="59"/>
  <c r="J20" i="59"/>
  <c r="G11" i="62"/>
  <c r="G10" i="62"/>
  <c r="K17" i="45"/>
  <c r="I21" i="59"/>
  <c r="I20" i="59"/>
  <c r="H21" i="59"/>
  <c r="H20" i="59"/>
  <c r="G9" i="62"/>
  <c r="F20" i="63"/>
  <c r="F21" i="63"/>
  <c r="G18" i="59"/>
  <c r="G17" i="64"/>
  <c r="G25" i="62"/>
  <c r="L26" i="45"/>
  <c r="E26" i="45"/>
  <c r="J25" i="45"/>
  <c r="J9" i="12"/>
  <c r="L9" i="12"/>
  <c r="M9" i="12" s="1"/>
  <c r="I16" i="18"/>
  <c r="C25" i="26"/>
  <c r="K22" i="26"/>
  <c r="F25" i="45"/>
  <c r="G25" i="45"/>
  <c r="G27" i="45"/>
  <c r="K18" i="45"/>
  <c r="N26" i="45"/>
  <c r="J26" i="45"/>
  <c r="J27" i="45" s="1"/>
  <c r="B19" i="64"/>
  <c r="B19" i="63"/>
  <c r="N16" i="18"/>
  <c r="F21" i="11"/>
  <c r="D22" i="11"/>
  <c r="F22" i="11"/>
  <c r="G22" i="64"/>
  <c r="H23" i="19"/>
  <c r="F20" i="11"/>
  <c r="J20" i="19"/>
  <c r="S40" i="53"/>
  <c r="I34" i="53"/>
  <c r="H12" i="51"/>
  <c r="P8" i="61"/>
  <c r="P16" i="61" s="1"/>
  <c r="Q16" i="62" s="1"/>
  <c r="J15" i="18"/>
  <c r="J19" i="18" s="1"/>
  <c r="N8" i="63"/>
  <c r="N14" i="63" s="1"/>
  <c r="O14" i="64" s="1"/>
  <c r="H14" i="18"/>
  <c r="H18" i="18" s="1"/>
  <c r="L15" i="18"/>
  <c r="L19" i="18" s="1"/>
  <c r="H15" i="18"/>
  <c r="H19" i="18"/>
  <c r="F14" i="18"/>
  <c r="F18" i="18"/>
  <c r="J8" i="61"/>
  <c r="J16" i="61" s="1"/>
  <c r="I14" i="18"/>
  <c r="I18" i="18" s="1"/>
  <c r="M8" i="61"/>
  <c r="M14" i="61" s="1"/>
  <c r="D14" i="18"/>
  <c r="E14" i="18"/>
  <c r="I8" i="61"/>
  <c r="I14" i="61" s="1"/>
  <c r="K14" i="18"/>
  <c r="K18" i="18" s="1"/>
  <c r="F15" i="18"/>
  <c r="F19" i="18" s="1"/>
  <c r="J8" i="63"/>
  <c r="J12" i="63" s="1"/>
  <c r="I15" i="18"/>
  <c r="I19" i="18" s="1"/>
  <c r="M8" i="63"/>
  <c r="D15" i="18"/>
  <c r="D19" i="18" s="1"/>
  <c r="E15" i="18"/>
  <c r="E19" i="18" s="1"/>
  <c r="I8" i="63"/>
  <c r="K21" i="61"/>
  <c r="I10" i="61"/>
  <c r="I21" i="61"/>
  <c r="J22" i="62" s="1"/>
  <c r="I13" i="61"/>
  <c r="I17" i="61"/>
  <c r="J17" i="61"/>
  <c r="J13" i="61"/>
  <c r="L10" i="61"/>
  <c r="G51" i="53"/>
  <c r="S59" i="71"/>
  <c r="S54" i="71"/>
  <c r="S41" i="53"/>
  <c r="T41" i="53" s="1"/>
  <c r="U41" i="53" s="1"/>
  <c r="I27" i="74"/>
  <c r="K27" i="74"/>
  <c r="C17" i="18" l="1"/>
  <c r="G17" i="18"/>
  <c r="D17" i="18"/>
  <c r="N17" i="18"/>
  <c r="E17" i="18"/>
  <c r="K17" i="18"/>
  <c r="J17" i="18"/>
  <c r="I17" i="18"/>
  <c r="M17" i="18"/>
  <c r="F17" i="18"/>
  <c r="H17" i="18"/>
  <c r="L17" i="18"/>
  <c r="D16" i="18"/>
  <c r="J16" i="18"/>
  <c r="M16" i="18"/>
  <c r="F16" i="18"/>
  <c r="E16" i="18"/>
  <c r="O16" i="18" s="1"/>
  <c r="P16" i="18" s="1"/>
  <c r="Q16" i="18" s="1"/>
  <c r="E18" i="18"/>
  <c r="D12" i="17"/>
  <c r="D9" i="18"/>
  <c r="D18" i="18"/>
  <c r="L16" i="18"/>
  <c r="K16" i="18"/>
  <c r="D14" i="17"/>
  <c r="D8" i="18"/>
  <c r="H16" i="18"/>
  <c r="G16" i="18"/>
  <c r="J26" i="64"/>
  <c r="K12" i="64"/>
  <c r="G28" i="60"/>
  <c r="I12" i="63"/>
  <c r="J12" i="64" s="1"/>
  <c r="M15" i="63"/>
  <c r="N15" i="64" s="1"/>
  <c r="R56" i="71"/>
  <c r="R61" i="71"/>
  <c r="F6" i="24"/>
  <c r="I11" i="51" s="1"/>
  <c r="R64" i="71"/>
  <c r="R66" i="71" s="1"/>
  <c r="I20" i="18"/>
  <c r="I64" i="19"/>
  <c r="M19" i="19"/>
  <c r="F46" i="11"/>
  <c r="G45" i="11" s="1"/>
  <c r="J11" i="12"/>
  <c r="L11" i="12" s="1"/>
  <c r="M11" i="12" s="1"/>
  <c r="N11" i="12" s="1"/>
  <c r="O11" i="12" s="1"/>
  <c r="P11" i="12" s="1"/>
  <c r="Q11" i="12" s="1"/>
  <c r="J8" i="12"/>
  <c r="L8" i="12" s="1"/>
  <c r="M8" i="12" s="1"/>
  <c r="F39" i="11"/>
  <c r="F23" i="11"/>
  <c r="F23" i="19"/>
  <c r="O23" i="19"/>
  <c r="H12" i="54"/>
  <c r="H12" i="74" s="1"/>
  <c r="H10" i="61"/>
  <c r="K17" i="61"/>
  <c r="L16" i="61"/>
  <c r="L19" i="61"/>
  <c r="N11" i="61"/>
  <c r="O14" i="61"/>
  <c r="L22" i="63"/>
  <c r="M22" i="64" s="1"/>
  <c r="O13" i="63"/>
  <c r="P13" i="64" s="1"/>
  <c r="Q26" i="63"/>
  <c r="R26" i="64" s="1"/>
  <c r="L31" i="74"/>
  <c r="O19" i="19"/>
  <c r="I30" i="74"/>
  <c r="K13" i="74"/>
  <c r="I13" i="74"/>
  <c r="H21" i="54"/>
  <c r="H21" i="74" s="1"/>
  <c r="H9" i="74"/>
  <c r="G9" i="54"/>
  <c r="S33" i="53"/>
  <c r="T33" i="53" s="1"/>
  <c r="U33" i="53" s="1"/>
  <c r="L31" i="53"/>
  <c r="M31" i="53" s="1"/>
  <c r="N31" i="53" s="1"/>
  <c r="O31" i="53" s="1"/>
  <c r="P31" i="53" s="1"/>
  <c r="Q31" i="53" s="1"/>
  <c r="R31" i="53" s="1"/>
  <c r="J34" i="53"/>
  <c r="K34" i="53" s="1"/>
  <c r="L34" i="53" s="1"/>
  <c r="M34" i="53" s="1"/>
  <c r="N34" i="53" s="1"/>
  <c r="O34" i="53" s="1"/>
  <c r="P34" i="53" s="1"/>
  <c r="Q34" i="53" s="1"/>
  <c r="R34" i="53" s="1"/>
  <c r="M25" i="19"/>
  <c r="I20" i="19"/>
  <c r="F20" i="19"/>
  <c r="O20" i="19"/>
  <c r="O24" i="19" s="1"/>
  <c r="O25" i="19" s="1"/>
  <c r="L19" i="19"/>
  <c r="L25" i="19" s="1"/>
  <c r="F19" i="19"/>
  <c r="I19" i="19"/>
  <c r="F13" i="20"/>
  <c r="G13" i="20" s="1"/>
  <c r="H13" i="20" s="1"/>
  <c r="I13" i="20" s="1"/>
  <c r="D6" i="22"/>
  <c r="D7" i="22"/>
  <c r="C17" i="22" s="1"/>
  <c r="D9" i="22"/>
  <c r="D12" i="22"/>
  <c r="D8" i="22"/>
  <c r="D10" i="22"/>
  <c r="D11" i="22"/>
  <c r="J22" i="19"/>
  <c r="I58" i="19"/>
  <c r="J45" i="19"/>
  <c r="J58" i="19" s="1"/>
  <c r="N18" i="53"/>
  <c r="J18" i="53"/>
  <c r="P18" i="53"/>
  <c r="K18" i="53"/>
  <c r="G18" i="53"/>
  <c r="L18" i="53"/>
  <c r="O18" i="53"/>
  <c r="Q6" i="19"/>
  <c r="H18" i="53"/>
  <c r="I18" i="53"/>
  <c r="F24" i="19"/>
  <c r="E11" i="20"/>
  <c r="G58" i="19"/>
  <c r="P17" i="19"/>
  <c r="D33" i="19" s="1"/>
  <c r="G23" i="53" s="1"/>
  <c r="H19" i="19"/>
  <c r="P15" i="19"/>
  <c r="D31" i="19" s="1"/>
  <c r="E31" i="19" s="1"/>
  <c r="F31" i="19" s="1"/>
  <c r="J19" i="19"/>
  <c r="P16" i="19"/>
  <c r="D32" i="19" s="1"/>
  <c r="G22" i="53" s="1"/>
  <c r="P18" i="19"/>
  <c r="D34" i="19" s="1"/>
  <c r="H54" i="19"/>
  <c r="J23" i="19"/>
  <c r="J24" i="19" s="1"/>
  <c r="H63" i="19"/>
  <c r="H64" i="19" s="1"/>
  <c r="G20" i="19"/>
  <c r="G24" i="19" s="1"/>
  <c r="D24" i="19"/>
  <c r="D25" i="19" s="1"/>
  <c r="D7" i="20"/>
  <c r="J62" i="19"/>
  <c r="J64" i="19" s="1"/>
  <c r="I24" i="19"/>
  <c r="D8" i="20"/>
  <c r="D9" i="20" s="1"/>
  <c r="D18" i="20" s="1"/>
  <c r="E32" i="19"/>
  <c r="P21" i="19"/>
  <c r="D36" i="19" s="1"/>
  <c r="E36" i="19" s="1"/>
  <c r="F36" i="19" s="1"/>
  <c r="G36" i="19" s="1"/>
  <c r="H36" i="19" s="1"/>
  <c r="I36" i="19" s="1"/>
  <c r="J36" i="19" s="1"/>
  <c r="K36" i="19" s="1"/>
  <c r="L36" i="19" s="1"/>
  <c r="M36" i="19" s="1"/>
  <c r="N36" i="19" s="1"/>
  <c r="O36" i="19" s="1"/>
  <c r="H22" i="19"/>
  <c r="P7" i="19"/>
  <c r="Q7" i="19" s="1"/>
  <c r="P14" i="19"/>
  <c r="D30" i="19" s="1"/>
  <c r="G20" i="53" s="1"/>
  <c r="Q18" i="53"/>
  <c r="R18" i="53"/>
  <c r="P13" i="19"/>
  <c r="D29" i="19" s="1"/>
  <c r="M18" i="53"/>
  <c r="G10" i="20"/>
  <c r="E34" i="19"/>
  <c r="G24" i="53"/>
  <c r="D39" i="19"/>
  <c r="G19" i="19"/>
  <c r="L22" i="62"/>
  <c r="J13" i="62"/>
  <c r="P14" i="62"/>
  <c r="J10" i="62"/>
  <c r="M10" i="62"/>
  <c r="J14" i="62"/>
  <c r="K13" i="62"/>
  <c r="N14" i="62"/>
  <c r="I10" i="62"/>
  <c r="O11" i="62"/>
  <c r="K17" i="62"/>
  <c r="J17" i="62"/>
  <c r="K16" i="62"/>
  <c r="L17" i="62"/>
  <c r="M16" i="62"/>
  <c r="E10" i="54"/>
  <c r="E10" i="74" s="1"/>
  <c r="D9" i="13"/>
  <c r="F16" i="53"/>
  <c r="D8" i="13"/>
  <c r="C12" i="34"/>
  <c r="C7" i="35" s="1"/>
  <c r="C16" i="13"/>
  <c r="E16" i="13" s="1"/>
  <c r="F16" i="13" s="1"/>
  <c r="G16" i="13" s="1"/>
  <c r="F19" i="24"/>
  <c r="F14" i="24" s="1"/>
  <c r="I8" i="51" s="1"/>
  <c r="T44" i="53"/>
  <c r="E15" i="24"/>
  <c r="H9" i="51" s="1"/>
  <c r="D7" i="13"/>
  <c r="E14" i="24"/>
  <c r="H8" i="51" s="1"/>
  <c r="D14" i="23"/>
  <c r="F14" i="23"/>
  <c r="E14" i="23"/>
  <c r="G44" i="11"/>
  <c r="E10" i="24"/>
  <c r="G13" i="51"/>
  <c r="G43" i="11"/>
  <c r="G37" i="11"/>
  <c r="G31" i="11"/>
  <c r="G38" i="11"/>
  <c r="G32" i="11"/>
  <c r="G34" i="11"/>
  <c r="G27" i="11"/>
  <c r="G30" i="11"/>
  <c r="G36" i="11"/>
  <c r="H13" i="12"/>
  <c r="J13" i="12" s="1"/>
  <c r="L13" i="12" s="1"/>
  <c r="M13" i="12" s="1"/>
  <c r="N13" i="12" s="1"/>
  <c r="O13" i="12" s="1"/>
  <c r="P13" i="12" s="1"/>
  <c r="Q13" i="12" s="1"/>
  <c r="R13" i="12" s="1"/>
  <c r="S13" i="12" s="1"/>
  <c r="G35" i="11"/>
  <c r="J5" i="11"/>
  <c r="H12" i="12"/>
  <c r="J12" i="12" s="1"/>
  <c r="L12" i="12" s="1"/>
  <c r="M12" i="12" s="1"/>
  <c r="G19" i="11"/>
  <c r="G22" i="11"/>
  <c r="H16" i="12"/>
  <c r="G18" i="11"/>
  <c r="N9" i="12"/>
  <c r="C18" i="12"/>
  <c r="N8" i="12"/>
  <c r="C17" i="12"/>
  <c r="C25" i="12" s="1"/>
  <c r="F12" i="54"/>
  <c r="F12" i="74" s="1"/>
  <c r="J7" i="12"/>
  <c r="G12" i="54"/>
  <c r="G12" i="74" s="1"/>
  <c r="F14" i="11"/>
  <c r="E12" i="54"/>
  <c r="N27" i="45"/>
  <c r="K16" i="74"/>
  <c r="I16" i="74"/>
  <c r="J16" i="74"/>
  <c r="K31" i="74"/>
  <c r="J32" i="53"/>
  <c r="K32" i="53" s="1"/>
  <c r="L32" i="53" s="1"/>
  <c r="M32" i="53" s="1"/>
  <c r="N32" i="53" s="1"/>
  <c r="O32" i="53" s="1"/>
  <c r="P32" i="53" s="1"/>
  <c r="Q32" i="53" s="1"/>
  <c r="R32" i="53" s="1"/>
  <c r="F11" i="24"/>
  <c r="G14" i="20"/>
  <c r="H14" i="20" s="1"/>
  <c r="I14" i="20" s="1"/>
  <c r="H15" i="20"/>
  <c r="I15" i="20" s="1"/>
  <c r="R8" i="64"/>
  <c r="M9" i="61"/>
  <c r="N9" i="62" s="1"/>
  <c r="E20" i="18"/>
  <c r="I20" i="61"/>
  <c r="J21" i="62" s="1"/>
  <c r="Q10" i="63"/>
  <c r="R10" i="64" s="1"/>
  <c r="M21" i="61"/>
  <c r="N22" i="62" s="1"/>
  <c r="L21" i="63"/>
  <c r="M21" i="64" s="1"/>
  <c r="N13" i="63"/>
  <c r="O13" i="64" s="1"/>
  <c r="L8" i="62"/>
  <c r="I21" i="63"/>
  <c r="J21" i="64" s="1"/>
  <c r="L13" i="61"/>
  <c r="M13" i="62" s="1"/>
  <c r="L11" i="61"/>
  <c r="M11" i="62" s="1"/>
  <c r="L14" i="63"/>
  <c r="M14" i="64" s="1"/>
  <c r="L14" i="61"/>
  <c r="M14" i="62" s="1"/>
  <c r="J20" i="61"/>
  <c r="K21" i="62" s="1"/>
  <c r="L13" i="63"/>
  <c r="M13" i="64" s="1"/>
  <c r="H19" i="61"/>
  <c r="I20" i="62" s="1"/>
  <c r="J8" i="62"/>
  <c r="I12" i="61"/>
  <c r="J12" i="62" s="1"/>
  <c r="K15" i="18"/>
  <c r="K19" i="18" s="1"/>
  <c r="K20" i="18" s="1"/>
  <c r="Q9" i="63"/>
  <c r="R9" i="64" s="1"/>
  <c r="M15" i="18"/>
  <c r="M19" i="18" s="1"/>
  <c r="L27" i="45"/>
  <c r="Q25" i="63"/>
  <c r="R25" i="64" s="1"/>
  <c r="N9" i="63"/>
  <c r="O9" i="64" s="1"/>
  <c r="N14" i="18"/>
  <c r="N18" i="18" s="1"/>
  <c r="M18" i="45"/>
  <c r="O14" i="18" s="1"/>
  <c r="O18" i="18" s="1"/>
  <c r="O21" i="61"/>
  <c r="P22" i="62" s="1"/>
  <c r="N14" i="61"/>
  <c r="O14" i="62" s="1"/>
  <c r="M25" i="45"/>
  <c r="M27" i="45" s="1"/>
  <c r="K26" i="45"/>
  <c r="K27" i="45" s="1"/>
  <c r="P9" i="61"/>
  <c r="Q9" i="62" s="1"/>
  <c r="J20" i="63"/>
  <c r="K20" i="64" s="1"/>
  <c r="L20" i="18"/>
  <c r="L23" i="18" s="1"/>
  <c r="L24" i="18" s="1"/>
  <c r="L25" i="18" s="1"/>
  <c r="J17" i="63"/>
  <c r="K17" i="64" s="1"/>
  <c r="N9" i="61"/>
  <c r="O9" i="62" s="1"/>
  <c r="P11" i="61"/>
  <c r="Q11" i="62" s="1"/>
  <c r="H12" i="61"/>
  <c r="I12" i="62" s="1"/>
  <c r="K8" i="64"/>
  <c r="I23" i="61"/>
  <c r="J25" i="62" s="1"/>
  <c r="I15" i="61"/>
  <c r="J15" i="62" s="1"/>
  <c r="I19" i="61"/>
  <c r="J20" i="62" s="1"/>
  <c r="H20" i="18"/>
  <c r="N10" i="61"/>
  <c r="O10" i="62" s="1"/>
  <c r="N20" i="61"/>
  <c r="O21" i="62" s="1"/>
  <c r="P23" i="61"/>
  <c r="Q25" i="62" s="1"/>
  <c r="J27" i="63"/>
  <c r="K27" i="64" s="1"/>
  <c r="I11" i="61"/>
  <c r="J11" i="62" s="1"/>
  <c r="I16" i="61"/>
  <c r="J16" i="62" s="1"/>
  <c r="D20" i="18"/>
  <c r="D22" i="18" s="1"/>
  <c r="P14" i="61"/>
  <c r="Q14" i="62" s="1"/>
  <c r="H16" i="61"/>
  <c r="I16" i="62" s="1"/>
  <c r="J13" i="63"/>
  <c r="K13" i="64" s="1"/>
  <c r="I9" i="61"/>
  <c r="J9" i="62" s="1"/>
  <c r="R20" i="61"/>
  <c r="S21" i="62" s="1"/>
  <c r="R19" i="61"/>
  <c r="S20" i="62" s="1"/>
  <c r="S8" i="62"/>
  <c r="R14" i="61"/>
  <c r="S14" i="62" s="1"/>
  <c r="R17" i="61"/>
  <c r="S17" i="62" s="1"/>
  <c r="R9" i="61"/>
  <c r="S9" i="62" s="1"/>
  <c r="R23" i="61"/>
  <c r="S25" i="62" s="1"/>
  <c r="R12" i="61"/>
  <c r="S12" i="62" s="1"/>
  <c r="R11" i="61"/>
  <c r="S11" i="62" s="1"/>
  <c r="R16" i="61"/>
  <c r="S16" i="62" s="1"/>
  <c r="R15" i="61"/>
  <c r="S15" i="62" s="1"/>
  <c r="R13" i="61"/>
  <c r="S13" i="62" s="1"/>
  <c r="R21" i="61"/>
  <c r="S22" i="62" s="1"/>
  <c r="R10" i="61"/>
  <c r="S10" i="62" s="1"/>
  <c r="E22" i="18"/>
  <c r="E23" i="18"/>
  <c r="E24" i="18" s="1"/>
  <c r="H26" i="60"/>
  <c r="H25" i="60"/>
  <c r="H11" i="60"/>
  <c r="D23" i="18"/>
  <c r="D24" i="18" s="1"/>
  <c r="D16" i="22" s="1"/>
  <c r="M22" i="63"/>
  <c r="N22" i="64" s="1"/>
  <c r="I13" i="63"/>
  <c r="J13" i="64" s="1"/>
  <c r="J15" i="61"/>
  <c r="K15" i="62" s="1"/>
  <c r="M14" i="18"/>
  <c r="M18" i="18" s="1"/>
  <c r="Q8" i="61"/>
  <c r="J10" i="61"/>
  <c r="K10" i="62" s="1"/>
  <c r="L17" i="61"/>
  <c r="M17" i="62" s="1"/>
  <c r="M20" i="62"/>
  <c r="L21" i="61"/>
  <c r="M22" i="62" s="1"/>
  <c r="L15" i="61"/>
  <c r="M15" i="62" s="1"/>
  <c r="L9" i="61"/>
  <c r="M9" i="62" s="1"/>
  <c r="L20" i="61"/>
  <c r="M21" i="62" s="1"/>
  <c r="L12" i="61"/>
  <c r="M12" i="62" s="1"/>
  <c r="N15" i="18"/>
  <c r="N19" i="18" s="1"/>
  <c r="R8" i="63"/>
  <c r="E27" i="45"/>
  <c r="M25" i="63"/>
  <c r="N25" i="64" s="1"/>
  <c r="I26" i="45"/>
  <c r="I27" i="45" s="1"/>
  <c r="K13" i="61"/>
  <c r="L13" i="62" s="1"/>
  <c r="K19" i="61"/>
  <c r="L20" i="62" s="1"/>
  <c r="K15" i="61"/>
  <c r="L15" i="62" s="1"/>
  <c r="K12" i="61"/>
  <c r="L12" i="62" s="1"/>
  <c r="K9" i="61"/>
  <c r="L9" i="62" s="1"/>
  <c r="K20" i="61"/>
  <c r="L21" i="62" s="1"/>
  <c r="K8" i="63"/>
  <c r="G15" i="18"/>
  <c r="G19" i="18" s="1"/>
  <c r="J11" i="61"/>
  <c r="K11" i="62" s="1"/>
  <c r="J22" i="63"/>
  <c r="K22" i="64" s="1"/>
  <c r="N22" i="63"/>
  <c r="O22" i="64" s="1"/>
  <c r="N15" i="63"/>
  <c r="O15" i="64" s="1"/>
  <c r="N20" i="63"/>
  <c r="O20" i="64" s="1"/>
  <c r="N21" i="63"/>
  <c r="O21" i="64" s="1"/>
  <c r="N28" i="63"/>
  <c r="O28" i="64" s="1"/>
  <c r="N25" i="63"/>
  <c r="O25" i="64" s="1"/>
  <c r="O26" i="45"/>
  <c r="O27" i="45" s="1"/>
  <c r="N12" i="63"/>
  <c r="O12" i="64" s="1"/>
  <c r="G8" i="61"/>
  <c r="H8" i="62" s="1"/>
  <c r="C14" i="18"/>
  <c r="C18" i="18" s="1"/>
  <c r="C15" i="18"/>
  <c r="C19" i="18" s="1"/>
  <c r="G8" i="63"/>
  <c r="I25" i="63"/>
  <c r="J25" i="64" s="1"/>
  <c r="I20" i="63"/>
  <c r="J20" i="64" s="1"/>
  <c r="I22" i="63"/>
  <c r="J22" i="64" s="1"/>
  <c r="J8" i="64"/>
  <c r="I27" i="63"/>
  <c r="J27" i="64" s="1"/>
  <c r="I10" i="63"/>
  <c r="J10" i="64" s="1"/>
  <c r="I9" i="63"/>
  <c r="J9" i="64" s="1"/>
  <c r="I15" i="63"/>
  <c r="J15" i="64" s="1"/>
  <c r="I11" i="63"/>
  <c r="J11" i="64" s="1"/>
  <c r="I17" i="63"/>
  <c r="J17" i="64" s="1"/>
  <c r="I16" i="63"/>
  <c r="J16" i="64" s="1"/>
  <c r="M27" i="63"/>
  <c r="N27" i="64" s="1"/>
  <c r="M9" i="63"/>
  <c r="N9" i="64" s="1"/>
  <c r="M11" i="63"/>
  <c r="N11" i="64" s="1"/>
  <c r="O15" i="61"/>
  <c r="P15" i="62" s="1"/>
  <c r="O9" i="61"/>
  <c r="P9" i="62" s="1"/>
  <c r="O13" i="61"/>
  <c r="P13" i="62" s="1"/>
  <c r="O12" i="61"/>
  <c r="P12" i="62" s="1"/>
  <c r="O20" i="61"/>
  <c r="P21" i="62" s="1"/>
  <c r="P8" i="62"/>
  <c r="O23" i="61"/>
  <c r="P25" i="62" s="1"/>
  <c r="J14" i="61"/>
  <c r="K14" i="62" s="1"/>
  <c r="J23" i="61"/>
  <c r="K25" i="62" s="1"/>
  <c r="K8" i="62"/>
  <c r="J9" i="61"/>
  <c r="K9" i="62" s="1"/>
  <c r="J12" i="61"/>
  <c r="K12" i="62" s="1"/>
  <c r="J19" i="61"/>
  <c r="K20" i="62" s="1"/>
  <c r="P27" i="63"/>
  <c r="Q27" i="64" s="1"/>
  <c r="P25" i="63"/>
  <c r="Q25" i="64" s="1"/>
  <c r="I28" i="63"/>
  <c r="J28" i="64" s="1"/>
  <c r="J10" i="63"/>
  <c r="K10" i="64" s="1"/>
  <c r="J25" i="63"/>
  <c r="K25" i="64" s="1"/>
  <c r="J15" i="63"/>
  <c r="K15" i="64" s="1"/>
  <c r="J28" i="63"/>
  <c r="K28" i="64" s="1"/>
  <c r="J16" i="63"/>
  <c r="K16" i="64" s="1"/>
  <c r="J21" i="63"/>
  <c r="K21" i="64" s="1"/>
  <c r="J9" i="63"/>
  <c r="K9" i="64" s="1"/>
  <c r="J26" i="63"/>
  <c r="K26" i="64" s="1"/>
  <c r="H27" i="45"/>
  <c r="D26" i="45"/>
  <c r="D25" i="45"/>
  <c r="D27" i="45" s="1"/>
  <c r="Q12" i="63"/>
  <c r="R12" i="64" s="1"/>
  <c r="Q22" i="63"/>
  <c r="R22" i="64" s="1"/>
  <c r="Q21" i="63"/>
  <c r="R21" i="64" s="1"/>
  <c r="Q27" i="63"/>
  <c r="R27" i="64" s="1"/>
  <c r="Q14" i="63"/>
  <c r="R14" i="64" s="1"/>
  <c r="Q28" i="63"/>
  <c r="R28" i="64" s="1"/>
  <c r="Q13" i="63"/>
  <c r="R13" i="64" s="1"/>
  <c r="Q16" i="63"/>
  <c r="R16" i="64" s="1"/>
  <c r="Q11" i="63"/>
  <c r="R11" i="64" s="1"/>
  <c r="Q17" i="63"/>
  <c r="R17" i="64" s="1"/>
  <c r="Q15" i="63"/>
  <c r="R15" i="64" s="1"/>
  <c r="I14" i="63"/>
  <c r="J14" i="64" s="1"/>
  <c r="J11" i="63"/>
  <c r="K11" i="64" s="1"/>
  <c r="L9" i="63"/>
  <c r="M9" i="64" s="1"/>
  <c r="L15" i="63"/>
  <c r="M15" i="64" s="1"/>
  <c r="L25" i="63"/>
  <c r="M25" i="64" s="1"/>
  <c r="L12" i="63"/>
  <c r="M12" i="64" s="1"/>
  <c r="L20" i="63"/>
  <c r="M20" i="64" s="1"/>
  <c r="L28" i="63"/>
  <c r="M28" i="64" s="1"/>
  <c r="L27" i="63"/>
  <c r="M27" i="64" s="1"/>
  <c r="L26" i="63"/>
  <c r="M26" i="64" s="1"/>
  <c r="M8" i="64"/>
  <c r="L17" i="63"/>
  <c r="M17" i="64" s="1"/>
  <c r="L16" i="63"/>
  <c r="M16" i="64" s="1"/>
  <c r="L11" i="63"/>
  <c r="M11" i="64" s="1"/>
  <c r="L10" i="63"/>
  <c r="M10" i="64" s="1"/>
  <c r="M8" i="62"/>
  <c r="L23" i="61"/>
  <c r="M25" i="62" s="1"/>
  <c r="J21" i="61"/>
  <c r="K22" i="62" s="1"/>
  <c r="O8" i="64"/>
  <c r="Q20" i="63"/>
  <c r="R20" i="64" s="1"/>
  <c r="J14" i="63"/>
  <c r="K14" i="64" s="1"/>
  <c r="K10" i="61"/>
  <c r="L10" i="62" s="1"/>
  <c r="M19" i="61"/>
  <c r="N20" i="62" s="1"/>
  <c r="M23" i="61"/>
  <c r="N25" i="62" s="1"/>
  <c r="M16" i="61"/>
  <c r="N16" i="62" s="1"/>
  <c r="G14" i="18"/>
  <c r="P13" i="61"/>
  <c r="Q13" i="62" s="1"/>
  <c r="P17" i="61"/>
  <c r="Q17" i="62" s="1"/>
  <c r="P21" i="61"/>
  <c r="Q22" i="62" s="1"/>
  <c r="P10" i="61"/>
  <c r="Q10" i="62" s="1"/>
  <c r="P20" i="61"/>
  <c r="Q21" i="62" s="1"/>
  <c r="F27" i="45"/>
  <c r="O28" i="63"/>
  <c r="P28" i="64" s="1"/>
  <c r="O12" i="63"/>
  <c r="P12" i="64" s="1"/>
  <c r="O10" i="63"/>
  <c r="P10" i="64" s="1"/>
  <c r="O20" i="63"/>
  <c r="P20" i="64" s="1"/>
  <c r="J14" i="18"/>
  <c r="J18" i="18" s="1"/>
  <c r="J20" i="18" s="1"/>
  <c r="J17" i="45"/>
  <c r="N19" i="45" s="1"/>
  <c r="I7" i="60" s="1"/>
  <c r="F20" i="18"/>
  <c r="H16" i="63"/>
  <c r="I16" i="64" s="1"/>
  <c r="H28" i="63"/>
  <c r="I28" i="64" s="1"/>
  <c r="H21" i="63"/>
  <c r="I21" i="64" s="1"/>
  <c r="H9" i="63"/>
  <c r="I9" i="64" s="1"/>
  <c r="H15" i="63"/>
  <c r="I15" i="64" s="1"/>
  <c r="H12" i="63"/>
  <c r="I12" i="64" s="1"/>
  <c r="H27" i="63"/>
  <c r="I27" i="64" s="1"/>
  <c r="H14" i="63"/>
  <c r="I14" i="64" s="1"/>
  <c r="H25" i="63"/>
  <c r="I25" i="64" s="1"/>
  <c r="H13" i="63"/>
  <c r="I13" i="64" s="1"/>
  <c r="H22" i="63"/>
  <c r="I22" i="64" s="1"/>
  <c r="H20" i="63"/>
  <c r="I20" i="64" s="1"/>
  <c r="H17" i="63"/>
  <c r="I17" i="64" s="1"/>
  <c r="H26" i="63"/>
  <c r="I26" i="64" s="1"/>
  <c r="H10" i="63"/>
  <c r="I10" i="64" s="1"/>
  <c r="I8" i="64"/>
  <c r="H11" i="63"/>
  <c r="I11" i="64" s="1"/>
  <c r="G18" i="18"/>
  <c r="P13" i="63"/>
  <c r="Q13" i="64" s="1"/>
  <c r="P21" i="63"/>
  <c r="Q21" i="64" s="1"/>
  <c r="P14" i="63"/>
  <c r="Q14" i="64" s="1"/>
  <c r="P10" i="63"/>
  <c r="Q10" i="64" s="1"/>
  <c r="P16" i="63"/>
  <c r="Q16" i="64" s="1"/>
  <c r="Q8" i="64"/>
  <c r="P9" i="63"/>
  <c r="Q9" i="64" s="1"/>
  <c r="P17" i="63"/>
  <c r="Q17" i="64" s="1"/>
  <c r="P20" i="63"/>
  <c r="Q20" i="64" s="1"/>
  <c r="P26" i="63"/>
  <c r="Q26" i="64" s="1"/>
  <c r="P15" i="63"/>
  <c r="Q15" i="64" s="1"/>
  <c r="P22" i="63"/>
  <c r="Q22" i="64" s="1"/>
  <c r="P11" i="63"/>
  <c r="Q11" i="64" s="1"/>
  <c r="P12" i="63"/>
  <c r="Q12" i="64" s="1"/>
  <c r="M13" i="63"/>
  <c r="N13" i="64" s="1"/>
  <c r="M10" i="63"/>
  <c r="N10" i="64" s="1"/>
  <c r="M28" i="63"/>
  <c r="N28" i="64" s="1"/>
  <c r="M21" i="63"/>
  <c r="N21" i="64" s="1"/>
  <c r="M16" i="63"/>
  <c r="N16" i="64" s="1"/>
  <c r="N8" i="64"/>
  <c r="M20" i="63"/>
  <c r="N20" i="64" s="1"/>
  <c r="M17" i="63"/>
  <c r="N17" i="64" s="1"/>
  <c r="M12" i="63"/>
  <c r="N12" i="64" s="1"/>
  <c r="M14" i="63"/>
  <c r="N14" i="64" s="1"/>
  <c r="M26" i="63"/>
  <c r="N26" i="64" s="1"/>
  <c r="I23" i="18"/>
  <c r="I22" i="18"/>
  <c r="N12" i="61"/>
  <c r="O12" i="62" s="1"/>
  <c r="N19" i="61"/>
  <c r="O20" i="62" s="1"/>
  <c r="N13" i="61"/>
  <c r="O13" i="62" s="1"/>
  <c r="N15" i="61"/>
  <c r="O15" i="62" s="1"/>
  <c r="N23" i="61"/>
  <c r="O25" i="62" s="1"/>
  <c r="N21" i="61"/>
  <c r="O22" i="62" s="1"/>
  <c r="N16" i="61"/>
  <c r="O16" i="62" s="1"/>
  <c r="N17" i="61"/>
  <c r="O17" i="62" s="1"/>
  <c r="O8" i="62"/>
  <c r="O11" i="63"/>
  <c r="P11" i="64" s="1"/>
  <c r="O17" i="63"/>
  <c r="P17" i="64" s="1"/>
  <c r="O27" i="63"/>
  <c r="P27" i="64" s="1"/>
  <c r="P8" i="64"/>
  <c r="O9" i="63"/>
  <c r="P9" i="64" s="1"/>
  <c r="O15" i="63"/>
  <c r="P15" i="64" s="1"/>
  <c r="O25" i="63"/>
  <c r="P25" i="64" s="1"/>
  <c r="O22" i="63"/>
  <c r="P22" i="64" s="1"/>
  <c r="O26" i="63"/>
  <c r="P26" i="64" s="1"/>
  <c r="O21" i="63"/>
  <c r="P21" i="64" s="1"/>
  <c r="O14" i="63"/>
  <c r="P14" i="64" s="1"/>
  <c r="O16" i="63"/>
  <c r="P16" i="64" s="1"/>
  <c r="M17" i="61"/>
  <c r="N17" i="62" s="1"/>
  <c r="M11" i="61"/>
  <c r="N11" i="62" s="1"/>
  <c r="M12" i="61"/>
  <c r="N12" i="62" s="1"/>
  <c r="M15" i="61"/>
  <c r="N15" i="62" s="1"/>
  <c r="M13" i="61"/>
  <c r="N13" i="62" s="1"/>
  <c r="M20" i="61"/>
  <c r="N21" i="62" s="1"/>
  <c r="N8" i="62"/>
  <c r="M10" i="61"/>
  <c r="N10" i="62" s="1"/>
  <c r="H14" i="60"/>
  <c r="K6" i="26"/>
  <c r="H7" i="60"/>
  <c r="H21" i="60"/>
  <c r="K8" i="26"/>
  <c r="H20" i="60"/>
  <c r="H24" i="60"/>
  <c r="H13" i="60"/>
  <c r="S8" i="63"/>
  <c r="H12" i="60"/>
  <c r="H19" i="60"/>
  <c r="H16" i="60"/>
  <c r="H10" i="60"/>
  <c r="H15" i="60"/>
  <c r="O15" i="18"/>
  <c r="O19" i="18" s="1"/>
  <c r="O11" i="61"/>
  <c r="P11" i="62" s="1"/>
  <c r="O17" i="61"/>
  <c r="P17" i="62" s="1"/>
  <c r="O16" i="61"/>
  <c r="P16" i="62" s="1"/>
  <c r="O19" i="61"/>
  <c r="P20" i="62" s="1"/>
  <c r="O10" i="61"/>
  <c r="P10" i="62" s="1"/>
  <c r="H8" i="60"/>
  <c r="P15" i="61"/>
  <c r="Q15" i="62" s="1"/>
  <c r="Q8" i="62"/>
  <c r="P12" i="61"/>
  <c r="Q12" i="62" s="1"/>
  <c r="P19" i="61"/>
  <c r="Q20" i="62" s="1"/>
  <c r="H9" i="60"/>
  <c r="H27" i="60"/>
  <c r="K7" i="26"/>
  <c r="K14" i="61"/>
  <c r="L14" i="62" s="1"/>
  <c r="K16" i="61"/>
  <c r="L16" i="62" s="1"/>
  <c r="N10" i="63"/>
  <c r="O10" i="64" s="1"/>
  <c r="N16" i="63"/>
  <c r="O16" i="64" s="1"/>
  <c r="N26" i="63"/>
  <c r="O26" i="64" s="1"/>
  <c r="N11" i="63"/>
  <c r="O11" i="64" s="1"/>
  <c r="N17" i="63"/>
  <c r="O17" i="64" s="1"/>
  <c r="N27" i="63"/>
  <c r="O27" i="64" s="1"/>
  <c r="K23" i="61"/>
  <c r="L25" i="62" s="1"/>
  <c r="K11" i="61"/>
  <c r="L11" i="62" s="1"/>
  <c r="H14" i="61"/>
  <c r="I14" i="62" s="1"/>
  <c r="H9" i="61"/>
  <c r="I9" i="62" s="1"/>
  <c r="H13" i="61"/>
  <c r="I13" i="62" s="1"/>
  <c r="H11" i="61"/>
  <c r="I11" i="62" s="1"/>
  <c r="H15" i="61"/>
  <c r="I15" i="62" s="1"/>
  <c r="I8" i="62"/>
  <c r="H17" i="61"/>
  <c r="I17" i="62" s="1"/>
  <c r="H21" i="61"/>
  <c r="I22" i="62" s="1"/>
  <c r="H23" i="61"/>
  <c r="I25" i="62" s="1"/>
  <c r="H20" i="61"/>
  <c r="I21" i="62" s="1"/>
  <c r="L14" i="74"/>
  <c r="K14" i="74"/>
  <c r="O17" i="18" l="1"/>
  <c r="P17" i="18" s="1"/>
  <c r="Q17" i="18" s="1"/>
  <c r="S19" i="18"/>
  <c r="U44" i="53"/>
  <c r="J12" i="74"/>
  <c r="K12" i="74"/>
  <c r="I12" i="74"/>
  <c r="L12" i="74"/>
  <c r="S18" i="18"/>
  <c r="D11" i="13"/>
  <c r="H49" i="19"/>
  <c r="H48" i="19"/>
  <c r="G20" i="11"/>
  <c r="G21" i="11"/>
  <c r="G33" i="11"/>
  <c r="G29" i="11"/>
  <c r="G28" i="11"/>
  <c r="G9" i="74"/>
  <c r="G21" i="54"/>
  <c r="G21" i="74" s="1"/>
  <c r="L21" i="74" s="1"/>
  <c r="L9" i="74"/>
  <c r="K9" i="74"/>
  <c r="S34" i="53"/>
  <c r="T34" i="53" s="1"/>
  <c r="U34" i="53" s="1"/>
  <c r="S31" i="53"/>
  <c r="T31" i="53" s="1"/>
  <c r="U31" i="53" s="1"/>
  <c r="I8" i="19"/>
  <c r="E8" i="20" s="1"/>
  <c r="F8" i="20" s="1"/>
  <c r="G8" i="20" s="1"/>
  <c r="H8" i="20" s="1"/>
  <c r="I8" i="20" s="1"/>
  <c r="D17" i="22"/>
  <c r="F25" i="19"/>
  <c r="P22" i="19"/>
  <c r="D37" i="19" s="1"/>
  <c r="E37" i="19" s="1"/>
  <c r="F37" i="19" s="1"/>
  <c r="G37" i="19" s="1"/>
  <c r="H37" i="19" s="1"/>
  <c r="I37" i="19" s="1"/>
  <c r="J37" i="19" s="1"/>
  <c r="K37" i="19" s="1"/>
  <c r="L37" i="19" s="1"/>
  <c r="M37" i="19" s="1"/>
  <c r="N37" i="19" s="1"/>
  <c r="O37" i="19" s="1"/>
  <c r="E33" i="19"/>
  <c r="F33" i="19" s="1"/>
  <c r="J25" i="19"/>
  <c r="G21" i="53"/>
  <c r="H24" i="19"/>
  <c r="H25" i="19" s="1"/>
  <c r="P20" i="19"/>
  <c r="D35" i="19" s="1"/>
  <c r="G8" i="19"/>
  <c r="G9" i="19" s="1"/>
  <c r="I25" i="19"/>
  <c r="I21" i="53"/>
  <c r="G31" i="19"/>
  <c r="F15" i="24"/>
  <c r="U45" i="53" s="1"/>
  <c r="P23" i="19"/>
  <c r="D38" i="19" s="1"/>
  <c r="H21" i="53"/>
  <c r="S18" i="53"/>
  <c r="T18" i="53" s="1"/>
  <c r="U18" i="53" s="1"/>
  <c r="T45" i="53"/>
  <c r="H47" i="19"/>
  <c r="H50" i="19"/>
  <c r="H57" i="19"/>
  <c r="H53" i="19"/>
  <c r="H52" i="19"/>
  <c r="H45" i="19"/>
  <c r="H46" i="19"/>
  <c r="H56" i="19"/>
  <c r="H51" i="19"/>
  <c r="E30" i="19"/>
  <c r="F30" i="19" s="1"/>
  <c r="H55" i="19"/>
  <c r="J8" i="19"/>
  <c r="E29" i="19"/>
  <c r="G19" i="53"/>
  <c r="S26" i="53"/>
  <c r="H10" i="20"/>
  <c r="I10" i="20" s="1"/>
  <c r="G11" i="20"/>
  <c r="H11" i="20" s="1"/>
  <c r="I11" i="20" s="1"/>
  <c r="H22" i="53"/>
  <c r="F32" i="19"/>
  <c r="E39" i="19"/>
  <c r="G29" i="53"/>
  <c r="H24" i="53"/>
  <c r="F34" i="19"/>
  <c r="H23" i="53"/>
  <c r="G25" i="19"/>
  <c r="D13" i="24"/>
  <c r="G15" i="51" s="1"/>
  <c r="F10" i="54"/>
  <c r="F10" i="74" s="1"/>
  <c r="G10" i="54"/>
  <c r="G10" i="74" s="1"/>
  <c r="H16" i="13"/>
  <c r="E13" i="24"/>
  <c r="H15" i="51" s="1"/>
  <c r="G39" i="11"/>
  <c r="F10" i="24"/>
  <c r="I13" i="51" s="1"/>
  <c r="H13" i="51"/>
  <c r="G46" i="11"/>
  <c r="N12" i="12"/>
  <c r="C19" i="12"/>
  <c r="C27" i="12" s="1"/>
  <c r="E18" i="54"/>
  <c r="E18" i="74" s="1"/>
  <c r="G18" i="54"/>
  <c r="G18" i="74" s="1"/>
  <c r="H18" i="54"/>
  <c r="H18" i="74" s="1"/>
  <c r="D6" i="23"/>
  <c r="F6" i="23"/>
  <c r="E6" i="23"/>
  <c r="F18" i="54"/>
  <c r="F18" i="74" s="1"/>
  <c r="L7" i="12"/>
  <c r="J16" i="12"/>
  <c r="J6" i="11"/>
  <c r="J7" i="11" s="1"/>
  <c r="G10" i="11"/>
  <c r="G8" i="11"/>
  <c r="G7" i="11"/>
  <c r="G9" i="11"/>
  <c r="D12" i="24"/>
  <c r="C26" i="12"/>
  <c r="E12" i="74"/>
  <c r="E17" i="54"/>
  <c r="E17" i="74" s="1"/>
  <c r="O8" i="12"/>
  <c r="E17" i="12" s="1"/>
  <c r="D17" i="12"/>
  <c r="D25" i="12" s="1"/>
  <c r="G6" i="11"/>
  <c r="O9" i="12"/>
  <c r="D18" i="12"/>
  <c r="E12" i="24" s="1"/>
  <c r="S32" i="53"/>
  <c r="T32" i="53" s="1"/>
  <c r="U32" i="53" s="1"/>
  <c r="J27" i="62"/>
  <c r="E20" i="31" s="1"/>
  <c r="K27" i="62"/>
  <c r="K30" i="64"/>
  <c r="F21" i="31" s="1"/>
  <c r="N20" i="18"/>
  <c r="N22" i="18" s="1"/>
  <c r="K22" i="18"/>
  <c r="K23" i="18"/>
  <c r="K24" i="18" s="1"/>
  <c r="L22" i="18"/>
  <c r="H14" i="59"/>
  <c r="H10" i="59"/>
  <c r="M20" i="18"/>
  <c r="M23" i="18" s="1"/>
  <c r="H12" i="59"/>
  <c r="H28" i="60"/>
  <c r="L26" i="18"/>
  <c r="L27" i="18" s="1"/>
  <c r="L16" i="22"/>
  <c r="L17" i="22" s="1"/>
  <c r="I19" i="60"/>
  <c r="P15" i="18"/>
  <c r="P19" i="18" s="1"/>
  <c r="H23" i="18"/>
  <c r="H24" i="18" s="1"/>
  <c r="H25" i="18" s="1"/>
  <c r="H26" i="18" s="1"/>
  <c r="H22" i="18"/>
  <c r="P27" i="62"/>
  <c r="K20" i="31" s="1"/>
  <c r="I12" i="60"/>
  <c r="H9" i="59"/>
  <c r="I14" i="60"/>
  <c r="H8" i="59"/>
  <c r="L7" i="26"/>
  <c r="H11" i="59"/>
  <c r="H22" i="59"/>
  <c r="T22" i="62" s="1"/>
  <c r="I13" i="60"/>
  <c r="I16" i="60"/>
  <c r="R30" i="64"/>
  <c r="M21" i="31" s="1"/>
  <c r="J30" i="64"/>
  <c r="C20" i="18"/>
  <c r="O20" i="18"/>
  <c r="O22" i="18" s="1"/>
  <c r="L8" i="26"/>
  <c r="H15" i="59"/>
  <c r="T8" i="63"/>
  <c r="H13" i="59"/>
  <c r="L6" i="26"/>
  <c r="M19" i="45"/>
  <c r="I15" i="59" s="1"/>
  <c r="H6" i="26"/>
  <c r="I8" i="60"/>
  <c r="I26" i="60"/>
  <c r="G15" i="61"/>
  <c r="H15" i="62" s="1"/>
  <c r="G13" i="61"/>
  <c r="H13" i="62" s="1"/>
  <c r="G9" i="61"/>
  <c r="H9" i="62" s="1"/>
  <c r="G20" i="61"/>
  <c r="H21" i="62" s="1"/>
  <c r="G21" i="61"/>
  <c r="H22" i="62" s="1"/>
  <c r="G23" i="61"/>
  <c r="H25" i="62" s="1"/>
  <c r="G12" i="61"/>
  <c r="H12" i="62" s="1"/>
  <c r="G11" i="61"/>
  <c r="H11" i="62" s="1"/>
  <c r="G19" i="61"/>
  <c r="H20" i="62" s="1"/>
  <c r="G10" i="61"/>
  <c r="H10" i="62" s="1"/>
  <c r="G17" i="61"/>
  <c r="H17" i="62" s="1"/>
  <c r="G14" i="61"/>
  <c r="H14" i="62" s="1"/>
  <c r="G16" i="61"/>
  <c r="H16" i="62" s="1"/>
  <c r="M30" i="64"/>
  <c r="H21" i="31" s="1"/>
  <c r="I10" i="60"/>
  <c r="M27" i="62"/>
  <c r="E25" i="18"/>
  <c r="E26" i="18" s="1"/>
  <c r="E27" i="18" s="1"/>
  <c r="E28" i="18" s="1"/>
  <c r="E29" i="18" s="1"/>
  <c r="E26" i="22" s="1"/>
  <c r="E16" i="22"/>
  <c r="E17" i="22" s="1"/>
  <c r="J18" i="45"/>
  <c r="N20" i="45" s="1"/>
  <c r="I27" i="60"/>
  <c r="I9" i="60"/>
  <c r="I11" i="60"/>
  <c r="Q16" i="61"/>
  <c r="R16" i="62" s="1"/>
  <c r="Q10" i="61"/>
  <c r="R10" i="62" s="1"/>
  <c r="Q21" i="61"/>
  <c r="R22" i="62" s="1"/>
  <c r="Q20" i="61"/>
  <c r="R21" i="62" s="1"/>
  <c r="Q12" i="61"/>
  <c r="R12" i="62" s="1"/>
  <c r="Q23" i="61"/>
  <c r="R25" i="62" s="1"/>
  <c r="Q11" i="61"/>
  <c r="R11" i="62" s="1"/>
  <c r="R8" i="62"/>
  <c r="Q19" i="61"/>
  <c r="R20" i="62" s="1"/>
  <c r="Q13" i="61"/>
  <c r="R13" i="62" s="1"/>
  <c r="Q9" i="61"/>
  <c r="R9" i="62" s="1"/>
  <c r="Q17" i="61"/>
  <c r="R17" i="62" s="1"/>
  <c r="Q14" i="61"/>
  <c r="R14" i="62" s="1"/>
  <c r="Q15" i="61"/>
  <c r="R15" i="62" s="1"/>
  <c r="S27" i="62"/>
  <c r="S8" i="61"/>
  <c r="S14" i="61" s="1"/>
  <c r="H8" i="26"/>
  <c r="H17" i="59"/>
  <c r="T17" i="62" s="1"/>
  <c r="I25" i="60"/>
  <c r="I15" i="60"/>
  <c r="I24" i="60"/>
  <c r="D25" i="18"/>
  <c r="D26" i="18" s="1"/>
  <c r="D27" i="18" s="1"/>
  <c r="G12" i="63"/>
  <c r="H12" i="64" s="1"/>
  <c r="G20" i="63"/>
  <c r="H20" i="64" s="1"/>
  <c r="G28" i="63"/>
  <c r="H28" i="64" s="1"/>
  <c r="G27" i="63"/>
  <c r="H27" i="64" s="1"/>
  <c r="G26" i="63"/>
  <c r="H26" i="64" s="1"/>
  <c r="G17" i="63"/>
  <c r="H17" i="64" s="1"/>
  <c r="G16" i="63"/>
  <c r="H16" i="64" s="1"/>
  <c r="G11" i="63"/>
  <c r="H11" i="64" s="1"/>
  <c r="G10" i="63"/>
  <c r="H10" i="64" s="1"/>
  <c r="G25" i="63"/>
  <c r="H25" i="64" s="1"/>
  <c r="G9" i="63"/>
  <c r="H9" i="64" s="1"/>
  <c r="G14" i="63"/>
  <c r="H14" i="64" s="1"/>
  <c r="G13" i="63"/>
  <c r="H13" i="64" s="1"/>
  <c r="G15" i="63"/>
  <c r="H15" i="64" s="1"/>
  <c r="G22" i="63"/>
  <c r="H22" i="64" s="1"/>
  <c r="G21" i="63"/>
  <c r="H21" i="64" s="1"/>
  <c r="H8" i="64"/>
  <c r="C23" i="18"/>
  <c r="C24" i="18" s="1"/>
  <c r="C25" i="18" s="1"/>
  <c r="C26" i="18" s="1"/>
  <c r="C27" i="18" s="1"/>
  <c r="C28" i="18" s="1"/>
  <c r="C29" i="18" s="1"/>
  <c r="C26" i="22" s="1"/>
  <c r="C22" i="18"/>
  <c r="K13" i="63"/>
  <c r="L13" i="64" s="1"/>
  <c r="K11" i="63"/>
  <c r="L11" i="64" s="1"/>
  <c r="K20" i="63"/>
  <c r="L20" i="64" s="1"/>
  <c r="K16" i="63"/>
  <c r="L16" i="64" s="1"/>
  <c r="K26" i="63"/>
  <c r="L26" i="64" s="1"/>
  <c r="K21" i="63"/>
  <c r="L21" i="64" s="1"/>
  <c r="K12" i="63"/>
  <c r="L12" i="64" s="1"/>
  <c r="K14" i="63"/>
  <c r="L14" i="64" s="1"/>
  <c r="K15" i="63"/>
  <c r="L15" i="64" s="1"/>
  <c r="K10" i="63"/>
  <c r="L10" i="64" s="1"/>
  <c r="K17" i="63"/>
  <c r="L17" i="64" s="1"/>
  <c r="K25" i="63"/>
  <c r="L25" i="64" s="1"/>
  <c r="K27" i="63"/>
  <c r="L27" i="64" s="1"/>
  <c r="K22" i="63"/>
  <c r="L22" i="64" s="1"/>
  <c r="K28" i="63"/>
  <c r="L28" i="64" s="1"/>
  <c r="L8" i="64"/>
  <c r="K9" i="63"/>
  <c r="L9" i="64" s="1"/>
  <c r="H22" i="60"/>
  <c r="G20" i="18"/>
  <c r="G22" i="18" s="1"/>
  <c r="H17" i="60"/>
  <c r="H7" i="26"/>
  <c r="H16" i="59"/>
  <c r="H25" i="59"/>
  <c r="H26" i="59" s="1"/>
  <c r="I21" i="60"/>
  <c r="I20" i="60"/>
  <c r="J23" i="18"/>
  <c r="J24" i="18" s="1"/>
  <c r="J16" i="22" s="1"/>
  <c r="J17" i="22" s="1"/>
  <c r="J22" i="18"/>
  <c r="R11" i="63"/>
  <c r="S11" i="64" s="1"/>
  <c r="R16" i="63"/>
  <c r="S16" i="64" s="1"/>
  <c r="R10" i="63"/>
  <c r="S10" i="64" s="1"/>
  <c r="R15" i="63"/>
  <c r="S15" i="64" s="1"/>
  <c r="R12" i="63"/>
  <c r="S12" i="64" s="1"/>
  <c r="S8" i="64"/>
  <c r="R17" i="63"/>
  <c r="S17" i="64" s="1"/>
  <c r="R14" i="63"/>
  <c r="S14" i="64" s="1"/>
  <c r="R9" i="63"/>
  <c r="S9" i="64" s="1"/>
  <c r="R22" i="63"/>
  <c r="S22" i="64" s="1"/>
  <c r="R25" i="63"/>
  <c r="S25" i="64" s="1"/>
  <c r="R20" i="63"/>
  <c r="S20" i="64" s="1"/>
  <c r="R21" i="63"/>
  <c r="S21" i="64" s="1"/>
  <c r="R28" i="63"/>
  <c r="S28" i="64" s="1"/>
  <c r="R26" i="63"/>
  <c r="S26" i="64" s="1"/>
  <c r="R27" i="63"/>
  <c r="S27" i="64" s="1"/>
  <c r="T27" i="64" s="1"/>
  <c r="R13" i="63"/>
  <c r="S13" i="64" s="1"/>
  <c r="I30" i="64"/>
  <c r="D21" i="31" s="1"/>
  <c r="P30" i="64"/>
  <c r="K21" i="31" s="1"/>
  <c r="O27" i="62"/>
  <c r="F22" i="18"/>
  <c r="F23" i="18"/>
  <c r="I27" i="62"/>
  <c r="L27" i="62"/>
  <c r="Q27" i="62"/>
  <c r="Q30" i="64"/>
  <c r="L21" i="31" s="1"/>
  <c r="N27" i="62"/>
  <c r="O30" i="64"/>
  <c r="J21" i="31" s="1"/>
  <c r="S26" i="63"/>
  <c r="S12" i="63"/>
  <c r="S9" i="63"/>
  <c r="S14" i="63"/>
  <c r="S21" i="63"/>
  <c r="S10" i="63"/>
  <c r="S17" i="63"/>
  <c r="S25" i="63"/>
  <c r="S13" i="63"/>
  <c r="S16" i="63"/>
  <c r="S11" i="63"/>
  <c r="S20" i="63"/>
  <c r="S15" i="63"/>
  <c r="S27" i="63"/>
  <c r="S22" i="63"/>
  <c r="S28" i="63"/>
  <c r="I24" i="18"/>
  <c r="N30" i="64"/>
  <c r="I21" i="31" s="1"/>
  <c r="M22" i="18" l="1"/>
  <c r="J37" i="53"/>
  <c r="G23" i="11"/>
  <c r="K21" i="74"/>
  <c r="J21" i="74"/>
  <c r="I21" i="74"/>
  <c r="I9" i="74"/>
  <c r="J9" i="74"/>
  <c r="I9" i="19"/>
  <c r="S27" i="53"/>
  <c r="T27" i="53" s="1"/>
  <c r="U27" i="53" s="1"/>
  <c r="H20" i="53"/>
  <c r="D40" i="19"/>
  <c r="E6" i="20"/>
  <c r="F6" i="20" s="1"/>
  <c r="G6" i="20" s="1"/>
  <c r="H6" i="20" s="1"/>
  <c r="I6" i="20" s="1"/>
  <c r="P25" i="19"/>
  <c r="G30" i="53"/>
  <c r="P24" i="19"/>
  <c r="H8" i="19"/>
  <c r="P8" i="19" s="1"/>
  <c r="E35" i="19"/>
  <c r="F35" i="19" s="1"/>
  <c r="G35" i="19" s="1"/>
  <c r="H35" i="19" s="1"/>
  <c r="I35" i="19" s="1"/>
  <c r="J35" i="19" s="1"/>
  <c r="L25" i="53"/>
  <c r="I9" i="51"/>
  <c r="E38" i="19"/>
  <c r="F38" i="19" s="1"/>
  <c r="G38" i="19" s="1"/>
  <c r="H38" i="19" s="1"/>
  <c r="I38" i="19" s="1"/>
  <c r="J38" i="19" s="1"/>
  <c r="K38" i="19" s="1"/>
  <c r="L38" i="19" s="1"/>
  <c r="M38" i="19" s="1"/>
  <c r="N38" i="19" s="1"/>
  <c r="O38" i="19" s="1"/>
  <c r="H58" i="19"/>
  <c r="T26" i="53"/>
  <c r="U26" i="53" s="1"/>
  <c r="E12" i="20"/>
  <c r="J9" i="19"/>
  <c r="J21" i="53"/>
  <c r="H31" i="19"/>
  <c r="G32" i="19"/>
  <c r="I22" i="53"/>
  <c r="F29" i="19"/>
  <c r="H19" i="53"/>
  <c r="G30" i="19"/>
  <c r="I20" i="53"/>
  <c r="G34" i="19"/>
  <c r="I24" i="53"/>
  <c r="I23" i="53"/>
  <c r="G33" i="19"/>
  <c r="F39" i="19"/>
  <c r="H29" i="53"/>
  <c r="I16" i="13"/>
  <c r="J16" i="13" s="1"/>
  <c r="K16" i="13" s="1"/>
  <c r="L16" i="13" s="1"/>
  <c r="F13" i="24"/>
  <c r="I15" i="51" s="1"/>
  <c r="H10" i="54"/>
  <c r="H10" i="74" s="1"/>
  <c r="J10" i="74"/>
  <c r="I10" i="74"/>
  <c r="E25" i="12"/>
  <c r="K18" i="74"/>
  <c r="L18" i="74"/>
  <c r="J18" i="74"/>
  <c r="I18" i="74"/>
  <c r="O12" i="12"/>
  <c r="D19" i="12"/>
  <c r="D27" i="12" s="1"/>
  <c r="P9" i="12"/>
  <c r="Q9" i="12" s="1"/>
  <c r="R9" i="12" s="1"/>
  <c r="E18" i="12"/>
  <c r="F12" i="24" s="1"/>
  <c r="G14" i="11"/>
  <c r="C11" i="34"/>
  <c r="C6" i="35" s="1"/>
  <c r="J15" i="11"/>
  <c r="F15" i="53"/>
  <c r="F17" i="53" s="1"/>
  <c r="F54" i="53" s="1"/>
  <c r="D26" i="12"/>
  <c r="L16" i="12"/>
  <c r="M7" i="12"/>
  <c r="T16" i="63"/>
  <c r="U16" i="64" s="1"/>
  <c r="U8" i="64"/>
  <c r="I37" i="53"/>
  <c r="F20" i="31"/>
  <c r="T20" i="64"/>
  <c r="C18" i="22"/>
  <c r="C19" i="22" s="1"/>
  <c r="C20" i="22" s="1"/>
  <c r="C25" i="22" s="1"/>
  <c r="T9" i="62"/>
  <c r="E18" i="22"/>
  <c r="E19" i="22" s="1"/>
  <c r="E20" i="22" s="1"/>
  <c r="E25" i="22" s="1"/>
  <c r="T17" i="63"/>
  <c r="U17" i="64" s="1"/>
  <c r="H16" i="22"/>
  <c r="H17" i="22" s="1"/>
  <c r="S20" i="18"/>
  <c r="T19" i="18" s="1"/>
  <c r="T21" i="62"/>
  <c r="E21" i="31"/>
  <c r="T28" i="63"/>
  <c r="N23" i="18"/>
  <c r="N24" i="18" s="1"/>
  <c r="N25" i="18" s="1"/>
  <c r="N26" i="18" s="1"/>
  <c r="N27" i="18" s="1"/>
  <c r="T15" i="64"/>
  <c r="T20" i="62"/>
  <c r="T23" i="62" s="1"/>
  <c r="J25" i="18"/>
  <c r="J26" i="18" s="1"/>
  <c r="J27" i="18" s="1"/>
  <c r="T28" i="64"/>
  <c r="U28" i="64" s="1"/>
  <c r="V28" i="64" s="1"/>
  <c r="T16" i="64"/>
  <c r="T14" i="63"/>
  <c r="U14" i="64" s="1"/>
  <c r="I12" i="59"/>
  <c r="P14" i="18"/>
  <c r="P18" i="18" s="1"/>
  <c r="P20" i="18" s="1"/>
  <c r="P23" i="18" s="1"/>
  <c r="I7" i="26"/>
  <c r="T13" i="63"/>
  <c r="U13" i="64" s="1"/>
  <c r="T26" i="63"/>
  <c r="U26" i="64" s="1"/>
  <c r="S15" i="61"/>
  <c r="T16" i="62"/>
  <c r="T11" i="62"/>
  <c r="T13" i="62"/>
  <c r="T10" i="63"/>
  <c r="U10" i="64" s="1"/>
  <c r="S21" i="61"/>
  <c r="T12" i="64"/>
  <c r="T21" i="64"/>
  <c r="T14" i="62"/>
  <c r="T12" i="62"/>
  <c r="I22" i="59"/>
  <c r="U22" i="62" s="1"/>
  <c r="I11" i="59"/>
  <c r="H18" i="59"/>
  <c r="I22" i="60"/>
  <c r="I16" i="59"/>
  <c r="I8" i="26"/>
  <c r="I17" i="59"/>
  <c r="T12" i="63"/>
  <c r="U12" i="64" s="1"/>
  <c r="T20" i="63"/>
  <c r="U20" i="64" s="1"/>
  <c r="T15" i="63"/>
  <c r="U15" i="64" s="1"/>
  <c r="T9" i="63"/>
  <c r="U9" i="64" s="1"/>
  <c r="T22" i="63"/>
  <c r="U22" i="64" s="1"/>
  <c r="I17" i="60"/>
  <c r="H23" i="59"/>
  <c r="T25" i="62"/>
  <c r="T26" i="62" s="1"/>
  <c r="T11" i="63"/>
  <c r="U11" i="64" s="1"/>
  <c r="T21" i="63"/>
  <c r="U21" i="64" s="1"/>
  <c r="T25" i="63"/>
  <c r="U25" i="64" s="1"/>
  <c r="T27" i="63"/>
  <c r="U27" i="64" s="1"/>
  <c r="I28" i="60"/>
  <c r="T9" i="64"/>
  <c r="T25" i="64"/>
  <c r="T15" i="62"/>
  <c r="I25" i="59"/>
  <c r="I26" i="59" s="1"/>
  <c r="I10" i="59"/>
  <c r="I9" i="59"/>
  <c r="I8" i="59"/>
  <c r="I6" i="26"/>
  <c r="I13" i="59"/>
  <c r="O23" i="18"/>
  <c r="O24" i="18" s="1"/>
  <c r="G23" i="18"/>
  <c r="G24" i="18" s="1"/>
  <c r="T10" i="64"/>
  <c r="T10" i="62"/>
  <c r="T26" i="64"/>
  <c r="T11" i="64"/>
  <c r="T8" i="61"/>
  <c r="I14" i="59"/>
  <c r="H29" i="60"/>
  <c r="T13" i="64"/>
  <c r="T14" i="64"/>
  <c r="T17" i="64"/>
  <c r="H27" i="62"/>
  <c r="C20" i="31" s="1"/>
  <c r="M24" i="18"/>
  <c r="S9" i="61"/>
  <c r="S30" i="64"/>
  <c r="N21" i="31" s="1"/>
  <c r="H30" i="64"/>
  <c r="N20" i="31"/>
  <c r="S23" i="61"/>
  <c r="S13" i="61"/>
  <c r="L30" i="64"/>
  <c r="G21" i="31" s="1"/>
  <c r="R27" i="62"/>
  <c r="M20" i="45"/>
  <c r="J11" i="59" s="1"/>
  <c r="S11" i="61"/>
  <c r="S12" i="61"/>
  <c r="T22" i="64"/>
  <c r="L37" i="53"/>
  <c r="H20" i="31"/>
  <c r="O37" i="53"/>
  <c r="T8" i="62"/>
  <c r="S10" i="61"/>
  <c r="S17" i="61"/>
  <c r="T8" i="64"/>
  <c r="S16" i="61"/>
  <c r="S19" i="61"/>
  <c r="S20" i="61"/>
  <c r="L20" i="31"/>
  <c r="P37" i="53"/>
  <c r="D28" i="18"/>
  <c r="D29" i="18" s="1"/>
  <c r="D26" i="22" s="1"/>
  <c r="D18" i="22"/>
  <c r="D19" i="22" s="1"/>
  <c r="D20" i="22" s="1"/>
  <c r="G20" i="31"/>
  <c r="L28" i="18"/>
  <c r="L29" i="18" s="1"/>
  <c r="L26" i="22" s="1"/>
  <c r="L18" i="22"/>
  <c r="L19" i="22" s="1"/>
  <c r="L20" i="22" s="1"/>
  <c r="I20" i="31"/>
  <c r="M37" i="53"/>
  <c r="K25" i="18"/>
  <c r="K26" i="18" s="1"/>
  <c r="K16" i="22"/>
  <c r="K17" i="22" s="1"/>
  <c r="J13" i="60"/>
  <c r="J9" i="60"/>
  <c r="J11" i="60"/>
  <c r="J25" i="60"/>
  <c r="J7" i="60"/>
  <c r="J19" i="60"/>
  <c r="J16" i="60"/>
  <c r="J12" i="60"/>
  <c r="J10" i="60"/>
  <c r="Q15" i="18"/>
  <c r="Q19" i="18" s="1"/>
  <c r="J26" i="60"/>
  <c r="J14" i="60"/>
  <c r="J15" i="60"/>
  <c r="M7" i="26"/>
  <c r="J21" i="60"/>
  <c r="J24" i="60"/>
  <c r="M6" i="26"/>
  <c r="J27" i="60"/>
  <c r="M8" i="26"/>
  <c r="J20" i="60"/>
  <c r="J8" i="60"/>
  <c r="U8" i="63"/>
  <c r="V8" i="64" s="1"/>
  <c r="J20" i="31"/>
  <c r="N37" i="53"/>
  <c r="F24" i="18"/>
  <c r="I25" i="18"/>
  <c r="I26" i="18" s="1"/>
  <c r="I16" i="22"/>
  <c r="I17" i="22" s="1"/>
  <c r="H37" i="53"/>
  <c r="D20" i="31"/>
  <c r="H27" i="18"/>
  <c r="N16" i="22" l="1"/>
  <c r="N17" i="22" s="1"/>
  <c r="U29" i="64"/>
  <c r="E22" i="31"/>
  <c r="E40" i="19"/>
  <c r="S28" i="53"/>
  <c r="T28" i="53" s="1"/>
  <c r="U28" i="53" s="1"/>
  <c r="H20" i="54" s="1"/>
  <c r="H20" i="74" s="1"/>
  <c r="Q8" i="19"/>
  <c r="P9" i="19"/>
  <c r="Q9" i="19" s="1"/>
  <c r="E7" i="20"/>
  <c r="H9" i="19"/>
  <c r="K35" i="19"/>
  <c r="L35" i="19" s="1"/>
  <c r="M35" i="19" s="1"/>
  <c r="N35" i="19" s="1"/>
  <c r="O35" i="19" s="1"/>
  <c r="G20" i="54"/>
  <c r="G20" i="74" s="1"/>
  <c r="K21" i="53"/>
  <c r="I31" i="19"/>
  <c r="F12" i="20"/>
  <c r="E17" i="20"/>
  <c r="H30" i="53"/>
  <c r="G29" i="19"/>
  <c r="I19" i="53"/>
  <c r="J22" i="53"/>
  <c r="H32" i="19"/>
  <c r="H30" i="19"/>
  <c r="J20" i="53"/>
  <c r="I29" i="53"/>
  <c r="G39" i="19"/>
  <c r="H34" i="19"/>
  <c r="J24" i="53"/>
  <c r="J23" i="53"/>
  <c r="H33" i="19"/>
  <c r="F40" i="19"/>
  <c r="T18" i="62"/>
  <c r="L10" i="74"/>
  <c r="K10" i="74"/>
  <c r="E19" i="12"/>
  <c r="E27" i="12" s="1"/>
  <c r="P12" i="12"/>
  <c r="Q12" i="12" s="1"/>
  <c r="R12" i="12" s="1"/>
  <c r="S12" i="12" s="1"/>
  <c r="N7" i="12"/>
  <c r="M16" i="12"/>
  <c r="C16" i="12"/>
  <c r="E26" i="12"/>
  <c r="T19" i="61"/>
  <c r="U20" i="62" s="1"/>
  <c r="U8" i="62"/>
  <c r="T18" i="18"/>
  <c r="C22" i="31"/>
  <c r="J15" i="59"/>
  <c r="I23" i="59"/>
  <c r="J22" i="59"/>
  <c r="J23" i="59" s="1"/>
  <c r="Q14" i="18"/>
  <c r="Q18" i="18" s="1"/>
  <c r="U8" i="61"/>
  <c r="J12" i="59"/>
  <c r="T29" i="64"/>
  <c r="J8" i="26"/>
  <c r="H27" i="59"/>
  <c r="P22" i="18"/>
  <c r="I29" i="60"/>
  <c r="I18" i="59"/>
  <c r="J25" i="59"/>
  <c r="J26" i="59" s="1"/>
  <c r="J7" i="26"/>
  <c r="T18" i="64"/>
  <c r="J10" i="59"/>
  <c r="J14" i="59"/>
  <c r="J8" i="59"/>
  <c r="T16" i="61"/>
  <c r="U16" i="62" s="1"/>
  <c r="T14" i="61"/>
  <c r="U14" i="62" s="1"/>
  <c r="T17" i="61"/>
  <c r="U17" i="62" s="1"/>
  <c r="T13" i="61"/>
  <c r="U13" i="62" s="1"/>
  <c r="T9" i="61"/>
  <c r="U9" i="62" s="1"/>
  <c r="T12" i="61"/>
  <c r="U12" i="62" s="1"/>
  <c r="T15" i="61"/>
  <c r="U15" i="62" s="1"/>
  <c r="T23" i="61"/>
  <c r="T21" i="61"/>
  <c r="T10" i="61"/>
  <c r="U10" i="62" s="1"/>
  <c r="T11" i="61"/>
  <c r="U11" i="62" s="1"/>
  <c r="U25" i="62"/>
  <c r="U26" i="62" s="1"/>
  <c r="T20" i="61"/>
  <c r="U21" i="62" s="1"/>
  <c r="K37" i="53"/>
  <c r="R37" i="53"/>
  <c r="J16" i="59"/>
  <c r="J6" i="26"/>
  <c r="Q37" i="53"/>
  <c r="M20" i="31"/>
  <c r="O20" i="31" s="1"/>
  <c r="C21" i="31"/>
  <c r="O21" i="31" s="1"/>
  <c r="G37" i="53"/>
  <c r="T23" i="64"/>
  <c r="M16" i="22"/>
  <c r="M17" i="22" s="1"/>
  <c r="M25" i="18"/>
  <c r="M26" i="18" s="1"/>
  <c r="M27" i="18" s="1"/>
  <c r="J13" i="59"/>
  <c r="J9" i="59"/>
  <c r="J17" i="59"/>
  <c r="Q20" i="18"/>
  <c r="Q22" i="18" s="1"/>
  <c r="J22" i="60"/>
  <c r="J17" i="60"/>
  <c r="J28" i="60"/>
  <c r="J18" i="22"/>
  <c r="J19" i="22" s="1"/>
  <c r="J20" i="22" s="1"/>
  <c r="J28" i="18"/>
  <c r="J29" i="18" s="1"/>
  <c r="J26" i="22" s="1"/>
  <c r="G38" i="53"/>
  <c r="K27" i="18"/>
  <c r="L25" i="22"/>
  <c r="L22" i="31"/>
  <c r="F16" i="22"/>
  <c r="F17" i="22" s="1"/>
  <c r="F25" i="18"/>
  <c r="F26" i="18" s="1"/>
  <c r="D25" i="22"/>
  <c r="D22" i="31"/>
  <c r="I27" i="18"/>
  <c r="I38" i="53"/>
  <c r="G25" i="18"/>
  <c r="G26" i="18" s="1"/>
  <c r="G16" i="22"/>
  <c r="G17" i="22" s="1"/>
  <c r="O25" i="18"/>
  <c r="O26" i="18" s="1"/>
  <c r="O16" i="22"/>
  <c r="O17" i="22" s="1"/>
  <c r="H28" i="18"/>
  <c r="H29" i="18" s="1"/>
  <c r="H26" i="22" s="1"/>
  <c r="H18" i="22"/>
  <c r="H19" i="22" s="1"/>
  <c r="H20" i="22" s="1"/>
  <c r="U18" i="64"/>
  <c r="N18" i="22"/>
  <c r="N19" i="22" s="1"/>
  <c r="N20" i="22" s="1"/>
  <c r="N28" i="18"/>
  <c r="N29" i="18" s="1"/>
  <c r="N26" i="22" s="1"/>
  <c r="V22" i="62"/>
  <c r="U23" i="64"/>
  <c r="P24" i="18"/>
  <c r="U14" i="63"/>
  <c r="V14" i="64" s="1"/>
  <c r="U27" i="63"/>
  <c r="V27" i="64" s="1"/>
  <c r="U12" i="63"/>
  <c r="V12" i="64" s="1"/>
  <c r="U17" i="63"/>
  <c r="V17" i="64" s="1"/>
  <c r="U22" i="63"/>
  <c r="V22" i="64" s="1"/>
  <c r="U26" i="63"/>
  <c r="V26" i="64" s="1"/>
  <c r="U10" i="63"/>
  <c r="V10" i="64" s="1"/>
  <c r="U11" i="63"/>
  <c r="V11" i="64" s="1"/>
  <c r="U15" i="63"/>
  <c r="V15" i="64" s="1"/>
  <c r="U13" i="63"/>
  <c r="V13" i="64" s="1"/>
  <c r="U28" i="63"/>
  <c r="U21" i="63"/>
  <c r="V21" i="64" s="1"/>
  <c r="U16" i="63"/>
  <c r="V16" i="64" s="1"/>
  <c r="U20" i="63"/>
  <c r="V20" i="64" s="1"/>
  <c r="U9" i="63"/>
  <c r="V9" i="64" s="1"/>
  <c r="U25" i="63"/>
  <c r="V25" i="64" s="1"/>
  <c r="V23" i="64" l="1"/>
  <c r="U23" i="62"/>
  <c r="F20" i="54"/>
  <c r="F20" i="74" s="1"/>
  <c r="I20" i="74" s="1"/>
  <c r="K20" i="74"/>
  <c r="L20" i="74"/>
  <c r="F7" i="20"/>
  <c r="G7" i="20" s="1"/>
  <c r="H7" i="20" s="1"/>
  <c r="I7" i="20" s="1"/>
  <c r="E9" i="20"/>
  <c r="F9" i="20" s="1"/>
  <c r="G9" i="20" s="1"/>
  <c r="R25" i="53"/>
  <c r="S25" i="53" s="1"/>
  <c r="T25" i="53" s="1"/>
  <c r="U25" i="53" s="1"/>
  <c r="F17" i="20"/>
  <c r="C24" i="22" s="1"/>
  <c r="G12" i="20"/>
  <c r="L21" i="53"/>
  <c r="J31" i="19"/>
  <c r="I32" i="19"/>
  <c r="K22" i="53"/>
  <c r="J19" i="53"/>
  <c r="H29" i="19"/>
  <c r="G40" i="19"/>
  <c r="I33" i="19"/>
  <c r="K23" i="53"/>
  <c r="K24" i="53"/>
  <c r="I34" i="19"/>
  <c r="I30" i="53"/>
  <c r="I30" i="19"/>
  <c r="K20" i="53"/>
  <c r="H39" i="19"/>
  <c r="J29" i="53"/>
  <c r="U18" i="62"/>
  <c r="U27" i="62" s="1"/>
  <c r="E9" i="23" s="1"/>
  <c r="T27" i="62"/>
  <c r="G17" i="51" s="1"/>
  <c r="N16" i="12"/>
  <c r="D16" i="12"/>
  <c r="D20" i="12" s="1"/>
  <c r="O7" i="12"/>
  <c r="C24" i="12"/>
  <c r="C20" i="12"/>
  <c r="V29" i="64"/>
  <c r="V18" i="64"/>
  <c r="V30" i="64" s="1"/>
  <c r="F10" i="23" s="1"/>
  <c r="U23" i="61"/>
  <c r="V8" i="62"/>
  <c r="T30" i="64"/>
  <c r="G18" i="51" s="1"/>
  <c r="I27" i="59"/>
  <c r="U20" i="61"/>
  <c r="V21" i="62" s="1"/>
  <c r="U9" i="61"/>
  <c r="V9" i="62" s="1"/>
  <c r="U15" i="61"/>
  <c r="V15" i="62" s="1"/>
  <c r="U13" i="61"/>
  <c r="V13" i="62" s="1"/>
  <c r="U16" i="61"/>
  <c r="V16" i="62" s="1"/>
  <c r="U11" i="61"/>
  <c r="V11" i="62" s="1"/>
  <c r="U12" i="61"/>
  <c r="V12" i="62" s="1"/>
  <c r="U14" i="61"/>
  <c r="V14" i="62" s="1"/>
  <c r="U10" i="61"/>
  <c r="V10" i="62" s="1"/>
  <c r="U19" i="61"/>
  <c r="V20" i="62" s="1"/>
  <c r="U17" i="61"/>
  <c r="V17" i="62" s="1"/>
  <c r="U21" i="61"/>
  <c r="J18" i="59"/>
  <c r="J27" i="59" s="1"/>
  <c r="V25" i="62"/>
  <c r="V26" i="62" s="1"/>
  <c r="S37" i="53"/>
  <c r="U30" i="64"/>
  <c r="H18" i="51" s="1"/>
  <c r="M28" i="18"/>
  <c r="M29" i="18" s="1"/>
  <c r="M26" i="22" s="1"/>
  <c r="M18" i="22"/>
  <c r="M19" i="22" s="1"/>
  <c r="M20" i="22" s="1"/>
  <c r="J29" i="60"/>
  <c r="Q23" i="18"/>
  <c r="Q24" i="18" s="1"/>
  <c r="K18" i="22"/>
  <c r="K19" i="22" s="1"/>
  <c r="K20" i="22" s="1"/>
  <c r="K28" i="18"/>
  <c r="K29" i="18" s="1"/>
  <c r="K26" i="22" s="1"/>
  <c r="H22" i="31"/>
  <c r="H25" i="22"/>
  <c r="F27" i="18"/>
  <c r="D10" i="23"/>
  <c r="N22" i="31"/>
  <c r="N25" i="22"/>
  <c r="P38" i="53"/>
  <c r="J22" i="31"/>
  <c r="J25" i="22"/>
  <c r="O27" i="18"/>
  <c r="G27" i="18"/>
  <c r="P16" i="22"/>
  <c r="P17" i="22" s="1"/>
  <c r="P25" i="18"/>
  <c r="P26" i="18" s="1"/>
  <c r="I28" i="18"/>
  <c r="I29" i="18" s="1"/>
  <c r="I26" i="22" s="1"/>
  <c r="I18" i="22"/>
  <c r="I19" i="22" s="1"/>
  <c r="I20" i="22" s="1"/>
  <c r="H38" i="53"/>
  <c r="D9" i="23" l="1"/>
  <c r="J20" i="74"/>
  <c r="C7" i="24"/>
  <c r="D7" i="24" s="1"/>
  <c r="F18" i="20"/>
  <c r="J30" i="53"/>
  <c r="E18" i="20"/>
  <c r="M21" i="53"/>
  <c r="K31" i="19"/>
  <c r="H12" i="20"/>
  <c r="I12" i="20" s="1"/>
  <c r="G17" i="20"/>
  <c r="D24" i="22"/>
  <c r="C27" i="22"/>
  <c r="K19" i="53"/>
  <c r="I29" i="19"/>
  <c r="H40" i="19"/>
  <c r="J32" i="19"/>
  <c r="L22" i="53"/>
  <c r="H9" i="20"/>
  <c r="I39" i="19"/>
  <c r="K29" i="53"/>
  <c r="L23" i="53"/>
  <c r="J33" i="19"/>
  <c r="J30" i="19"/>
  <c r="L20" i="53"/>
  <c r="L24" i="53"/>
  <c r="J34" i="19"/>
  <c r="V23" i="62"/>
  <c r="V18" i="62"/>
  <c r="G15" i="54"/>
  <c r="H14" i="51"/>
  <c r="E13" i="23"/>
  <c r="E15" i="23" s="1"/>
  <c r="C28" i="12"/>
  <c r="D24" i="12"/>
  <c r="E16" i="12"/>
  <c r="E20" i="12" s="1"/>
  <c r="O16" i="12"/>
  <c r="P7" i="12"/>
  <c r="F15" i="54"/>
  <c r="D13" i="23"/>
  <c r="D15" i="23" s="1"/>
  <c r="G14" i="51"/>
  <c r="E10" i="23"/>
  <c r="H17" i="51"/>
  <c r="I18" i="51"/>
  <c r="T37" i="53"/>
  <c r="M25" i="22"/>
  <c r="M22" i="31"/>
  <c r="O18" i="22"/>
  <c r="O19" i="22" s="1"/>
  <c r="O20" i="22" s="1"/>
  <c r="D8" i="23" s="1"/>
  <c r="O28" i="18"/>
  <c r="O29" i="18" s="1"/>
  <c r="N38" i="53"/>
  <c r="L38" i="53"/>
  <c r="P27" i="18"/>
  <c r="I25" i="22"/>
  <c r="I22" i="31"/>
  <c r="G18" i="22"/>
  <c r="G19" i="22" s="1"/>
  <c r="G20" i="22" s="1"/>
  <c r="G28" i="18"/>
  <c r="G29" i="18" s="1"/>
  <c r="G26" i="22" s="1"/>
  <c r="R38" i="53"/>
  <c r="K25" i="22"/>
  <c r="K22" i="31"/>
  <c r="F18" i="22"/>
  <c r="F19" i="22" s="1"/>
  <c r="F20" i="22" s="1"/>
  <c r="F28" i="18"/>
  <c r="F29" i="18" s="1"/>
  <c r="F26" i="22" s="1"/>
  <c r="Q16" i="22"/>
  <c r="Q17" i="22" s="1"/>
  <c r="Q25" i="18"/>
  <c r="Q26" i="18" s="1"/>
  <c r="C16" i="24" l="1"/>
  <c r="D7" i="23"/>
  <c r="H17" i="20"/>
  <c r="H18" i="20" s="1"/>
  <c r="H10" i="51" s="1"/>
  <c r="H16" i="51" s="1"/>
  <c r="L31" i="19"/>
  <c r="N21" i="53"/>
  <c r="G18" i="20"/>
  <c r="G10" i="51" s="1"/>
  <c r="G16" i="51" s="1"/>
  <c r="I19" i="31" s="1"/>
  <c r="K30" i="53"/>
  <c r="E24" i="22"/>
  <c r="D27" i="22"/>
  <c r="K32" i="19"/>
  <c r="M22" i="53"/>
  <c r="J29" i="19"/>
  <c r="L19" i="53"/>
  <c r="L29" i="53"/>
  <c r="J39" i="19"/>
  <c r="E7" i="24"/>
  <c r="D16" i="24"/>
  <c r="C8" i="25" s="1"/>
  <c r="I40" i="19"/>
  <c r="K30" i="19"/>
  <c r="M20" i="53"/>
  <c r="M23" i="53"/>
  <c r="K33" i="19"/>
  <c r="K34" i="19"/>
  <c r="M24" i="53"/>
  <c r="I9" i="20"/>
  <c r="V27" i="62"/>
  <c r="U37" i="53" s="1"/>
  <c r="F15" i="74"/>
  <c r="F17" i="54"/>
  <c r="F17" i="74" s="1"/>
  <c r="I14" i="51"/>
  <c r="F13" i="23"/>
  <c r="F15" i="23" s="1"/>
  <c r="H15" i="54"/>
  <c r="D28" i="12"/>
  <c r="E24" i="12"/>
  <c r="E28" i="12" s="1"/>
  <c r="Q7" i="12"/>
  <c r="P16" i="12"/>
  <c r="G15" i="74"/>
  <c r="G17" i="54"/>
  <c r="G17" i="74" s="1"/>
  <c r="F9" i="23"/>
  <c r="I17" i="51"/>
  <c r="Q38" i="53"/>
  <c r="P18" i="22"/>
  <c r="P19" i="22" s="1"/>
  <c r="P20" i="22" s="1"/>
  <c r="P28" i="18"/>
  <c r="P29" i="18" s="1"/>
  <c r="O26" i="22"/>
  <c r="Q27" i="18"/>
  <c r="O38" i="53"/>
  <c r="G25" i="22"/>
  <c r="G22" i="31"/>
  <c r="F22" i="31"/>
  <c r="F25" i="22"/>
  <c r="M38" i="53"/>
  <c r="L30" i="53" l="1"/>
  <c r="F24" i="22"/>
  <c r="F27" i="22" s="1"/>
  <c r="E27" i="22"/>
  <c r="E7" i="23"/>
  <c r="P24" i="22"/>
  <c r="I17" i="20"/>
  <c r="M31" i="19"/>
  <c r="O21" i="53"/>
  <c r="D12" i="23"/>
  <c r="D17" i="23" s="1"/>
  <c r="C7" i="25" s="1"/>
  <c r="C10" i="25" s="1"/>
  <c r="C12" i="25" s="1"/>
  <c r="E14" i="26" s="1"/>
  <c r="E25" i="26" s="1"/>
  <c r="K10" i="27" s="1"/>
  <c r="D11" i="23"/>
  <c r="D16" i="23" s="1"/>
  <c r="C6" i="25" s="1"/>
  <c r="C9" i="25" s="1"/>
  <c r="C11" i="25" s="1"/>
  <c r="E13" i="26" s="1"/>
  <c r="E18" i="26" s="1"/>
  <c r="D6" i="27" s="1"/>
  <c r="M19" i="53"/>
  <c r="K29" i="19"/>
  <c r="C19" i="31"/>
  <c r="L19" i="31"/>
  <c r="N22" i="53"/>
  <c r="L32" i="19"/>
  <c r="G63" i="71"/>
  <c r="G68" i="71" s="1"/>
  <c r="G51" i="76"/>
  <c r="G54" i="76" s="1"/>
  <c r="G58" i="76" s="1"/>
  <c r="M19" i="31"/>
  <c r="K19" i="31"/>
  <c r="F63" i="71"/>
  <c r="F68" i="71" s="1"/>
  <c r="N19" i="31"/>
  <c r="M29" i="53"/>
  <c r="K39" i="19"/>
  <c r="J40" i="19"/>
  <c r="E19" i="31"/>
  <c r="L33" i="19"/>
  <c r="N23" i="53"/>
  <c r="G19" i="31"/>
  <c r="F51" i="76"/>
  <c r="F54" i="76" s="1"/>
  <c r="F58" i="76" s="1"/>
  <c r="F19" i="31"/>
  <c r="L34" i="19"/>
  <c r="N24" i="53"/>
  <c r="L30" i="19"/>
  <c r="N20" i="53"/>
  <c r="F7" i="24"/>
  <c r="F16" i="24" s="1"/>
  <c r="E8" i="25" s="1"/>
  <c r="E16" i="24"/>
  <c r="D8" i="25" s="1"/>
  <c r="D19" i="31"/>
  <c r="J19" i="31"/>
  <c r="H19" i="31"/>
  <c r="I17" i="74"/>
  <c r="J17" i="74"/>
  <c r="H15" i="74"/>
  <c r="H17" i="54"/>
  <c r="H17" i="74" s="1"/>
  <c r="J15" i="74"/>
  <c r="I15" i="74"/>
  <c r="R7" i="12"/>
  <c r="Q16" i="12"/>
  <c r="J38" i="53"/>
  <c r="O22" i="31"/>
  <c r="Q28" i="18"/>
  <c r="Q29" i="18" s="1"/>
  <c r="Q18" i="22"/>
  <c r="Q19" i="22" s="1"/>
  <c r="Q20" i="22" s="1"/>
  <c r="K38" i="53"/>
  <c r="P25" i="22"/>
  <c r="E8" i="23"/>
  <c r="F71" i="71" l="1"/>
  <c r="F76" i="71" s="1"/>
  <c r="G71" i="71"/>
  <c r="G76" i="71" s="1"/>
  <c r="G6" i="27"/>
  <c r="E26" i="26"/>
  <c r="L23" i="26" s="1"/>
  <c r="D10" i="52"/>
  <c r="L10" i="27"/>
  <c r="M6" i="27"/>
  <c r="J10" i="27"/>
  <c r="I6" i="27"/>
  <c r="O6" i="27"/>
  <c r="I10" i="27"/>
  <c r="E20" i="26"/>
  <c r="N8" i="27" s="1"/>
  <c r="G24" i="22"/>
  <c r="G27" i="22" s="1"/>
  <c r="P21" i="53"/>
  <c r="N31" i="19"/>
  <c r="F7" i="23"/>
  <c r="Q24" i="22"/>
  <c r="J6" i="27"/>
  <c r="L6" i="27"/>
  <c r="M30" i="53"/>
  <c r="F10" i="27"/>
  <c r="N10" i="27"/>
  <c r="H10" i="27"/>
  <c r="E24" i="26"/>
  <c r="O9" i="27" s="1"/>
  <c r="O10" i="27"/>
  <c r="H6" i="27"/>
  <c r="K6" i="27"/>
  <c r="L15" i="26"/>
  <c r="E10" i="27"/>
  <c r="D10" i="27"/>
  <c r="M10" i="27"/>
  <c r="G10" i="27"/>
  <c r="F6" i="27"/>
  <c r="I18" i="20"/>
  <c r="I10" i="51" s="1"/>
  <c r="I16" i="51" s="1"/>
  <c r="E6" i="27"/>
  <c r="N6" i="27"/>
  <c r="D18" i="23"/>
  <c r="E19" i="26"/>
  <c r="I7" i="27" s="1"/>
  <c r="O19" i="31"/>
  <c r="L22" i="26"/>
  <c r="M32" i="19"/>
  <c r="O22" i="53"/>
  <c r="L29" i="19"/>
  <c r="N19" i="53"/>
  <c r="M33" i="19"/>
  <c r="O23" i="53"/>
  <c r="N29" i="53"/>
  <c r="L39" i="19"/>
  <c r="O20" i="53"/>
  <c r="M30" i="19"/>
  <c r="M34" i="19"/>
  <c r="O24" i="53"/>
  <c r="K40" i="19"/>
  <c r="S7" i="12"/>
  <c r="S16" i="12" s="1"/>
  <c r="R16" i="12"/>
  <c r="K17" i="74"/>
  <c r="L17" i="74"/>
  <c r="L15" i="74"/>
  <c r="K15" i="74"/>
  <c r="P27" i="22"/>
  <c r="H19" i="51"/>
  <c r="T38" i="53"/>
  <c r="S38" i="53"/>
  <c r="E12" i="23"/>
  <c r="E17" i="23" s="1"/>
  <c r="D7" i="25" s="1"/>
  <c r="D10" i="25" s="1"/>
  <c r="D12" i="25" s="1"/>
  <c r="F14" i="26" s="1"/>
  <c r="E11" i="23"/>
  <c r="E16" i="23" s="1"/>
  <c r="F8" i="23"/>
  <c r="Q25" i="22"/>
  <c r="N30" i="53" l="1"/>
  <c r="J8" i="27"/>
  <c r="L16" i="26"/>
  <c r="L8" i="27"/>
  <c r="O8" i="27"/>
  <c r="I11" i="27"/>
  <c r="I8" i="27"/>
  <c r="O11" i="27"/>
  <c r="K11" i="27"/>
  <c r="H8" i="27"/>
  <c r="H11" i="27"/>
  <c r="D11" i="27"/>
  <c r="D7" i="27"/>
  <c r="N7" i="27"/>
  <c r="H7" i="27"/>
  <c r="E11" i="27"/>
  <c r="M11" i="27"/>
  <c r="L24" i="22"/>
  <c r="L27" i="22" s="1"/>
  <c r="G11" i="27"/>
  <c r="F69" i="71"/>
  <c r="G8" i="27"/>
  <c r="J11" i="27"/>
  <c r="K8" i="27"/>
  <c r="F11" i="27"/>
  <c r="L11" i="27"/>
  <c r="N11" i="27"/>
  <c r="F52" i="76"/>
  <c r="G7" i="27"/>
  <c r="G9" i="27"/>
  <c r="L17" i="26"/>
  <c r="K9" i="27"/>
  <c r="M9" i="27"/>
  <c r="M8" i="27"/>
  <c r="J7" i="27"/>
  <c r="H24" i="22"/>
  <c r="H27" i="22" s="1"/>
  <c r="P6" i="27"/>
  <c r="Q21" i="53"/>
  <c r="O31" i="19"/>
  <c r="R21" i="53" s="1"/>
  <c r="S21" i="53" s="1"/>
  <c r="T21" i="53" s="1"/>
  <c r="U21" i="53" s="1"/>
  <c r="I9" i="27"/>
  <c r="E9" i="27"/>
  <c r="E8" i="27"/>
  <c r="F8" i="27"/>
  <c r="D8" i="27"/>
  <c r="J9" i="27"/>
  <c r="H51" i="76"/>
  <c r="H54" i="76" s="1"/>
  <c r="H58" i="76" s="1"/>
  <c r="H63" i="71"/>
  <c r="M7" i="27"/>
  <c r="K7" i="27"/>
  <c r="E7" i="27"/>
  <c r="P10" i="27"/>
  <c r="L7" i="27"/>
  <c r="F7" i="27"/>
  <c r="O7" i="27"/>
  <c r="F55" i="76"/>
  <c r="F72" i="71"/>
  <c r="F9" i="27"/>
  <c r="L21" i="26"/>
  <c r="L24" i="26" s="1"/>
  <c r="L9" i="27"/>
  <c r="N9" i="27"/>
  <c r="H9" i="27"/>
  <c r="D9" i="27"/>
  <c r="M29" i="19"/>
  <c r="O19" i="53"/>
  <c r="N32" i="19"/>
  <c r="O32" i="19" s="1"/>
  <c r="P22" i="53"/>
  <c r="N34" i="19"/>
  <c r="O34" i="19" s="1"/>
  <c r="P24" i="53"/>
  <c r="N30" i="19"/>
  <c r="O30" i="19" s="1"/>
  <c r="P20" i="53"/>
  <c r="M39" i="19"/>
  <c r="O29" i="53"/>
  <c r="L40" i="19"/>
  <c r="N33" i="19"/>
  <c r="O33" i="19" s="1"/>
  <c r="P23" i="53"/>
  <c r="F26" i="26"/>
  <c r="M23" i="26" s="1"/>
  <c r="Q11" i="27" s="1"/>
  <c r="F25" i="26"/>
  <c r="M22" i="26" s="1"/>
  <c r="Q10" i="27" s="1"/>
  <c r="F24" i="26"/>
  <c r="I19" i="51"/>
  <c r="U38" i="53"/>
  <c r="Q27" i="22"/>
  <c r="F12" i="23"/>
  <c r="F17" i="23" s="1"/>
  <c r="E7" i="25" s="1"/>
  <c r="E10" i="25" s="1"/>
  <c r="E12" i="25" s="1"/>
  <c r="G14" i="26" s="1"/>
  <c r="F11" i="23"/>
  <c r="F16" i="23" s="1"/>
  <c r="E18" i="23"/>
  <c r="D6" i="25"/>
  <c r="D9" i="25" s="1"/>
  <c r="L18" i="26" l="1"/>
  <c r="L25" i="26" s="1"/>
  <c r="D7" i="52" s="1"/>
  <c r="D9" i="52" s="1"/>
  <c r="C66" i="76" s="1"/>
  <c r="I24" i="22"/>
  <c r="I12" i="27"/>
  <c r="I14" i="27" s="1"/>
  <c r="M49" i="53" s="1"/>
  <c r="O30" i="53"/>
  <c r="O12" i="27"/>
  <c r="N13" i="28" s="1"/>
  <c r="R39" i="53" s="1"/>
  <c r="R42" i="53" s="1"/>
  <c r="N12" i="27"/>
  <c r="N15" i="27" s="1"/>
  <c r="J12" i="27"/>
  <c r="I13" i="28" s="1"/>
  <c r="M39" i="53" s="1"/>
  <c r="M42" i="53" s="1"/>
  <c r="P11" i="27"/>
  <c r="H12" i="27"/>
  <c r="H13" i="27" s="1"/>
  <c r="G12" i="27"/>
  <c r="F12" i="27"/>
  <c r="E14" i="28" s="1"/>
  <c r="K12" i="27"/>
  <c r="K15" i="27" s="1"/>
  <c r="D12" i="27"/>
  <c r="C14" i="28" s="1"/>
  <c r="C15" i="28" s="1"/>
  <c r="M12" i="27"/>
  <c r="L14" i="28" s="1"/>
  <c r="L15" i="28" s="1"/>
  <c r="I13" i="27"/>
  <c r="P7" i="27"/>
  <c r="L12" i="27"/>
  <c r="P8" i="27"/>
  <c r="P9" i="27"/>
  <c r="E12" i="27"/>
  <c r="D13" i="28" s="1"/>
  <c r="H39" i="53" s="1"/>
  <c r="H42" i="53" s="1"/>
  <c r="H68" i="71"/>
  <c r="H71" i="71"/>
  <c r="H76" i="71" s="1"/>
  <c r="J24" i="22"/>
  <c r="I27" i="22"/>
  <c r="Q22" i="53"/>
  <c r="R22" i="53"/>
  <c r="P19" i="53"/>
  <c r="N29" i="19"/>
  <c r="R24" i="53"/>
  <c r="Q24" i="53"/>
  <c r="Q23" i="53"/>
  <c r="R23" i="53"/>
  <c r="P29" i="53"/>
  <c r="P30" i="53" s="1"/>
  <c r="N39" i="19"/>
  <c r="O39" i="19" s="1"/>
  <c r="M40" i="19"/>
  <c r="R20" i="53"/>
  <c r="Q20" i="53"/>
  <c r="E6" i="25"/>
  <c r="E9" i="25" s="1"/>
  <c r="F18" i="23"/>
  <c r="G24" i="26"/>
  <c r="G25" i="26"/>
  <c r="N22" i="26" s="1"/>
  <c r="R10" i="27" s="1"/>
  <c r="G26" i="26"/>
  <c r="N23" i="26" s="1"/>
  <c r="R11" i="27" s="1"/>
  <c r="E10" i="52"/>
  <c r="D11" i="25"/>
  <c r="F13" i="26" s="1"/>
  <c r="G72" i="71"/>
  <c r="G55" i="76"/>
  <c r="G69" i="71"/>
  <c r="M21" i="26"/>
  <c r="H14" i="28" l="1"/>
  <c r="H15" i="28" s="1"/>
  <c r="H7" i="31"/>
  <c r="H13" i="28"/>
  <c r="L39" i="53" s="1"/>
  <c r="L42" i="53" s="1"/>
  <c r="I15" i="27"/>
  <c r="I16" i="27" s="1"/>
  <c r="J14" i="27"/>
  <c r="N49" i="53" s="1"/>
  <c r="N51" i="53" s="1"/>
  <c r="N7" i="31"/>
  <c r="M7" i="31"/>
  <c r="D14" i="28"/>
  <c r="D15" i="28" s="1"/>
  <c r="I47" i="53" s="1"/>
  <c r="N14" i="27"/>
  <c r="R49" i="53" s="1"/>
  <c r="R51" i="53" s="1"/>
  <c r="O15" i="27"/>
  <c r="P16" i="28"/>
  <c r="M14" i="28"/>
  <c r="M15" i="28" s="1"/>
  <c r="O14" i="27"/>
  <c r="F25" i="54" s="1"/>
  <c r="F25" i="74" s="1"/>
  <c r="E13" i="28"/>
  <c r="I39" i="53" s="1"/>
  <c r="I42" i="53" s="1"/>
  <c r="N13" i="27"/>
  <c r="D13" i="27"/>
  <c r="J13" i="27"/>
  <c r="D15" i="27"/>
  <c r="O13" i="27"/>
  <c r="M13" i="28"/>
  <c r="Q39" i="53" s="1"/>
  <c r="Q42" i="53" s="1"/>
  <c r="I14" i="28"/>
  <c r="I15" i="28" s="1"/>
  <c r="K13" i="27"/>
  <c r="N14" i="28"/>
  <c r="N15" i="28" s="1"/>
  <c r="E7" i="31"/>
  <c r="J15" i="27"/>
  <c r="I7" i="31"/>
  <c r="G13" i="28"/>
  <c r="K39" i="53" s="1"/>
  <c r="K42" i="53" s="1"/>
  <c r="G14" i="28"/>
  <c r="G15" i="28" s="1"/>
  <c r="F60" i="76"/>
  <c r="M48" i="53"/>
  <c r="F64" i="71"/>
  <c r="F82" i="71" s="1"/>
  <c r="D14" i="27"/>
  <c r="H49" i="53" s="1"/>
  <c r="H51" i="53" s="1"/>
  <c r="G7" i="31"/>
  <c r="M15" i="27"/>
  <c r="C13" i="28"/>
  <c r="G39" i="53" s="1"/>
  <c r="G42" i="53" s="1"/>
  <c r="H14" i="27"/>
  <c r="L49" i="53" s="1"/>
  <c r="L51" i="53" s="1"/>
  <c r="D40" i="76"/>
  <c r="F86" i="71"/>
  <c r="C7" i="31"/>
  <c r="I17" i="27"/>
  <c r="L8" i="53" s="1"/>
  <c r="H15" i="27"/>
  <c r="M13" i="27"/>
  <c r="D51" i="71"/>
  <c r="M14" i="27"/>
  <c r="Q49" i="53" s="1"/>
  <c r="J7" i="31"/>
  <c r="F15" i="27"/>
  <c r="J14" i="28"/>
  <c r="F14" i="28"/>
  <c r="K46" i="53" s="1"/>
  <c r="G14" i="27"/>
  <c r="K49" i="53" s="1"/>
  <c r="G15" i="27"/>
  <c r="F7" i="31"/>
  <c r="G13" i="27"/>
  <c r="F13" i="28"/>
  <c r="F14" i="27"/>
  <c r="J49" i="53" s="1"/>
  <c r="J51" i="53" s="1"/>
  <c r="J13" i="28"/>
  <c r="N39" i="53" s="1"/>
  <c r="N42" i="53" s="1"/>
  <c r="E13" i="27"/>
  <c r="E15" i="28"/>
  <c r="L7" i="31"/>
  <c r="L13" i="28"/>
  <c r="P39" i="53" s="1"/>
  <c r="P42" i="53" s="1"/>
  <c r="F13" i="27"/>
  <c r="K14" i="27"/>
  <c r="O49" i="53" s="1"/>
  <c r="L15" i="27"/>
  <c r="K7" i="31"/>
  <c r="L13" i="27"/>
  <c r="K14" i="28"/>
  <c r="K13" i="28"/>
  <c r="E15" i="27"/>
  <c r="P12" i="27"/>
  <c r="S22" i="53"/>
  <c r="T22" i="53" s="1"/>
  <c r="U22" i="53" s="1"/>
  <c r="E14" i="27"/>
  <c r="I49" i="53" s="1"/>
  <c r="D7" i="31"/>
  <c r="N40" i="19"/>
  <c r="O29" i="19"/>
  <c r="O40" i="19" s="1"/>
  <c r="L14" i="27"/>
  <c r="P49" i="53" s="1"/>
  <c r="P51" i="53" s="1"/>
  <c r="K24" i="22"/>
  <c r="J27" i="22"/>
  <c r="Q19" i="53"/>
  <c r="R19" i="53"/>
  <c r="R29" i="53"/>
  <c r="Q29" i="53"/>
  <c r="S20" i="53"/>
  <c r="T20" i="53" s="1"/>
  <c r="U20" i="53" s="1"/>
  <c r="S24" i="53"/>
  <c r="T24" i="53" s="1"/>
  <c r="U24" i="53" s="1"/>
  <c r="S23" i="53"/>
  <c r="T23" i="53" s="1"/>
  <c r="U23" i="53" s="1"/>
  <c r="E11" i="25"/>
  <c r="G13" i="26" s="1"/>
  <c r="F10" i="52"/>
  <c r="M24" i="26"/>
  <c r="Q9" i="27"/>
  <c r="H55" i="76"/>
  <c r="H72" i="71"/>
  <c r="N21" i="26"/>
  <c r="H69" i="71"/>
  <c r="F18" i="26"/>
  <c r="F19" i="26"/>
  <c r="M16" i="26" s="1"/>
  <c r="Q7" i="27" s="1"/>
  <c r="F20" i="26"/>
  <c r="M17" i="26" s="1"/>
  <c r="Q8" i="27" s="1"/>
  <c r="H23" i="31" l="1"/>
  <c r="H24" i="31" s="1"/>
  <c r="M47" i="53"/>
  <c r="H8" i="31"/>
  <c r="H9" i="31" s="1"/>
  <c r="D23" i="31"/>
  <c r="D24" i="31" s="1"/>
  <c r="D8" i="31"/>
  <c r="D7" i="34" s="1"/>
  <c r="D8" i="34" s="1"/>
  <c r="I46" i="53"/>
  <c r="N16" i="27"/>
  <c r="E8" i="31"/>
  <c r="E7" i="34" s="1"/>
  <c r="E8" i="34" s="1"/>
  <c r="J17" i="27"/>
  <c r="M8" i="53" s="1"/>
  <c r="M46" i="53"/>
  <c r="O17" i="27"/>
  <c r="R8" i="53" s="1"/>
  <c r="M23" i="31"/>
  <c r="M24" i="31" s="1"/>
  <c r="N8" i="31"/>
  <c r="N9" i="31" s="1"/>
  <c r="J16" i="27"/>
  <c r="O48" i="53"/>
  <c r="N23" i="31"/>
  <c r="N24" i="31" s="1"/>
  <c r="S46" i="53"/>
  <c r="F22" i="54" s="1"/>
  <c r="F22" i="74" s="1"/>
  <c r="I48" i="53"/>
  <c r="F24" i="54"/>
  <c r="F24" i="74" s="1"/>
  <c r="O16" i="27"/>
  <c r="N17" i="27"/>
  <c r="Q8" i="53" s="1"/>
  <c r="M8" i="31"/>
  <c r="M9" i="31" s="1"/>
  <c r="G23" i="31"/>
  <c r="G24" i="31" s="1"/>
  <c r="I8" i="31"/>
  <c r="I9" i="31" s="1"/>
  <c r="I18" i="27"/>
  <c r="J19" i="27" s="1"/>
  <c r="M9" i="53" s="1"/>
  <c r="G8" i="31"/>
  <c r="G9" i="31" s="1"/>
  <c r="I23" i="31"/>
  <c r="I24" i="31" s="1"/>
  <c r="O46" i="53"/>
  <c r="H17" i="27"/>
  <c r="K8" i="53" s="1"/>
  <c r="D17" i="27"/>
  <c r="D20" i="27" s="1"/>
  <c r="L16" i="27"/>
  <c r="F78" i="71"/>
  <c r="K17" i="27"/>
  <c r="N8" i="53" s="1"/>
  <c r="K16" i="27"/>
  <c r="H16" i="27"/>
  <c r="D16" i="27"/>
  <c r="C23" i="31"/>
  <c r="C24" i="31" s="1"/>
  <c r="C8" i="31"/>
  <c r="C7" i="34" s="1"/>
  <c r="C8" i="34" s="1"/>
  <c r="M16" i="27"/>
  <c r="F17" i="27"/>
  <c r="I8" i="53" s="1"/>
  <c r="M17" i="27"/>
  <c r="L23" i="31"/>
  <c r="L24" i="31" s="1"/>
  <c r="J15" i="28"/>
  <c r="O47" i="53" s="1"/>
  <c r="L8" i="31"/>
  <c r="L9" i="31" s="1"/>
  <c r="G17" i="27"/>
  <c r="J8" i="53" s="1"/>
  <c r="G16" i="27"/>
  <c r="F15" i="28"/>
  <c r="F8" i="31" s="1"/>
  <c r="F9" i="31" s="1"/>
  <c r="J39" i="53"/>
  <c r="J42" i="53" s="1"/>
  <c r="O13" i="28"/>
  <c r="F16" i="27"/>
  <c r="K48" i="53"/>
  <c r="E23" i="31"/>
  <c r="E24" i="31" s="1"/>
  <c r="K15" i="28"/>
  <c r="Q47" i="53" s="1"/>
  <c r="Q46" i="53"/>
  <c r="L17" i="27"/>
  <c r="O8" i="53" s="1"/>
  <c r="Q48" i="53"/>
  <c r="R30" i="53"/>
  <c r="E16" i="27"/>
  <c r="C6" i="28"/>
  <c r="O7" i="31"/>
  <c r="C13" i="31" s="1"/>
  <c r="P15" i="27"/>
  <c r="P14" i="27"/>
  <c r="S49" i="53" s="1"/>
  <c r="P13" i="27"/>
  <c r="E17" i="27"/>
  <c r="H8" i="53" s="1"/>
  <c r="O14" i="28"/>
  <c r="O39" i="53"/>
  <c r="M24" i="22"/>
  <c r="K27" i="22"/>
  <c r="S19" i="53"/>
  <c r="T19" i="53" s="1"/>
  <c r="U19" i="53" s="1"/>
  <c r="Q30" i="53"/>
  <c r="S29" i="53"/>
  <c r="T29" i="53" s="1"/>
  <c r="U29" i="53" s="1"/>
  <c r="G52" i="76"/>
  <c r="M15" i="26"/>
  <c r="R9" i="27"/>
  <c r="N24" i="26"/>
  <c r="G19" i="26"/>
  <c r="N16" i="26" s="1"/>
  <c r="R7" i="27" s="1"/>
  <c r="G18" i="26"/>
  <c r="G20" i="26"/>
  <c r="N17" i="26" s="1"/>
  <c r="R8" i="27" s="1"/>
  <c r="M51" i="53" l="1"/>
  <c r="I51" i="53"/>
  <c r="E9" i="31"/>
  <c r="G8" i="53"/>
  <c r="D9" i="31"/>
  <c r="F8" i="34"/>
  <c r="S30" i="53"/>
  <c r="O18" i="27"/>
  <c r="O21" i="27" s="1"/>
  <c r="J18" i="27"/>
  <c r="K19" i="27" s="1"/>
  <c r="N9" i="53" s="1"/>
  <c r="H18" i="27"/>
  <c r="H21" i="27" s="1"/>
  <c r="N18" i="27"/>
  <c r="O19" i="27" s="1"/>
  <c r="R9" i="53" s="1"/>
  <c r="D18" i="27"/>
  <c r="D21" i="27" s="1"/>
  <c r="C9" i="31"/>
  <c r="O51" i="53"/>
  <c r="I21" i="27"/>
  <c r="K18" i="27"/>
  <c r="J20" i="27"/>
  <c r="K8" i="31"/>
  <c r="K9" i="31" s="1"/>
  <c r="K47" i="53"/>
  <c r="K51" i="53" s="1"/>
  <c r="J8" i="31"/>
  <c r="J9" i="31" s="1"/>
  <c r="F23" i="31"/>
  <c r="F24" i="31" s="1"/>
  <c r="F7" i="34"/>
  <c r="P16" i="27"/>
  <c r="F18" i="27"/>
  <c r="P8" i="53"/>
  <c r="M18" i="27"/>
  <c r="J23" i="31"/>
  <c r="J24" i="31" s="1"/>
  <c r="G18" i="27"/>
  <c r="C7" i="28"/>
  <c r="C8" i="28" s="1"/>
  <c r="S47" i="53" s="1"/>
  <c r="F23" i="54" s="1"/>
  <c r="O15" i="28"/>
  <c r="K23" i="31"/>
  <c r="O42" i="53"/>
  <c r="S39" i="53"/>
  <c r="S42" i="53" s="1"/>
  <c r="S48" i="53"/>
  <c r="P17" i="27"/>
  <c r="E18" i="27"/>
  <c r="Q51" i="53"/>
  <c r="L18" i="27"/>
  <c r="N24" i="22"/>
  <c r="M27" i="22"/>
  <c r="T30" i="53"/>
  <c r="U30" i="53"/>
  <c r="Q6" i="27"/>
  <c r="M18" i="26"/>
  <c r="M25" i="26" s="1"/>
  <c r="E7" i="52" s="1"/>
  <c r="E9" i="52" s="1"/>
  <c r="N15" i="26"/>
  <c r="H52" i="76"/>
  <c r="S8" i="53" l="1"/>
  <c r="J21" i="27"/>
  <c r="F9" i="34"/>
  <c r="C13" i="34" s="1"/>
  <c r="C8" i="35" s="1"/>
  <c r="C9" i="35" s="1"/>
  <c r="K20" i="27"/>
  <c r="I19" i="27"/>
  <c r="I20" i="27" s="1"/>
  <c r="E19" i="27"/>
  <c r="E20" i="27" s="1"/>
  <c r="N21" i="27"/>
  <c r="O20" i="27"/>
  <c r="P18" i="27"/>
  <c r="L19" i="27"/>
  <c r="K21" i="27"/>
  <c r="O8" i="31"/>
  <c r="C14" i="31" s="1"/>
  <c r="C15" i="31" s="1"/>
  <c r="N19" i="27"/>
  <c r="M21" i="27"/>
  <c r="G19" i="27"/>
  <c r="F21" i="27"/>
  <c r="G21" i="27"/>
  <c r="H19" i="27"/>
  <c r="E21" i="27"/>
  <c r="F19" i="27"/>
  <c r="C9" i="28"/>
  <c r="D11" i="52" s="1"/>
  <c r="L21" i="27"/>
  <c r="M19" i="27"/>
  <c r="N27" i="22"/>
  <c r="O27" i="22" s="1"/>
  <c r="O24" i="22"/>
  <c r="K24" i="31"/>
  <c r="O24" i="31" s="1"/>
  <c r="O23" i="31"/>
  <c r="F28" i="54"/>
  <c r="F28" i="74" s="1"/>
  <c r="F23" i="74"/>
  <c r="Q12" i="27"/>
  <c r="R6" i="27"/>
  <c r="N18" i="26"/>
  <c r="N25" i="26" s="1"/>
  <c r="F7" i="52" s="1"/>
  <c r="F9" i="52" s="1"/>
  <c r="D66" i="76"/>
  <c r="G86" i="71"/>
  <c r="D41" i="76"/>
  <c r="G60" i="76"/>
  <c r="D52" i="71"/>
  <c r="G64" i="71"/>
  <c r="C14" i="34" l="1"/>
  <c r="D4" i="76" s="1"/>
  <c r="E39" i="76" s="1"/>
  <c r="P13" i="28"/>
  <c r="L9" i="53"/>
  <c r="H9" i="53"/>
  <c r="O9" i="53"/>
  <c r="L20" i="27"/>
  <c r="O9" i="31"/>
  <c r="J9" i="53"/>
  <c r="G20" i="27"/>
  <c r="Q9" i="53"/>
  <c r="N20" i="27"/>
  <c r="G20" i="51"/>
  <c r="G21" i="51" s="1"/>
  <c r="G22" i="51" s="1"/>
  <c r="K9" i="53"/>
  <c r="H20" i="27"/>
  <c r="F20" i="27"/>
  <c r="I9" i="53"/>
  <c r="P19" i="27"/>
  <c r="Q19" i="27" s="1"/>
  <c r="P9" i="53"/>
  <c r="M20" i="27"/>
  <c r="G78" i="71"/>
  <c r="G82" i="71"/>
  <c r="H60" i="76"/>
  <c r="D53" i="71"/>
  <c r="I48" i="71" s="1"/>
  <c r="H48" i="71" s="1"/>
  <c r="G48" i="71" s="1"/>
  <c r="D42" i="76"/>
  <c r="D43" i="76" s="1"/>
  <c r="H86" i="71"/>
  <c r="H64" i="71"/>
  <c r="E66" i="76"/>
  <c r="R12" i="27"/>
  <c r="P7" i="31"/>
  <c r="Q14" i="27"/>
  <c r="T49" i="53" s="1"/>
  <c r="P14" i="28"/>
  <c r="P15" i="28" s="1"/>
  <c r="Q13" i="27"/>
  <c r="D7" i="28"/>
  <c r="Q15" i="27"/>
  <c r="D6" i="28"/>
  <c r="G24" i="54"/>
  <c r="G25" i="54"/>
  <c r="D13" i="35"/>
  <c r="D7" i="35"/>
  <c r="D6" i="35"/>
  <c r="D12" i="35"/>
  <c r="D8" i="35"/>
  <c r="F11" i="76" l="1"/>
  <c r="E11" i="76"/>
  <c r="D11" i="76"/>
  <c r="D20" i="76" s="1"/>
  <c r="Q13" i="28"/>
  <c r="H3" i="35"/>
  <c r="H9" i="35" s="1"/>
  <c r="H8" i="35" s="1"/>
  <c r="H4" i="35"/>
  <c r="H6" i="35" s="1"/>
  <c r="F65" i="71"/>
  <c r="F61" i="71" s="1"/>
  <c r="F66" i="71" s="1"/>
  <c r="F53" i="76"/>
  <c r="F73" i="71"/>
  <c r="F59" i="76"/>
  <c r="F61" i="76" s="1"/>
  <c r="F56" i="76"/>
  <c r="F70" i="71"/>
  <c r="S9" i="53"/>
  <c r="P20" i="27"/>
  <c r="P21" i="27"/>
  <c r="H14" i="76"/>
  <c r="D54" i="71"/>
  <c r="D9" i="35"/>
  <c r="F77" i="71"/>
  <c r="D44" i="76"/>
  <c r="Q16" i="27"/>
  <c r="T39" i="53"/>
  <c r="T42" i="53" s="1"/>
  <c r="G24" i="74"/>
  <c r="T48" i="53"/>
  <c r="Q17" i="27"/>
  <c r="T8" i="53" s="1"/>
  <c r="E6" i="71"/>
  <c r="F12" i="53"/>
  <c r="E34" i="54"/>
  <c r="D8" i="28"/>
  <c r="T47" i="53" s="1"/>
  <c r="T46" i="53"/>
  <c r="D13" i="31"/>
  <c r="E7" i="71"/>
  <c r="E29" i="54"/>
  <c r="C5" i="48"/>
  <c r="F13" i="53"/>
  <c r="H82" i="71"/>
  <c r="H78" i="71"/>
  <c r="H25" i="54"/>
  <c r="G25" i="74"/>
  <c r="E7" i="28"/>
  <c r="E6" i="28"/>
  <c r="R15" i="27"/>
  <c r="R14" i="27"/>
  <c r="U49" i="53" s="1"/>
  <c r="Q7" i="31"/>
  <c r="Q14" i="28"/>
  <c r="Q15" i="28" s="1"/>
  <c r="R13" i="27"/>
  <c r="H24" i="54"/>
  <c r="R19" i="27"/>
  <c r="F57" i="76" l="1"/>
  <c r="H7" i="35"/>
  <c r="H10" i="35" s="1"/>
  <c r="F74" i="71"/>
  <c r="J79" i="71" s="1"/>
  <c r="T10" i="53"/>
  <c r="F8" i="54"/>
  <c r="F14" i="53"/>
  <c r="F55" i="53" s="1"/>
  <c r="I79" i="71"/>
  <c r="F79" i="71"/>
  <c r="D9" i="28"/>
  <c r="E11" i="52" s="1"/>
  <c r="H24" i="74"/>
  <c r="H25" i="74"/>
  <c r="C8" i="48"/>
  <c r="B12" i="48"/>
  <c r="U48" i="53"/>
  <c r="R17" i="27"/>
  <c r="U8" i="53" s="1"/>
  <c r="U39" i="53"/>
  <c r="U42" i="53" s="1"/>
  <c r="E32" i="54"/>
  <c r="E29" i="74"/>
  <c r="E34" i="74"/>
  <c r="E39" i="54"/>
  <c r="R16" i="27"/>
  <c r="E13" i="31"/>
  <c r="E8" i="28"/>
  <c r="U47" i="53" s="1"/>
  <c r="U46" i="53"/>
  <c r="E8" i="71"/>
  <c r="I24" i="74"/>
  <c r="J24" i="74"/>
  <c r="J25" i="74"/>
  <c r="I25" i="74"/>
  <c r="Q20" i="27"/>
  <c r="G22" i="54"/>
  <c r="Q18" i="27"/>
  <c r="F8" i="74" l="1"/>
  <c r="F35" i="54"/>
  <c r="F35" i="74" s="1"/>
  <c r="F56" i="53"/>
  <c r="H20" i="51"/>
  <c r="H21" i="51" s="1"/>
  <c r="G65" i="71" s="1"/>
  <c r="F81" i="71"/>
  <c r="F84" i="71" s="1"/>
  <c r="K79" i="71"/>
  <c r="E9" i="28"/>
  <c r="F11" i="52" s="1"/>
  <c r="E32" i="74"/>
  <c r="E33" i="54"/>
  <c r="G22" i="74"/>
  <c r="G23" i="54"/>
  <c r="H22" i="54"/>
  <c r="H47" i="54"/>
  <c r="E39" i="74"/>
  <c r="R20" i="27"/>
  <c r="T9" i="53"/>
  <c r="Q21" i="27"/>
  <c r="C32" i="71"/>
  <c r="E9" i="71"/>
  <c r="G7" i="53"/>
  <c r="E7" i="54"/>
  <c r="K25" i="74"/>
  <c r="L25" i="74"/>
  <c r="R18" i="27"/>
  <c r="C12" i="48"/>
  <c r="K24" i="74"/>
  <c r="L24" i="74"/>
  <c r="G56" i="76" l="1"/>
  <c r="G70" i="71"/>
  <c r="H22" i="51"/>
  <c r="P8" i="31" s="1"/>
  <c r="D14" i="31" s="1"/>
  <c r="D15" i="31" s="1"/>
  <c r="G59" i="76"/>
  <c r="G61" i="76" s="1"/>
  <c r="G73" i="71"/>
  <c r="G53" i="76"/>
  <c r="I20" i="51"/>
  <c r="I21" i="51" s="1"/>
  <c r="H59" i="76" s="1"/>
  <c r="H61" i="76" s="1"/>
  <c r="G77" i="71"/>
  <c r="G79" i="71" s="1"/>
  <c r="G81" i="71" s="1"/>
  <c r="G84" i="71" s="1"/>
  <c r="G61" i="71"/>
  <c r="G66" i="71" s="1"/>
  <c r="R21" i="27"/>
  <c r="H8" i="54" s="1"/>
  <c r="U9" i="53"/>
  <c r="G8" i="54"/>
  <c r="U10" i="53"/>
  <c r="E7" i="74"/>
  <c r="E11" i="54"/>
  <c r="D19" i="71"/>
  <c r="D25" i="71"/>
  <c r="D12" i="48"/>
  <c r="S7" i="53"/>
  <c r="S14" i="53" s="1"/>
  <c r="G14" i="53"/>
  <c r="C39" i="71"/>
  <c r="E50" i="71"/>
  <c r="J22" i="74"/>
  <c r="I22" i="74"/>
  <c r="H22" i="74"/>
  <c r="H23" i="54"/>
  <c r="G23" i="74"/>
  <c r="H46" i="54"/>
  <c r="E40" i="54"/>
  <c r="E40" i="74" s="1"/>
  <c r="E33" i="74"/>
  <c r="G74" i="71" l="1"/>
  <c r="P9" i="31"/>
  <c r="G57" i="76"/>
  <c r="H56" i="76"/>
  <c r="H70" i="71"/>
  <c r="H65" i="71"/>
  <c r="H77" i="71" s="1"/>
  <c r="H79" i="71" s="1"/>
  <c r="H81" i="71" s="1"/>
  <c r="H84" i="71" s="1"/>
  <c r="H73" i="71"/>
  <c r="I22" i="51"/>
  <c r="Q8" i="31" s="1"/>
  <c r="E14" i="31" s="1"/>
  <c r="E15" i="31" s="1"/>
  <c r="H53" i="76"/>
  <c r="K22" i="74"/>
  <c r="L22" i="74"/>
  <c r="D39" i="71"/>
  <c r="G8" i="74"/>
  <c r="G35" i="54"/>
  <c r="H23" i="74"/>
  <c r="F12" i="48"/>
  <c r="G12" i="48" s="1"/>
  <c r="B13" i="48" s="1"/>
  <c r="G35" i="53"/>
  <c r="E11" i="74"/>
  <c r="E19" i="54"/>
  <c r="F49" i="71"/>
  <c r="J23" i="74"/>
  <c r="I23" i="74"/>
  <c r="H35" i="54"/>
  <c r="H8" i="74"/>
  <c r="H74" i="71" l="1"/>
  <c r="Q9" i="31"/>
  <c r="H61" i="71"/>
  <c r="H66" i="71" s="1"/>
  <c r="H57" i="76"/>
  <c r="H35" i="74"/>
  <c r="I8" i="74"/>
  <c r="J8" i="74"/>
  <c r="C13" i="48"/>
  <c r="I18" i="54"/>
  <c r="E19" i="74"/>
  <c r="E41" i="54"/>
  <c r="K23" i="74"/>
  <c r="L23" i="74"/>
  <c r="L8" i="74"/>
  <c r="K8" i="74"/>
  <c r="G36" i="53"/>
  <c r="G54" i="53" s="1"/>
  <c r="G55" i="53" s="1"/>
  <c r="G35" i="74"/>
  <c r="D13" i="48" l="1"/>
  <c r="H35" i="53" s="1"/>
  <c r="J35" i="74"/>
  <c r="I35" i="74"/>
  <c r="E42" i="54"/>
  <c r="F46" i="54"/>
  <c r="E41" i="74"/>
  <c r="E42" i="74" s="1"/>
  <c r="K35" i="74"/>
  <c r="L35" i="74"/>
  <c r="H7" i="53"/>
  <c r="H14" i="53" s="1"/>
  <c r="G56" i="53"/>
  <c r="F13" i="48" l="1"/>
  <c r="G13" i="48" s="1"/>
  <c r="B14" i="48" s="1"/>
  <c r="C14" i="48" s="1"/>
  <c r="H36" i="53"/>
  <c r="H54" i="53" s="1"/>
  <c r="H55" i="53" s="1"/>
  <c r="I47" i="54"/>
  <c r="I46" i="54"/>
  <c r="I7" i="53" l="1"/>
  <c r="I14" i="53" s="1"/>
  <c r="H56" i="53"/>
  <c r="D14" i="48"/>
  <c r="F14" i="48" s="1"/>
  <c r="G14" i="48" s="1"/>
  <c r="B15" i="48" s="1"/>
  <c r="I35" i="53" l="1"/>
  <c r="I36" i="53" s="1"/>
  <c r="I54" i="53" s="1"/>
  <c r="I55" i="53" s="1"/>
  <c r="J7" i="53" s="1"/>
  <c r="J14" i="53" s="1"/>
  <c r="C15" i="48"/>
  <c r="I56" i="53" l="1"/>
  <c r="D15" i="48"/>
  <c r="J35" i="53" s="1"/>
  <c r="F15" i="48" l="1"/>
  <c r="G15" i="48" s="1"/>
  <c r="B16" i="48" s="1"/>
  <c r="C16" i="48" s="1"/>
  <c r="J36" i="53"/>
  <c r="J54" i="53" s="1"/>
  <c r="J55" i="53" s="1"/>
  <c r="K7" i="53" s="1"/>
  <c r="K14" i="53" s="1"/>
  <c r="J56" i="53" l="1"/>
  <c r="D16" i="48"/>
  <c r="K35" i="53" s="1"/>
  <c r="F16" i="48" l="1"/>
  <c r="G16" i="48" s="1"/>
  <c r="B17" i="48" s="1"/>
  <c r="C17" i="48" s="1"/>
  <c r="K36" i="53"/>
  <c r="K54" i="53" s="1"/>
  <c r="K55" i="53" s="1"/>
  <c r="L7" i="53" s="1"/>
  <c r="L14" i="53" s="1"/>
  <c r="K56" i="53" l="1"/>
  <c r="D17" i="48"/>
  <c r="L35" i="53" s="1"/>
  <c r="L36" i="53" l="1"/>
  <c r="L54" i="53" s="1"/>
  <c r="L55" i="53" s="1"/>
  <c r="M7" i="53" s="1"/>
  <c r="M14" i="53" s="1"/>
  <c r="F17" i="48"/>
  <c r="G17" i="48" s="1"/>
  <c r="B18" i="48" s="1"/>
  <c r="C18" i="48" s="1"/>
  <c r="D18" i="48" s="1"/>
  <c r="L56" i="53" l="1"/>
  <c r="M35" i="53"/>
  <c r="M36" i="53" s="1"/>
  <c r="M54" i="53" s="1"/>
  <c r="M55" i="53" s="1"/>
  <c r="F18" i="48"/>
  <c r="G18" i="48" s="1"/>
  <c r="B19" i="48" s="1"/>
  <c r="N7" i="53" l="1"/>
  <c r="N14" i="53" s="1"/>
  <c r="M56" i="53"/>
  <c r="C19" i="48"/>
  <c r="D19" i="48" s="1"/>
  <c r="N35" i="53" l="1"/>
  <c r="N36" i="53" s="1"/>
  <c r="N54" i="53" s="1"/>
  <c r="N55" i="53" s="1"/>
  <c r="F19" i="48"/>
  <c r="G19" i="48" s="1"/>
  <c r="B20" i="48" s="1"/>
  <c r="O7" i="53" l="1"/>
  <c r="O14" i="53" s="1"/>
  <c r="N56" i="53"/>
  <c r="C20" i="48"/>
  <c r="D20" i="48" s="1"/>
  <c r="O35" i="53" l="1"/>
  <c r="O36" i="53" s="1"/>
  <c r="O54" i="53" s="1"/>
  <c r="O55" i="53" s="1"/>
  <c r="F20" i="48"/>
  <c r="G20" i="48" s="1"/>
  <c r="B21" i="48" s="1"/>
  <c r="P7" i="53" l="1"/>
  <c r="P14" i="53" s="1"/>
  <c r="O56" i="53"/>
  <c r="C21" i="48"/>
  <c r="D21" i="48" s="1"/>
  <c r="P35" i="53" l="1"/>
  <c r="P36" i="53" s="1"/>
  <c r="P54" i="53" s="1"/>
  <c r="P55" i="53" s="1"/>
  <c r="F21" i="48"/>
  <c r="G21" i="48" s="1"/>
  <c r="B22" i="48" s="1"/>
  <c r="Q7" i="53" l="1"/>
  <c r="Q14" i="53" s="1"/>
  <c r="P56" i="53"/>
  <c r="C22" i="48"/>
  <c r="D22" i="48" s="1"/>
  <c r="F22" i="48" l="1"/>
  <c r="G22" i="48" s="1"/>
  <c r="B23" i="48" s="1"/>
  <c r="Q35" i="53"/>
  <c r="Q36" i="53" s="1"/>
  <c r="Q54" i="53" s="1"/>
  <c r="Q55" i="53" s="1"/>
  <c r="R7" i="53" l="1"/>
  <c r="R14" i="53" s="1"/>
  <c r="Q56" i="53"/>
  <c r="C23" i="48"/>
  <c r="D23" i="48" l="1"/>
  <c r="R35" i="53" s="1"/>
  <c r="D12" i="52"/>
  <c r="D14" i="52" s="1"/>
  <c r="F23" i="48" l="1"/>
  <c r="G23" i="48" s="1"/>
  <c r="F29" i="54" s="1"/>
  <c r="E51" i="71"/>
  <c r="F87" i="71"/>
  <c r="F88" i="71" s="1"/>
  <c r="E40" i="76"/>
  <c r="C67" i="76"/>
  <c r="C68" i="76" s="1"/>
  <c r="D15" i="52"/>
  <c r="R36" i="53"/>
  <c r="R54" i="53" s="1"/>
  <c r="R55" i="53" s="1"/>
  <c r="F7" i="54" s="1"/>
  <c r="S35" i="53"/>
  <c r="B24" i="48" l="1"/>
  <c r="C24" i="48" s="1"/>
  <c r="D24" i="48" s="1"/>
  <c r="F24" i="48" s="1"/>
  <c r="G24" i="48" s="1"/>
  <c r="B25" i="48" s="1"/>
  <c r="T7" i="53"/>
  <c r="T14" i="53" s="1"/>
  <c r="R56" i="53"/>
  <c r="S56" i="53" s="1"/>
  <c r="D16" i="52"/>
  <c r="D17" i="52" s="1"/>
  <c r="H12" i="75"/>
  <c r="S36" i="53"/>
  <c r="T35" i="53"/>
  <c r="F29" i="74"/>
  <c r="F32" i="54"/>
  <c r="F11" i="54"/>
  <c r="F7" i="74"/>
  <c r="T36" i="53" l="1"/>
  <c r="U35" i="53"/>
  <c r="U36" i="53" s="1"/>
  <c r="H13" i="75"/>
  <c r="D18" i="52"/>
  <c r="D19" i="52" s="1"/>
  <c r="S50" i="53"/>
  <c r="S51" i="53" s="1"/>
  <c r="S54" i="53" s="1"/>
  <c r="S55" i="53" s="1"/>
  <c r="H9" i="75" s="1"/>
  <c r="G26" i="54"/>
  <c r="C25" i="48"/>
  <c r="D25" i="48" s="1"/>
  <c r="F25" i="48" s="1"/>
  <c r="G25" i="48" s="1"/>
  <c r="B26" i="48" s="1"/>
  <c r="F11" i="74"/>
  <c r="F19" i="54"/>
  <c r="I11" i="54" s="1"/>
  <c r="H6" i="75"/>
  <c r="H4" i="75"/>
  <c r="F33" i="54"/>
  <c r="I32" i="54" s="1"/>
  <c r="F32" i="74"/>
  <c r="H7" i="75" l="1"/>
  <c r="L7" i="75" s="1"/>
  <c r="L8" i="75" s="1"/>
  <c r="G26" i="74"/>
  <c r="G28" i="54"/>
  <c r="G28" i="74" s="1"/>
  <c r="F5" i="71"/>
  <c r="F9" i="71" s="1"/>
  <c r="D12" i="76"/>
  <c r="F36" i="54"/>
  <c r="F38" i="54"/>
  <c r="S52" i="53"/>
  <c r="C26" i="48"/>
  <c r="D26" i="48" s="1"/>
  <c r="F26" i="48" s="1"/>
  <c r="G26" i="48" s="1"/>
  <c r="B27" i="48" s="1"/>
  <c r="I31" i="54"/>
  <c r="I30" i="54"/>
  <c r="I27" i="54"/>
  <c r="F33" i="74"/>
  <c r="I26" i="54"/>
  <c r="I33" i="54"/>
  <c r="H48" i="54"/>
  <c r="I21" i="54"/>
  <c r="I20" i="54"/>
  <c r="I24" i="54"/>
  <c r="I25" i="54"/>
  <c r="I22" i="54"/>
  <c r="I23" i="54"/>
  <c r="I28" i="54"/>
  <c r="I29" i="54"/>
  <c r="I12" i="54"/>
  <c r="I16" i="54"/>
  <c r="I10" i="54"/>
  <c r="F41" i="54"/>
  <c r="I14" i="54"/>
  <c r="I15" i="54"/>
  <c r="F19" i="74"/>
  <c r="I13" i="54"/>
  <c r="I19" i="54"/>
  <c r="I17" i="54"/>
  <c r="I9" i="54"/>
  <c r="I8" i="54"/>
  <c r="I7" i="54"/>
  <c r="H5" i="75"/>
  <c r="G37" i="54" l="1"/>
  <c r="F36" i="74"/>
  <c r="F39" i="54"/>
  <c r="I36" i="54" s="1"/>
  <c r="F12" i="76"/>
  <c r="E12" i="76"/>
  <c r="I10" i="76"/>
  <c r="D21" i="76"/>
  <c r="F38" i="74"/>
  <c r="I28" i="74"/>
  <c r="J28" i="74"/>
  <c r="E14" i="71"/>
  <c r="E39" i="71"/>
  <c r="E25" i="71"/>
  <c r="I26" i="74"/>
  <c r="J26" i="74"/>
  <c r="C27" i="48"/>
  <c r="D27" i="48" s="1"/>
  <c r="F27" i="48" s="1"/>
  <c r="G27" i="48" s="1"/>
  <c r="B28" i="48" s="1"/>
  <c r="F48" i="54"/>
  <c r="F41" i="74"/>
  <c r="H11" i="75"/>
  <c r="H14" i="75"/>
  <c r="H10" i="75"/>
  <c r="I38" i="54" l="1"/>
  <c r="I34" i="54"/>
  <c r="I35" i="54"/>
  <c r="I39" i="54"/>
  <c r="F39" i="74"/>
  <c r="I37" i="54"/>
  <c r="H49" i="54"/>
  <c r="I49" i="54" s="1"/>
  <c r="K35" i="54"/>
  <c r="J35" i="54"/>
  <c r="F40" i="54"/>
  <c r="G37" i="74"/>
  <c r="C28" i="48"/>
  <c r="D28" i="48" s="1"/>
  <c r="F28" i="48" s="1"/>
  <c r="G28" i="48" s="1"/>
  <c r="B29" i="48" s="1"/>
  <c r="I48" i="54"/>
  <c r="F40" i="74" l="1"/>
  <c r="F42" i="74" s="1"/>
  <c r="F42" i="54"/>
  <c r="I37" i="74"/>
  <c r="J37" i="74"/>
  <c r="C29" i="48"/>
  <c r="D29" i="48" s="1"/>
  <c r="F29" i="48" s="1"/>
  <c r="G29" i="48" s="1"/>
  <c r="B30" i="48" s="1"/>
  <c r="C30" i="48" l="1"/>
  <c r="D30" i="48" s="1"/>
  <c r="F30" i="48" s="1"/>
  <c r="G30" i="48" s="1"/>
  <c r="B31" i="48" s="1"/>
  <c r="C31" i="48" l="1"/>
  <c r="D31" i="48" s="1"/>
  <c r="F31" i="48" s="1"/>
  <c r="G31" i="48" s="1"/>
  <c r="B32" i="48" s="1"/>
  <c r="C32" i="48" l="1"/>
  <c r="D32" i="48" s="1"/>
  <c r="F32" i="48" s="1"/>
  <c r="G32" i="48" s="1"/>
  <c r="B33" i="48" s="1"/>
  <c r="C33" i="48" l="1"/>
  <c r="D33" i="48" s="1"/>
  <c r="F33" i="48" s="1"/>
  <c r="G33" i="48" s="1"/>
  <c r="B34" i="48" s="1"/>
  <c r="C34" i="48" l="1"/>
  <c r="D34" i="48" s="1"/>
  <c r="F34" i="48" s="1"/>
  <c r="G34" i="48" s="1"/>
  <c r="B35" i="48" s="1"/>
  <c r="C35" i="48" l="1"/>
  <c r="E12" i="52" s="1"/>
  <c r="E14" i="52" s="1"/>
  <c r="D35" i="48" l="1"/>
  <c r="F35" i="48" s="1"/>
  <c r="G35" i="48" s="1"/>
  <c r="B36" i="48" s="1"/>
  <c r="D67" i="76"/>
  <c r="D68" i="76" s="1"/>
  <c r="E52" i="71"/>
  <c r="E41" i="76"/>
  <c r="E15" i="52"/>
  <c r="G87" i="71"/>
  <c r="G88" i="71" s="1"/>
  <c r="G29" i="54" l="1"/>
  <c r="G29" i="74" s="1"/>
  <c r="E16" i="52"/>
  <c r="E17" i="52" s="1"/>
  <c r="I12" i="75"/>
  <c r="C36" i="48"/>
  <c r="G32" i="54" l="1"/>
  <c r="G33" i="54" s="1"/>
  <c r="J32" i="54" s="1"/>
  <c r="H26" i="54"/>
  <c r="T50" i="53"/>
  <c r="T51" i="53" s="1"/>
  <c r="T54" i="53" s="1"/>
  <c r="T55" i="53" s="1"/>
  <c r="E18" i="52"/>
  <c r="E19" i="52" s="1"/>
  <c r="I13" i="75"/>
  <c r="J29" i="74"/>
  <c r="I29" i="74"/>
  <c r="D36" i="48"/>
  <c r="F36" i="48" s="1"/>
  <c r="G36" i="48" s="1"/>
  <c r="B37" i="48" s="1"/>
  <c r="G32" i="74" l="1"/>
  <c r="J32" i="74" s="1"/>
  <c r="G7" i="54"/>
  <c r="I9" i="75"/>
  <c r="U7" i="53"/>
  <c r="U14" i="53" s="1"/>
  <c r="T56" i="53"/>
  <c r="G38" i="54"/>
  <c r="T52" i="53"/>
  <c r="H26" i="74"/>
  <c r="H28" i="54"/>
  <c r="H28" i="74" s="1"/>
  <c r="G36" i="54"/>
  <c r="D13" i="76"/>
  <c r="G5" i="71"/>
  <c r="G9" i="71" s="1"/>
  <c r="C37" i="48"/>
  <c r="J27" i="54"/>
  <c r="J31" i="54"/>
  <c r="J21" i="54"/>
  <c r="J33" i="54"/>
  <c r="J30" i="54"/>
  <c r="G33" i="74"/>
  <c r="J20" i="54"/>
  <c r="H50" i="54"/>
  <c r="J26" i="54"/>
  <c r="J25" i="54"/>
  <c r="J24" i="54"/>
  <c r="J22" i="54"/>
  <c r="J23" i="54"/>
  <c r="J28" i="54"/>
  <c r="J29" i="54"/>
  <c r="I32" i="74" l="1"/>
  <c r="G38" i="74"/>
  <c r="D37" i="48"/>
  <c r="F37" i="48" s="1"/>
  <c r="G37" i="48" s="1"/>
  <c r="B38" i="48" s="1"/>
  <c r="C38" i="48" s="1"/>
  <c r="J9" i="76"/>
  <c r="E13" i="76"/>
  <c r="F13" i="76"/>
  <c r="D22" i="76"/>
  <c r="L28" i="74"/>
  <c r="K28" i="74"/>
  <c r="F39" i="71"/>
  <c r="F13" i="71"/>
  <c r="F25" i="71"/>
  <c r="G22" i="71"/>
  <c r="G39" i="54"/>
  <c r="H37" i="54"/>
  <c r="G36" i="74"/>
  <c r="K26" i="74"/>
  <c r="L26" i="74"/>
  <c r="G11" i="54"/>
  <c r="G7" i="74"/>
  <c r="I33" i="74"/>
  <c r="J33" i="74"/>
  <c r="D38" i="48" l="1"/>
  <c r="F38" i="48" s="1"/>
  <c r="G38" i="48" s="1"/>
  <c r="B39" i="48" s="1"/>
  <c r="C39" i="48" s="1"/>
  <c r="D39" i="48" s="1"/>
  <c r="F39" i="48" s="1"/>
  <c r="G39" i="48" s="1"/>
  <c r="B40" i="48" s="1"/>
  <c r="G39" i="74"/>
  <c r="H51" i="54"/>
  <c r="J34" i="54"/>
  <c r="J39" i="54"/>
  <c r="J37" i="54"/>
  <c r="G40" i="54"/>
  <c r="G40" i="74" s="1"/>
  <c r="J36" i="74"/>
  <c r="I36" i="74"/>
  <c r="J38" i="54"/>
  <c r="G19" i="54"/>
  <c r="I6" i="75"/>
  <c r="I7" i="75" s="1"/>
  <c r="I4" i="75"/>
  <c r="G11" i="74"/>
  <c r="I5" i="75"/>
  <c r="F20" i="76"/>
  <c r="K73" i="76" s="1"/>
  <c r="H25" i="71"/>
  <c r="E22" i="71"/>
  <c r="F95" i="71" s="1"/>
  <c r="H37" i="74"/>
  <c r="I7" i="74"/>
  <c r="J7" i="74"/>
  <c r="J36" i="54"/>
  <c r="J38" i="74"/>
  <c r="I38" i="74"/>
  <c r="I39" i="74" l="1"/>
  <c r="J39" i="74"/>
  <c r="J11" i="54"/>
  <c r="J17" i="54"/>
  <c r="G19" i="74"/>
  <c r="J16" i="54"/>
  <c r="J18" i="54"/>
  <c r="J15" i="54"/>
  <c r="J14" i="54"/>
  <c r="G41" i="54"/>
  <c r="J10" i="54"/>
  <c r="J19" i="54"/>
  <c r="J13" i="54"/>
  <c r="J12" i="54"/>
  <c r="J8" i="54"/>
  <c r="J9" i="54"/>
  <c r="J7" i="54"/>
  <c r="K37" i="74"/>
  <c r="L37" i="74"/>
  <c r="I11" i="74"/>
  <c r="J11" i="74"/>
  <c r="C40" i="48"/>
  <c r="D40" i="48" s="1"/>
  <c r="F40" i="48" s="1"/>
  <c r="G40" i="48" s="1"/>
  <c r="B41" i="48" s="1"/>
  <c r="G41" i="74" l="1"/>
  <c r="G42" i="74" s="1"/>
  <c r="F50" i="54"/>
  <c r="I14" i="75"/>
  <c r="I10" i="75"/>
  <c r="I11" i="75"/>
  <c r="G42" i="54"/>
  <c r="J19" i="74"/>
  <c r="I19" i="74"/>
  <c r="C41" i="48"/>
  <c r="D41" i="48" s="1"/>
  <c r="F41" i="48" s="1"/>
  <c r="G41" i="48" s="1"/>
  <c r="B42" i="48" s="1"/>
  <c r="I51" i="54" l="1"/>
  <c r="I50" i="54"/>
  <c r="C42" i="48"/>
  <c r="D42" i="48" s="1"/>
  <c r="F42" i="48" s="1"/>
  <c r="G42" i="48" s="1"/>
  <c r="B43" i="48" s="1"/>
  <c r="C43" i="48" l="1"/>
  <c r="D43" i="48" s="1"/>
  <c r="F43" i="48" s="1"/>
  <c r="G43" i="48" s="1"/>
  <c r="B44" i="48" s="1"/>
  <c r="C44" i="48" l="1"/>
  <c r="D44" i="48" s="1"/>
  <c r="F44" i="48" s="1"/>
  <c r="G44" i="48" s="1"/>
  <c r="B45" i="48" s="1"/>
  <c r="C45" i="48" l="1"/>
  <c r="D45" i="48" s="1"/>
  <c r="F45" i="48" s="1"/>
  <c r="G45" i="48" s="1"/>
  <c r="B46" i="48" s="1"/>
  <c r="C46" i="48" l="1"/>
  <c r="D46" i="48" s="1"/>
  <c r="F46" i="48" s="1"/>
  <c r="G46" i="48" s="1"/>
  <c r="B47" i="48" s="1"/>
  <c r="C47" i="48" l="1"/>
  <c r="D47" i="48" s="1"/>
  <c r="F47" i="48" s="1"/>
  <c r="G47" i="48" s="1"/>
  <c r="B48" i="48" l="1"/>
  <c r="H29" i="54"/>
  <c r="H32" i="54" l="1"/>
  <c r="H29" i="74"/>
  <c r="C48" i="48"/>
  <c r="D48" i="48" l="1"/>
  <c r="F48" i="48" s="1"/>
  <c r="G48" i="48" s="1"/>
  <c r="B49" i="48" s="1"/>
  <c r="C49" i="48" s="1"/>
  <c r="D49" i="48" s="1"/>
  <c r="F49" i="48" s="1"/>
  <c r="G49" i="48" s="1"/>
  <c r="B50" i="48" s="1"/>
  <c r="F12" i="52"/>
  <c r="F14" i="52" s="1"/>
  <c r="L29" i="74"/>
  <c r="K29" i="74"/>
  <c r="H33" i="54"/>
  <c r="H32" i="74"/>
  <c r="E53" i="71" l="1"/>
  <c r="E42" i="76"/>
  <c r="E67" i="76"/>
  <c r="E68" i="76" s="1"/>
  <c r="F68" i="76" s="1"/>
  <c r="M73" i="76" s="1"/>
  <c r="H87" i="71"/>
  <c r="H88" i="71" s="1"/>
  <c r="K95" i="71" s="1"/>
  <c r="F15" i="52"/>
  <c r="C50" i="48"/>
  <c r="D50" i="48" s="1"/>
  <c r="F50" i="48" s="1"/>
  <c r="G50" i="48" s="1"/>
  <c r="B51" i="48" s="1"/>
  <c r="H33" i="74"/>
  <c r="K31" i="54"/>
  <c r="K27" i="54"/>
  <c r="K30" i="54"/>
  <c r="K20" i="54"/>
  <c r="K21" i="54"/>
  <c r="H52" i="54"/>
  <c r="K33" i="54"/>
  <c r="K24" i="54"/>
  <c r="K25" i="54"/>
  <c r="K26" i="54"/>
  <c r="K22" i="54"/>
  <c r="K23" i="54"/>
  <c r="K28" i="54"/>
  <c r="K29" i="54"/>
  <c r="L32" i="74"/>
  <c r="K32" i="74"/>
  <c r="K32" i="54"/>
  <c r="J12" i="75" l="1"/>
  <c r="F16" i="52"/>
  <c r="U50" i="53" s="1"/>
  <c r="U51" i="53" s="1"/>
  <c r="U54" i="53" s="1"/>
  <c r="U55" i="53" s="1"/>
  <c r="E43" i="76"/>
  <c r="D45" i="76" s="1"/>
  <c r="G73" i="76" s="1"/>
  <c r="E44" i="76"/>
  <c r="D46" i="76" s="1"/>
  <c r="H73" i="76" s="1"/>
  <c r="I49" i="71"/>
  <c r="H49" i="71" s="1"/>
  <c r="G49" i="71" s="1"/>
  <c r="E54" i="71"/>
  <c r="C51" i="48"/>
  <c r="D51" i="48" s="1"/>
  <c r="F51" i="48" s="1"/>
  <c r="G51" i="48" s="1"/>
  <c r="B52" i="48" s="1"/>
  <c r="L33" i="74"/>
  <c r="K33" i="74"/>
  <c r="F17" i="52" l="1"/>
  <c r="J13" i="75" s="1"/>
  <c r="J9" i="75"/>
  <c r="H7" i="54"/>
  <c r="U56" i="53"/>
  <c r="F56" i="71"/>
  <c r="D56" i="71"/>
  <c r="D95" i="71" s="1"/>
  <c r="C52" i="48"/>
  <c r="D52" i="48" s="1"/>
  <c r="F52" i="48" s="1"/>
  <c r="G52" i="48" s="1"/>
  <c r="B53" i="48" s="1"/>
  <c r="F18" i="52" l="1"/>
  <c r="F19" i="52" s="1"/>
  <c r="H11" i="54"/>
  <c r="H7" i="74"/>
  <c r="C53" i="48"/>
  <c r="D53" i="48" s="1"/>
  <c r="F53" i="48" s="1"/>
  <c r="G53" i="48" s="1"/>
  <c r="B54" i="48" s="1"/>
  <c r="U52" i="53" l="1"/>
  <c r="H38" i="54"/>
  <c r="H38" i="74" s="1"/>
  <c r="H11" i="74"/>
  <c r="J4" i="75"/>
  <c r="J6" i="75"/>
  <c r="J7" i="75" s="1"/>
  <c r="H19" i="54"/>
  <c r="K11" i="54" s="1"/>
  <c r="J5" i="75"/>
  <c r="L7" i="74"/>
  <c r="K7" i="74"/>
  <c r="H5" i="71"/>
  <c r="H9" i="71" s="1"/>
  <c r="C33" i="71" s="1"/>
  <c r="H36" i="54"/>
  <c r="D14" i="76"/>
  <c r="D33" i="76" s="1"/>
  <c r="L73" i="76" s="1"/>
  <c r="C54" i="48"/>
  <c r="D54" i="48" s="1"/>
  <c r="F54" i="48" s="1"/>
  <c r="G54" i="48" s="1"/>
  <c r="B55" i="48" s="1"/>
  <c r="H36" i="74" l="1"/>
  <c r="H39" i="54"/>
  <c r="K36" i="54" s="1"/>
  <c r="G39" i="71"/>
  <c r="G12" i="71"/>
  <c r="G25" i="71"/>
  <c r="C42" i="71"/>
  <c r="E33" i="71"/>
  <c r="C34" i="71"/>
  <c r="E42" i="71"/>
  <c r="K10" i="54"/>
  <c r="K18" i="54"/>
  <c r="K17" i="54"/>
  <c r="K19" i="54"/>
  <c r="K13" i="54"/>
  <c r="K12" i="54"/>
  <c r="H19" i="74"/>
  <c r="H41" i="54"/>
  <c r="K16" i="54"/>
  <c r="K15" i="54"/>
  <c r="K8" i="54"/>
  <c r="K9" i="54"/>
  <c r="K14" i="54"/>
  <c r="K7" i="54"/>
  <c r="E14" i="76"/>
  <c r="E15" i="76" s="1"/>
  <c r="D28" i="76" s="1"/>
  <c r="F14" i="76"/>
  <c r="F15" i="76" s="1"/>
  <c r="E28" i="76" s="1"/>
  <c r="K8" i="76"/>
  <c r="D23" i="76"/>
  <c r="K38" i="74"/>
  <c r="L38" i="74"/>
  <c r="L11" i="74"/>
  <c r="K11" i="74"/>
  <c r="C55" i="48"/>
  <c r="D55" i="48" s="1"/>
  <c r="F55" i="48" s="1"/>
  <c r="G55" i="48" s="1"/>
  <c r="B56" i="48" s="1"/>
  <c r="E29" i="76" l="1"/>
  <c r="J73" i="76"/>
  <c r="D29" i="76"/>
  <c r="I73" i="76"/>
  <c r="K19" i="74"/>
  <c r="L19" i="74"/>
  <c r="D33" i="71"/>
  <c r="E95" i="71"/>
  <c r="K39" i="54"/>
  <c r="K34" i="54"/>
  <c r="H39" i="74"/>
  <c r="H53" i="54"/>
  <c r="K37" i="54"/>
  <c r="H40" i="54"/>
  <c r="H42" i="54" s="1"/>
  <c r="K38" i="54"/>
  <c r="D42" i="71"/>
  <c r="H41" i="74"/>
  <c r="J11" i="75"/>
  <c r="J10" i="75"/>
  <c r="J14" i="75"/>
  <c r="G95" i="71"/>
  <c r="G38" i="71"/>
  <c r="G40" i="71" s="1"/>
  <c r="E103" i="71"/>
  <c r="E38" i="71"/>
  <c r="E40" i="71" s="1"/>
  <c r="F38" i="71"/>
  <c r="F40" i="71" s="1"/>
  <c r="L36" i="74"/>
  <c r="K36" i="74"/>
  <c r="C56" i="48"/>
  <c r="D56" i="48" s="1"/>
  <c r="F56" i="48" s="1"/>
  <c r="G56" i="48" s="1"/>
  <c r="B57" i="48" s="1"/>
  <c r="H40" i="71" l="1"/>
  <c r="C40" i="71" s="1"/>
  <c r="H40" i="74"/>
  <c r="H42" i="74" s="1"/>
  <c r="F52" i="54"/>
  <c r="K39" i="74"/>
  <c r="L39" i="74"/>
  <c r="C57" i="48"/>
  <c r="D57" i="48" s="1"/>
  <c r="F57" i="48" s="1"/>
  <c r="G57" i="48" s="1"/>
  <c r="B58" i="48" s="1"/>
  <c r="I53" i="54" l="1"/>
  <c r="I52" i="54"/>
  <c r="C58" i="48"/>
  <c r="D58" i="48" s="1"/>
  <c r="F58" i="48" s="1"/>
  <c r="G58" i="48" s="1"/>
  <c r="B59" i="48" s="1"/>
  <c r="C59" i="48" l="1"/>
  <c r="D59" i="48" s="1"/>
  <c r="F59" i="48" s="1"/>
  <c r="G59" i="48" s="1"/>
  <c r="B60" i="48" s="1"/>
  <c r="C60" i="48" l="1"/>
  <c r="D60" i="48" s="1"/>
  <c r="F60" i="48" s="1"/>
  <c r="G60" i="48" s="1"/>
  <c r="B61" i="48" s="1"/>
  <c r="C61" i="48" l="1"/>
  <c r="D61" i="48" s="1"/>
  <c r="F61" i="48" s="1"/>
  <c r="G61" i="48" s="1"/>
  <c r="B62" i="48" s="1"/>
  <c r="C62" i="48" l="1"/>
  <c r="D62" i="48" s="1"/>
  <c r="F62" i="48" s="1"/>
  <c r="G62" i="48" s="1"/>
  <c r="B63" i="48" s="1"/>
  <c r="C63" i="48" l="1"/>
  <c r="D63" i="48" s="1"/>
  <c r="F63" i="48" s="1"/>
  <c r="G63" i="48" s="1"/>
  <c r="B64" i="48" s="1"/>
  <c r="C64" i="48" l="1"/>
  <c r="D64" i="48" s="1"/>
  <c r="F64" i="48" s="1"/>
  <c r="G64" i="48" s="1"/>
  <c r="B65" i="48" s="1"/>
  <c r="C65" i="48" l="1"/>
  <c r="D65" i="48" s="1"/>
  <c r="F65" i="48" s="1"/>
  <c r="G65" i="48" s="1"/>
  <c r="B66" i="48" s="1"/>
  <c r="C66" i="48" l="1"/>
  <c r="D66" i="48" s="1"/>
  <c r="F66" i="48" s="1"/>
  <c r="G66" i="48" s="1"/>
  <c r="B67" i="48" s="1"/>
  <c r="C67" i="48" l="1"/>
  <c r="D67" i="48" s="1"/>
  <c r="F67" i="48" s="1"/>
  <c r="G67" i="48" s="1"/>
  <c r="B68" i="48" s="1"/>
  <c r="C68" i="48" l="1"/>
  <c r="D68" i="48" s="1"/>
  <c r="F68" i="48" s="1"/>
  <c r="G68" i="48" s="1"/>
  <c r="B69" i="48" s="1"/>
  <c r="C69" i="48" l="1"/>
  <c r="D69" i="48" s="1"/>
  <c r="F69" i="48" s="1"/>
  <c r="G69" i="48" s="1"/>
  <c r="B70" i="48" s="1"/>
  <c r="C70" i="48" l="1"/>
  <c r="D70" i="48" s="1"/>
  <c r="F70" i="48" s="1"/>
  <c r="G70" i="48" s="1"/>
  <c r="B71" i="48" s="1"/>
  <c r="C71" i="48" l="1"/>
  <c r="D71" i="48" l="1"/>
  <c r="C77" i="48"/>
  <c r="F71" i="48" l="1"/>
  <c r="G71" i="48" s="1"/>
  <c r="C73" i="48"/>
  <c r="C75" i="4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jhonatan</author>
  </authors>
  <commentList>
    <comment ref="E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jhonatan:
</t>
        </r>
        <r>
          <rPr>
            <sz val="9"/>
            <color indexed="81"/>
            <rFont val="Tahoma"/>
            <family val="2"/>
          </rPr>
          <t xml:space="preserve">Dominio
Hosting
Correo Corporativo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  <author>windows-10</author>
  </authors>
  <commentList>
    <comment ref="B14" authorId="0" shapeId="0" xr:uid="{00000000-0006-0000-2000-000001000000}">
      <text>
        <r>
          <rPr>
            <sz val="9"/>
            <color indexed="81"/>
            <rFont val="Tahoma"/>
            <family val="2"/>
          </rPr>
          <t xml:space="preserve">DEBE COINCIDIR CON EL CAPITAL DE TRABAJO
</t>
        </r>
      </text>
    </comment>
    <comment ref="D15" authorId="0" shapeId="0" xr:uid="{00000000-0006-0000-2000-000002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NO VAMOS A INVERTIR PORQUE LO PONEN LOS SOCIOS</t>
        </r>
      </text>
    </comment>
    <comment ref="D16" authorId="0" shapeId="0" xr:uid="{00000000-0006-0000-2000-00000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CONSTITUCIÓN EMPRESA, ETC
</t>
        </r>
      </text>
    </comment>
    <comment ref="D43" authorId="0" shapeId="0" xr:uid="{00000000-0006-0000-2000-000004000000}">
      <text>
        <r>
          <rPr>
            <sz val="9"/>
            <color indexed="81"/>
            <rFont val="Tahoma"/>
            <family val="2"/>
          </rPr>
          <t xml:space="preserve">SE PAGA AÑO VENCIDO, ACORDE A TODOS LOS ACTIVOS FIJOS (%)
</t>
        </r>
      </text>
    </comment>
    <comment ref="D44" authorId="0" shapeId="0" xr:uid="{00000000-0006-0000-2000-000005000000}">
      <text>
        <r>
          <rPr>
            <sz val="9"/>
            <color indexed="81"/>
            <rFont val="Tahoma"/>
            <family val="2"/>
          </rPr>
          <t xml:space="preserve">YA SE CONTEMPLO EN LOS GASTOS DE ARRANQUE,
APARECERÍA HASTA EL AÑO 2
</t>
        </r>
      </text>
    </comment>
    <comment ref="D46" authorId="0" shapeId="0" xr:uid="{00000000-0006-0000-2000-000006000000}">
      <text>
        <r>
          <rPr>
            <sz val="9"/>
            <color indexed="81"/>
            <rFont val="Tahoma"/>
            <family val="2"/>
          </rPr>
          <t xml:space="preserve">APARECE EN EL MES 3 PORQUE SE PAGA BIMESTRAL MES VENCIDO
</t>
        </r>
      </text>
    </comment>
    <comment ref="D49" authorId="1" shapeId="0" xr:uid="{00000000-0006-0000-2000-000007000000}">
      <text>
        <r>
          <rPr>
            <sz val="9"/>
            <color indexed="81"/>
            <rFont val="Tahoma"/>
            <family val="2"/>
          </rPr>
          <t>Se paga mes vencido</t>
        </r>
      </text>
    </comment>
    <comment ref="D50" authorId="0" shapeId="0" xr:uid="{00000000-0006-0000-2000-000008000000}">
      <text>
        <r>
          <rPr>
            <sz val="9"/>
            <color indexed="81"/>
            <rFont val="Tahoma"/>
            <family val="2"/>
          </rPr>
          <t>EL QUE ESTA EN LA ANTERIOR MATRIZ PARA EL AÑO 1 SE COLOCA AQUÍ PARA EL AÑO 2 PORQUE SE PAGA VENCIDO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tc={2C16C10E-0A93-40DD-8C6A-DE7A2808C9B6}</author>
  </authors>
  <commentList>
    <comment ref="B32" authorId="0" shapeId="0" xr:uid="{00000000-0006-0000-2300-000001000000}">
      <text>
        <r>
          <rPr>
            <sz val="11"/>
            <color theme="1"/>
            <rFont val="Gill Sans MT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Inversión Inicial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  <author>windows-10</author>
  </authors>
  <commentList>
    <comment ref="C7" authorId="0" shapeId="0" xr:uid="{00000000-0006-0000-0700-000001000000}">
      <text>
        <r>
          <rPr>
            <sz val="11"/>
            <color theme="1"/>
            <rFont val="Gill Sans MT"/>
            <family val="2"/>
            <scheme val="minor"/>
          </rPr>
          <t>Suma final de todos los documentos en la tabla derecha (2022)</t>
        </r>
      </text>
    </comment>
    <comment ref="C8" authorId="0" shapeId="0" xr:uid="{00000000-0006-0000-0700-000002000000}">
      <text>
        <r>
          <rPr>
            <sz val="9"/>
            <color indexed="81"/>
            <rFont val="Tahoma"/>
            <family val="2"/>
          </rPr>
          <t xml:space="preserve">primer año es 2 SMDLV diarios y los siguientes años se paga el 1% del impuesto ICA + 1SMDLV diario.
</t>
        </r>
      </text>
    </comment>
    <comment ref="C9" authorId="1" shapeId="0" xr:uid="{1B5187DF-2553-41A2-8AB4-623E35FC2E74}">
      <text>
        <r>
          <rPr>
            <sz val="9"/>
            <color indexed="81"/>
            <rFont val="Tahoma"/>
            <family val="2"/>
          </rPr>
          <t>Costo de registro de marca año 2022</t>
        </r>
      </text>
    </comment>
    <comment ref="F14" authorId="1" shapeId="0" xr:uid="{DB53621B-21AD-4B94-83BC-4371FB0F6B04}">
      <text>
        <r>
          <rPr>
            <b/>
            <sz val="9"/>
            <color indexed="81"/>
            <rFont val="Tahoma"/>
            <family val="2"/>
          </rPr>
          <t>windows-10:</t>
        </r>
        <r>
          <rPr>
            <sz val="9"/>
            <color indexed="81"/>
            <rFont val="Tahoma"/>
            <family val="2"/>
          </rPr>
          <t xml:space="preserve">
La amortización sube o baja??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windows-10</author>
  </authors>
  <commentList>
    <comment ref="E26" authorId="0" shapeId="0" xr:uid="{54E15B56-252D-45C3-8C4B-DCE12F8CF247}">
      <text>
        <r>
          <rPr>
            <b/>
            <sz val="9"/>
            <color indexed="81"/>
            <rFont val="Tahoma"/>
            <charset val="1"/>
          </rPr>
          <t>windows-10:</t>
        </r>
        <r>
          <rPr>
            <sz val="9"/>
            <color indexed="81"/>
            <rFont val="Tahoma"/>
            <charset val="1"/>
          </rPr>
          <t xml:space="preserve">
Sacarlos nuevamente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B24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Pagar horas extra diurnas si hay déficit, y se pueden hasta 48h.
Si el déficit es &gt;9 un, se debe pagar hora extra dominical o festiva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F20" authorId="0" shapeId="0" xr:uid="{00000000-0006-0000-1100-000001000000}">
      <text>
        <r>
          <rPr>
            <sz val="9"/>
            <color indexed="81"/>
            <rFont val="Tahoma"/>
            <family val="2"/>
          </rPr>
          <t>Incluye Aux. transporte</t>
        </r>
      </text>
    </comment>
    <comment ref="F21" authorId="0" shapeId="0" xr:uid="{00000000-0006-0000-1100-000002000000}">
      <text>
        <r>
          <rPr>
            <sz val="9"/>
            <color indexed="81"/>
            <rFont val="Tahoma"/>
            <family val="2"/>
          </rPr>
          <t>Incluye Aux. transporte</t>
        </r>
      </text>
    </comment>
    <comment ref="F22" authorId="0" shapeId="0" xr:uid="{00000000-0006-0000-1100-000003000000}">
      <text>
        <r>
          <rPr>
            <sz val="9"/>
            <color indexed="81"/>
            <rFont val="Tahoma"/>
            <family val="2"/>
          </rPr>
          <t>Incluye Aux. transporte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windows-10</author>
  </authors>
  <commentList>
    <comment ref="H5" authorId="0" shapeId="0" xr:uid="{0E1B536E-3EFA-4228-8A0B-801DC9BC411F}">
      <text>
        <r>
          <rPr>
            <b/>
            <sz val="9"/>
            <color indexed="81"/>
            <rFont val="Tahoma"/>
            <family val="2"/>
          </rPr>
          <t>EL INCREMENTO DEL SALARIO MINIMO PARA EL AÑO SIGUIENTE ES EL IPC+2 PUNTOS PORCENTUALES</t>
        </r>
      </text>
    </comment>
    <comment ref="I5" authorId="0" shapeId="0" xr:uid="{76AEC0C1-64CE-43A5-B342-594F36AA005C}">
      <text>
        <r>
          <rPr>
            <b/>
            <sz val="9"/>
            <color indexed="81"/>
            <rFont val="Tahoma"/>
            <family val="2"/>
          </rPr>
          <t>EL INCREMENTO DEL SALARIO MINIMO PARA EL AÑO SIGUIENTE ES EL IPC+2 PUNTOS PORCENTUALES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windows-10</author>
  </authors>
  <commentList>
    <comment ref="C14" authorId="0" shapeId="0" xr:uid="{ADBE7179-5F29-4436-A708-20671CADD5B5}">
      <text>
        <r>
          <rPr>
            <b/>
            <sz val="9"/>
            <color indexed="81"/>
            <rFont val="Tahoma"/>
            <family val="2"/>
          </rPr>
          <t>No se paga según la ley 1780 de 2016, por ser jóvenes empresarios menores de 35 años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tc={15BBCB39-9EB9-44AF-89DA-46CB5F248247}</author>
    <author>jhonatan</author>
  </authors>
  <commentList>
    <comment ref="O14" authorId="0" shapeId="0" xr:uid="{00000000-0006-0000-1900-000001000000}">
      <text>
        <r>
          <rPr>
            <sz val="11"/>
            <color theme="1"/>
            <rFont val="Gill Sans MT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Se suma el Impuesto de industria y comercio de todos los meses del año y como se paga mes vencido adicionalmente sumamos los dos últimos meses que se pagarían el primer mes del siguiente año</t>
        </r>
      </text>
    </comment>
    <comment ref="P16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jhonatan:</t>
        </r>
        <r>
          <rPr>
            <sz val="9"/>
            <color indexed="81"/>
            <rFont val="Tahoma"/>
            <family val="2"/>
          </rPr>
          <t xml:space="preserve">
industria comercio
siguiente año se paga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windows-10</author>
  </authors>
  <commentList>
    <comment ref="D8" authorId="0" shapeId="0" xr:uid="{0E7CF251-0C89-41CC-9368-B45CD2548261}">
      <text>
        <r>
          <rPr>
            <b/>
            <sz val="9"/>
            <color indexed="81"/>
            <rFont val="Tahoma"/>
            <family val="2"/>
          </rPr>
          <t>Se tienen ingresos no operacionales de asesorias 3 horas cada una y se proyectan 2 al mes con un valor de 150mil</t>
        </r>
      </text>
    </comment>
  </commentList>
</comments>
</file>

<file path=xl/sharedStrings.xml><?xml version="1.0" encoding="utf-8"?>
<sst xmlns="http://schemas.openxmlformats.org/spreadsheetml/2006/main" count="1692" uniqueCount="911">
  <si>
    <t>Objetivos a cumplir</t>
  </si>
  <si>
    <t>Análisis externo</t>
  </si>
  <si>
    <t>Oportunidades</t>
  </si>
  <si>
    <t>Amenazas</t>
  </si>
  <si>
    <t>O1: Incursionar adecuadamente en el mercado</t>
  </si>
  <si>
    <t>O1: Potencial de crecimiento acelerado.</t>
  </si>
  <si>
    <t>A1: Gran cantidad de competidores en el mercado</t>
  </si>
  <si>
    <t>O2: Mantener relaciones duraderas con el cliente</t>
  </si>
  <si>
    <t>O2: Confianza con la organización del cliente.</t>
  </si>
  <si>
    <t>A2: Posibilidad del cliente para cambiar rapidamente de proveedor de este servicio.</t>
  </si>
  <si>
    <t>O3: Lograr resultados efectivos en el cliente.</t>
  </si>
  <si>
    <t>O3: Información sobre ell mercado potencial del cliente.</t>
  </si>
  <si>
    <t>A3: Entorno del cliente muy cambiante, lo cual permite tener menos control en el proceso.</t>
  </si>
  <si>
    <t>O4: Constituir legalmente la empresa</t>
  </si>
  <si>
    <t>O4: Información del proceso en internet.</t>
  </si>
  <si>
    <t>A4: Posible dificultad en cumplir todos los requisitos legales.</t>
  </si>
  <si>
    <t>O5: Estrategias de mercadeo efectivas</t>
  </si>
  <si>
    <t>O5: Conocimiento actualizado en técnicas que funcionan.</t>
  </si>
  <si>
    <t>A5: Estrategias disponibles también para la competencia.</t>
  </si>
  <si>
    <t>Debilidades</t>
  </si>
  <si>
    <t>Estrategia OD</t>
  </si>
  <si>
    <t>Estrategias AD</t>
  </si>
  <si>
    <t xml:space="preserve">D1: Poca experiencia en el mercado. </t>
  </si>
  <si>
    <t>O1D1: Trabajar con clientes rápidamente para lograr adquirir conocimeinto y experiencia en el mercado.</t>
  </si>
  <si>
    <t>A1D1: Generar alianzas con competidores para incursionar adecuadamente.</t>
  </si>
  <si>
    <t>D2: Pequeña estructura de la empresa.</t>
  </si>
  <si>
    <t xml:space="preserve">O2D2: Mostrar contenido de mucho valor que le demuestre al cliente que no se necesita ser grande para tener resultados. </t>
  </si>
  <si>
    <t xml:space="preserve">A2D2:  Brindar garantias al cliente de manera que prefiera continuar con nosotros. </t>
  </si>
  <si>
    <t>D3: Desconocimiento de la estructura de la empresa del cliente.</t>
  </si>
  <si>
    <t>O3D3: Generar confianza estudiando el mercado del cliente antes que el lo haga.</t>
  </si>
  <si>
    <t>A3D3: Implementar estrategias de marketing a través de medios adecuados.</t>
  </si>
  <si>
    <t xml:space="preserve">D4:Desconocimiento  de los procedimientos relacionados a la constitución legal de la empresa. </t>
  </si>
  <si>
    <t>O4D4: Realizar un estudio con el objetivo de determinar que servicios sustitos se encuentran en el mercado</t>
  </si>
  <si>
    <t>A4D4:  Garantizar  el valor agregado del servicio de instalación y mantenimiento de aire acondicionado.</t>
  </si>
  <si>
    <t>D5: Algunas estrategias aún no han sido probadas.</t>
  </si>
  <si>
    <t>O5D5: Aplicar el conocimiento con el cliente aceleradamente pero teniendo el control.</t>
  </si>
  <si>
    <t xml:space="preserve">A5D5: Implementar estrategias poniendo su aporte diferenciador respecto a la competencia. </t>
  </si>
  <si>
    <t>Fortalezas</t>
  </si>
  <si>
    <t>Estrategia FO</t>
  </si>
  <si>
    <t>Estrategia FA</t>
  </si>
  <si>
    <t xml:space="preserve">F1: Conocimiento en penetracón del mercado. </t>
  </si>
  <si>
    <t>F1O1: Aprovechar los conocimientos y la cantidad de clientes existentes.</t>
  </si>
  <si>
    <t>F1A1: Brindar nuestra ayuda a los clientes antes de concretar un negocio.</t>
  </si>
  <si>
    <t>F2: Enfoque en crear amistad con el cliente</t>
  </si>
  <si>
    <t>F2O2: Enfocarse en aumentar la relación de amistad con el cliente.</t>
  </si>
  <si>
    <t>F2A2: Demostrar un enfoque geuino en el crecimiento del cliente.</t>
  </si>
  <si>
    <t>F3: Dispocisión de estrategias que generan resultados.</t>
  </si>
  <si>
    <t>F3O3: Unir los conocimientos del cliente con estrategias innvadoras de marketing.</t>
  </si>
  <si>
    <t>F3A3:Implementar estrategias y mejorar rápidamente sobre la marcha.</t>
  </si>
  <si>
    <t>F4: Asesoramiento por parte de alguíen que ya realizó el proceso</t>
  </si>
  <si>
    <t>F4O4: Implementar adecuadamente el proceso de papeleo.</t>
  </si>
  <si>
    <t>F4A4:  Trabajar en cumplir y encontrar todos los requisitos que se piden.</t>
  </si>
  <si>
    <t>F5: Conocimiento de las estrategias que se encuentran en tendencia actualmente.</t>
  </si>
  <si>
    <t>F5O5: Generar estrategias innovadoras que generan resultados inmediatos.</t>
  </si>
  <si>
    <t xml:space="preserve">F5A5: Crear planes de trabajo únicos enfocado en el mercado del cliente. </t>
  </si>
  <si>
    <t>SECCIÓN ESTRATÉGICA</t>
  </si>
  <si>
    <t>SECCIÓN OPERATIVA</t>
  </si>
  <si>
    <t>SECCIÓN DE EJECUCIÓN Y CONTROL</t>
  </si>
  <si>
    <t>OBJETIVO GENERAL</t>
  </si>
  <si>
    <t xml:space="preserve">OBJETIVO ESPECÍFICO </t>
  </si>
  <si>
    <t>ESTRATEGÍAS</t>
  </si>
  <si>
    <t>METAS</t>
  </si>
  <si>
    <t>ACTIVIDADES</t>
  </si>
  <si>
    <t>UNIDAD DE MEDIDA</t>
  </si>
  <si>
    <t>RESPONSABLE</t>
  </si>
  <si>
    <t>PRESUPUESTO</t>
  </si>
  <si>
    <t>CRONOGRAMA</t>
  </si>
  <si>
    <t>EJECUCIÓN</t>
  </si>
  <si>
    <t>SUPERVISIÓN</t>
  </si>
  <si>
    <t>$</t>
  </si>
  <si>
    <t>%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</si>
  <si>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</si>
  <si>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</si>
  <si>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</si>
  <si>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</si>
  <si>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</si>
  <si>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</si>
  <si>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</si>
  <si>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</si>
  <si>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</si>
  <si>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</si>
  <si>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</si>
  <si>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</si>
  <si>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TOTAL</t>
  </si>
  <si>
    <t>Incursionar aceleradamente en el mercado y mantener el crecimiento de marca con el tiempo.</t>
  </si>
  <si>
    <t>O1. Incursionar adecuadamente en el mercado.</t>
  </si>
  <si>
    <t>F1O1: Aprovechar el conocimiento y la cantidad de clientes existentes.</t>
  </si>
  <si>
    <t>Ser una marca reconocida dentro de la industria de agencias digitales</t>
  </si>
  <si>
    <t>Elaborar un estudio de mercado</t>
  </si>
  <si>
    <t>Informe de estudio de mercado</t>
  </si>
  <si>
    <t>Gerente General</t>
  </si>
  <si>
    <t>Junta directiva</t>
  </si>
  <si>
    <t>Establecer los nichos de mercado</t>
  </si>
  <si>
    <t>Informe de analisis del Buyer persona</t>
  </si>
  <si>
    <t>Gerente comercial</t>
  </si>
  <si>
    <t>Definir especificaciones técnicas del servicio</t>
  </si>
  <si>
    <t>Página de servicios</t>
  </si>
  <si>
    <t>Generar contenido de valor junto con otras empresas de la industria</t>
  </si>
  <si>
    <t>Cantidad de seguidores en redes sociales</t>
  </si>
  <si>
    <t>Gerente de operaciones</t>
  </si>
  <si>
    <t>=</t>
  </si>
  <si>
    <t>Obtener clientes constantemente y consolidar los presentes</t>
  </si>
  <si>
    <t>Subir contenido de valor con frecuencia a las redes sociales</t>
  </si>
  <si>
    <t>Cantidad de interacciones en la publicaciones</t>
  </si>
  <si>
    <t>Lanzar campañas constantemente para la captación de clientes</t>
  </si>
  <si>
    <t>Numero de leads por campaña publicitaria</t>
  </si>
  <si>
    <t>Gerente comercial y de Operaciones</t>
  </si>
  <si>
    <t>A2D2:  Brindar garantias al cliente de manera que prefiera continuar con nosotros.</t>
  </si>
  <si>
    <t>Generar testimonios de los cambios percibidos en el cliente</t>
  </si>
  <si>
    <t>O2D2: Mostrar contenido de mucho valor que le demuestre al cliente que no se necesita ser grande para tener resultados.</t>
  </si>
  <si>
    <t>Realizar sesiones en vivo de preguntas y respuestas</t>
  </si>
  <si>
    <t>Unidades mensuales</t>
  </si>
  <si>
    <t xml:space="preserve">Aumentar el reconocimiento del cliente dentro de su nicho de mercado </t>
  </si>
  <si>
    <t>Plantear planes de acción de la mano del cliente</t>
  </si>
  <si>
    <t>Informes de plan de acción</t>
  </si>
  <si>
    <t>Probar multiples estrategias de contenido y mejorarlas según la interacción</t>
  </si>
  <si>
    <t>Campañas publicitarias</t>
  </si>
  <si>
    <t>Utilizar las herramientas disponibles para realizar e implementar el contenido adecuadamente</t>
  </si>
  <si>
    <t>Unidades de creativos diseñados</t>
  </si>
  <si>
    <t>Analizar el nicho de mercado de los posibles clientes</t>
  </si>
  <si>
    <t>Cantidad de clientes</t>
  </si>
  <si>
    <t>Obtener registros legales de la empresa</t>
  </si>
  <si>
    <t>Obtener NIT</t>
  </si>
  <si>
    <t>Formato 1648</t>
  </si>
  <si>
    <t>Gerente general</t>
  </si>
  <si>
    <t>Obtener RUT</t>
  </si>
  <si>
    <t>Documento RUT</t>
  </si>
  <si>
    <t>Obtener Certificado de constitución CCB</t>
  </si>
  <si>
    <t>Documento de Certificado de CCB</t>
  </si>
  <si>
    <t>Realizar Apertura de cuenta</t>
  </si>
  <si>
    <t>Certificado de apertura</t>
  </si>
  <si>
    <t>Matenerse actualizado en las estrategias del mercado digital</t>
  </si>
  <si>
    <t>Estudiar las estrategias que funcionan en la actualidad</t>
  </si>
  <si>
    <t>Clases estudiadas e implementadas</t>
  </si>
  <si>
    <t>Gerente de operaciones y comercial</t>
  </si>
  <si>
    <t>Seducir al cliente en vez de convencerlo</t>
  </si>
  <si>
    <t>Implementar y optimizar las estrategias planteadas</t>
  </si>
  <si>
    <t>TOTALES</t>
  </si>
  <si>
    <t>Empleos generados</t>
  </si>
  <si>
    <t>PROYECCIÓN DEMANDA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</si>
  <si>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</si>
  <si>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</si>
  <si>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</si>
  <si>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</si>
  <si>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</si>
  <si>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</si>
  <si>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</si>
  <si>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</si>
  <si>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</si>
  <si>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</si>
  <si>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</si>
  <si>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Dic</t>
  </si>
  <si>
    <t>ORGÁNICO</t>
  </si>
  <si>
    <t>MIXTO</t>
  </si>
  <si>
    <t>Proyección Incremento Anual Demanda</t>
  </si>
  <si>
    <t>% Variación</t>
  </si>
  <si>
    <t xml:space="preserve">AÑO </t>
  </si>
  <si>
    <t># unidades</t>
  </si>
  <si>
    <t>IPC</t>
  </si>
  <si>
    <t>AÑO 1</t>
  </si>
  <si>
    <t>PLAN ORGÁNICO</t>
  </si>
  <si>
    <t>PLAN MIXTO</t>
  </si>
  <si>
    <t>AÑO 2</t>
  </si>
  <si>
    <t>AÑO 3</t>
  </si>
  <si>
    <t>Población objetivo</t>
  </si>
  <si>
    <t>0.05</t>
  </si>
  <si>
    <t>FMGj=</t>
  </si>
  <si>
    <t>Demanda</t>
  </si>
  <si>
    <t>Límite Superior</t>
  </si>
  <si>
    <t>Límite Inferior</t>
  </si>
  <si>
    <t>Demanda Dinámica</t>
  </si>
  <si>
    <t>PRESUPUESTO DE INVERSIÓN DE ADMINISTRATIVOS</t>
  </si>
  <si>
    <t xml:space="preserve">Concepto  </t>
  </si>
  <si>
    <t>Valor total. $</t>
  </si>
  <si>
    <t>Unidad</t>
  </si>
  <si>
    <t xml:space="preserve">Cantidad </t>
  </si>
  <si>
    <t>Valor und. $</t>
  </si>
  <si>
    <t>Operacionales</t>
  </si>
  <si>
    <t>Página Web</t>
  </si>
  <si>
    <t>Und.</t>
  </si>
  <si>
    <t>Administrativos</t>
  </si>
  <si>
    <t>Computadores</t>
  </si>
  <si>
    <t>Escritorios</t>
  </si>
  <si>
    <t>Sillas escritorio</t>
  </si>
  <si>
    <t>SMMLV</t>
  </si>
  <si>
    <t xml:space="preserve">Sillas </t>
  </si>
  <si>
    <t>Total Inversión en Activos Fijos</t>
  </si>
  <si>
    <t>Cantidad de salarios</t>
  </si>
  <si>
    <t>SOFTWARE Y SUSCRIPCIONES</t>
  </si>
  <si>
    <t>Valor Ud. $</t>
  </si>
  <si>
    <t>WordPress</t>
  </si>
  <si>
    <t>Photoshop</t>
  </si>
  <si>
    <t>Canva</t>
  </si>
  <si>
    <t>Movie Maker</t>
  </si>
  <si>
    <t>OBS Studio</t>
  </si>
  <si>
    <t>OTROS PROGRAMAS</t>
  </si>
  <si>
    <t>Hootsuite</t>
  </si>
  <si>
    <t>Google Analitycs</t>
  </si>
  <si>
    <t>INSUMOS DE OFICINA</t>
  </si>
  <si>
    <t>Papelería</t>
  </si>
  <si>
    <t>Cafetera</t>
  </si>
  <si>
    <t>Implementos Oficina</t>
  </si>
  <si>
    <t>Total</t>
  </si>
  <si>
    <t>TABLA DEPRECIACIÓN</t>
  </si>
  <si>
    <t>DEPRECIACIÓN DE ACTIVOS FIJOS</t>
  </si>
  <si>
    <t>Concepto</t>
  </si>
  <si>
    <t>Años</t>
  </si>
  <si>
    <t xml:space="preserve">Concepto </t>
  </si>
  <si>
    <t xml:space="preserve">Valor Actual </t>
  </si>
  <si>
    <t>Vida útil (años)</t>
  </si>
  <si>
    <t>Valor residual</t>
  </si>
  <si>
    <t>DEPRECIACIÓN ACUMULADA</t>
  </si>
  <si>
    <t>Edificios e instalaciones</t>
  </si>
  <si>
    <t xml:space="preserve">Año 1 </t>
  </si>
  <si>
    <t xml:space="preserve">Año 2 </t>
  </si>
  <si>
    <t>Año 3</t>
  </si>
  <si>
    <t>Año 4</t>
  </si>
  <si>
    <t>Año 5</t>
  </si>
  <si>
    <t>Año 6</t>
  </si>
  <si>
    <t>Año 7</t>
  </si>
  <si>
    <t>Maquinaria y equipo</t>
  </si>
  <si>
    <t>3-10</t>
  </si>
  <si>
    <t>Vehículos</t>
  </si>
  <si>
    <t>Electrodomésticos</t>
  </si>
  <si>
    <t>1-3</t>
  </si>
  <si>
    <t>TIC´s</t>
  </si>
  <si>
    <t>1-2</t>
  </si>
  <si>
    <t>Muebles y enseres</t>
  </si>
  <si>
    <t>5-10</t>
  </si>
  <si>
    <t>Software Especializado</t>
  </si>
  <si>
    <t>Otros Programas</t>
  </si>
  <si>
    <t>RESUMEN DEPRECIACIONES</t>
  </si>
  <si>
    <t>Año 1</t>
  </si>
  <si>
    <t>Año 2</t>
  </si>
  <si>
    <t>Página web</t>
  </si>
  <si>
    <t>RESUMEN DEPRECIACIONES ACUMULADAS</t>
  </si>
  <si>
    <t>INVERSIONES INTANGIBLES O GASTOS DE ARRANQUE</t>
  </si>
  <si>
    <t>Costo</t>
  </si>
  <si>
    <t>Porcentaje</t>
  </si>
  <si>
    <t>Inscripción y registro mercantil</t>
  </si>
  <si>
    <t>Costos de Inscripción y registro mercantil en CCB</t>
  </si>
  <si>
    <t>Registro mercantil</t>
  </si>
  <si>
    <t xml:space="preserve">Aporte a bomberos (pago anticipado de 1er año.) </t>
  </si>
  <si>
    <t>Derecho de actos</t>
  </si>
  <si>
    <t>Registro de Marca (superintendencia de industria y comercio- SIC)</t>
  </si>
  <si>
    <t>Registro en libros</t>
  </si>
  <si>
    <t>Formulario Rues</t>
  </si>
  <si>
    <t xml:space="preserve">Total Inversiones Intangibles o Gastos de Arranque </t>
  </si>
  <si>
    <t>Derechos por registro</t>
  </si>
  <si>
    <t>AMORTIZACIÓN DE INTANGIBLES</t>
  </si>
  <si>
    <t xml:space="preserve">Valor Actual $ </t>
  </si>
  <si>
    <t>Periodo (años)</t>
  </si>
  <si>
    <t>Periodo Amortizado</t>
  </si>
  <si>
    <t>Año 0</t>
  </si>
  <si>
    <t xml:space="preserve">Inversiones Intangibles o gastos de arranque </t>
  </si>
  <si>
    <t xml:space="preserve"> </t>
  </si>
  <si>
    <t xml:space="preserve"> HISTÓRICO IPC</t>
  </si>
  <si>
    <t>Y</t>
  </si>
  <si>
    <t>X</t>
  </si>
  <si>
    <t>Año (x)</t>
  </si>
  <si>
    <t>IPC (y)</t>
  </si>
  <si>
    <t xml:space="preserve">AÑO 1 </t>
  </si>
  <si>
    <t>Ítem</t>
  </si>
  <si>
    <t>Descripción</t>
  </si>
  <si>
    <t>Cantidad</t>
  </si>
  <si>
    <t>V. Unitario</t>
  </si>
  <si>
    <t>Valor Total AÑO 1</t>
  </si>
  <si>
    <t>Valor Total AÑO 2</t>
  </si>
  <si>
    <t>Valor Total AÑO 3</t>
  </si>
  <si>
    <t>COSTO ANUAL</t>
  </si>
  <si>
    <t>CREACIÓN PIEZAS GRÁFICAS</t>
  </si>
  <si>
    <t>Mockups página web</t>
  </si>
  <si>
    <t>Und</t>
  </si>
  <si>
    <t>Capacidad total mensual plan orgánico</t>
  </si>
  <si>
    <t>Dominio+Hosting</t>
  </si>
  <si>
    <t>Certificado SSL</t>
  </si>
  <si>
    <t>Meses en el año</t>
  </si>
  <si>
    <t>Correo Corporativo</t>
  </si>
  <si>
    <t xml:space="preserve">WORDPRESS Editor </t>
  </si>
  <si>
    <t>Imágenes en Photoshop</t>
  </si>
  <si>
    <t>Imágenes en Canva</t>
  </si>
  <si>
    <t>Videos Movie maker</t>
  </si>
  <si>
    <t>Grabaciones y videos OBS Studio</t>
  </si>
  <si>
    <t>Total Creación de piezas</t>
  </si>
  <si>
    <t>ANÁLISIS DE MÉTRICAS</t>
  </si>
  <si>
    <t>Google Analitics</t>
  </si>
  <si>
    <t>Total análisis de métricas</t>
  </si>
  <si>
    <t>ESTRATEGIA EN REDES</t>
  </si>
  <si>
    <t>Total estrategia de redes</t>
  </si>
  <si>
    <t>Subtotal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</si>
  <si>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</si>
  <si>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</si>
  <si>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</si>
  <si>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</si>
  <si>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</si>
  <si>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</si>
  <si>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</si>
  <si>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</si>
  <si>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</si>
  <si>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</si>
  <si>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</si>
  <si>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</si>
  <si>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Capacidad total mensual plan mixto</t>
  </si>
  <si>
    <t xml:space="preserve">Total creación de piezas </t>
  </si>
  <si>
    <t>Google Data Studio</t>
  </si>
  <si>
    <t>Imágenes en photoshop Campañas</t>
  </si>
  <si>
    <t>Videos Movie Maker Campañas</t>
  </si>
  <si>
    <t>Conocimiento Administrador de anuncios</t>
  </si>
  <si>
    <t>Total estrategia en redes</t>
  </si>
  <si>
    <t>Tipo de Plan</t>
  </si>
  <si>
    <t>Puestos de trabajo</t>
  </si>
  <si>
    <t>No. Personas</t>
  </si>
  <si>
    <t>Tiempo por Ud. Producto terminado</t>
  </si>
  <si>
    <t>Minutos</t>
  </si>
  <si>
    <t>Horas</t>
  </si>
  <si>
    <t>NOTAS</t>
  </si>
  <si>
    <t>6-7 DIAS NOS DEMORAMOS EN REALIZAR EL CONTENIDO DE 1 CLIENTE</t>
  </si>
  <si>
    <t xml:space="preserve">EL TRABAJO SE DIVIDE EN 4 PERSONAS POR ESTA RAZON SE PUEDEN HACER VARIOS TRABAJOS AL TIEMPO </t>
  </si>
  <si>
    <t>Capacidad (promedio) PLAN ORGÁNICO</t>
  </si>
  <si>
    <t>Resumen capacidad mensual plan orgánico</t>
  </si>
  <si>
    <t>EL TIEMPO RESTANTE EN LA CAPACIDAD SE EMPLEARÁ PARA CREAR CONTENIDO PARA LAS REDES SOCIALES DE LA EMPRESA, YA QUE LOS INTEGRANTES SON POLIVALENTES</t>
  </si>
  <si>
    <t>Tiempo</t>
  </si>
  <si>
    <t>No. H</t>
  </si>
  <si>
    <t>No. Unidades</t>
  </si>
  <si>
    <t>Equipo</t>
  </si>
  <si>
    <t>Hora</t>
  </si>
  <si>
    <t>Producción mensual</t>
  </si>
  <si>
    <t>Día</t>
  </si>
  <si>
    <t>Semana (6 días)</t>
  </si>
  <si>
    <t xml:space="preserve">Turno </t>
  </si>
  <si>
    <t>Horario</t>
  </si>
  <si>
    <t>Mensual (4 semanas)</t>
  </si>
  <si>
    <t>Oficina</t>
  </si>
  <si>
    <t>8 AM - 5 PM</t>
  </si>
  <si>
    <t>Capacidad (promedio) PLAN MIXTO</t>
  </si>
  <si>
    <t>Resumen Capacidad mensual plan mixto</t>
  </si>
  <si>
    <t>POLÍTICAS DE DISTRIBUCIÓN DE CARGA LABORAL EN HORAS EXTRA</t>
  </si>
  <si>
    <t>h</t>
  </si>
  <si>
    <t>PLAN ORGANICO</t>
  </si>
  <si>
    <t>No. Max. H Extras Diurnas / mes</t>
  </si>
  <si>
    <t>No. Max. H Extras Nocturnas / mes</t>
  </si>
  <si>
    <t>EQUIPO DE PERSONAS</t>
  </si>
  <si>
    <t>No. Max. H Dominicales o Festivas / mes</t>
  </si>
  <si>
    <t>No. Max. H Extras Dominicales o Festivas Diurnas / mes</t>
  </si>
  <si>
    <t>No. Max. H Extras Dominicales o Festivas Nocturnas / mes</t>
  </si>
  <si>
    <t>MATRIZ DE ATENCIÓN DE LA DEMANDA  PARA LOS DOS PLANES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</si>
  <si>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</si>
  <si>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</si>
  <si>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</si>
  <si>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</si>
  <si>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</si>
  <si>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</si>
  <si>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</si>
  <si>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</si>
  <si>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</si>
  <si>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</si>
  <si>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</si>
  <si>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</si>
  <si>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DEMANDA PLAN ORGANICO(Und.)</t>
  </si>
  <si>
    <t>DEMANDA PLAN MIXTO (Und.)</t>
  </si>
  <si>
    <t>CAPACIDAD PLAN ORGANICO (Und.)</t>
  </si>
  <si>
    <t>CAPACIDAD PLAN MIXTO (Und.)</t>
  </si>
  <si>
    <t xml:space="preserve">HORAS </t>
  </si>
  <si>
    <t>PORCENTAJE</t>
  </si>
  <si>
    <t>DEMANDA PLAN ORGANICO(horas)</t>
  </si>
  <si>
    <t>DEMANDA  PLAN MIXTO (horas)</t>
  </si>
  <si>
    <t>DEMANDA TOTAL (horas)</t>
  </si>
  <si>
    <t>CAPACIDAD TOTAL (horas)</t>
  </si>
  <si>
    <t>SUBUTILIZACIÓN</t>
  </si>
  <si>
    <t>Déficit 1 Plan Orgánico</t>
  </si>
  <si>
    <t>Horas Extra Diurnas</t>
  </si>
  <si>
    <t>Producción Horas Extra Diurnas</t>
  </si>
  <si>
    <t>Déficit 2</t>
  </si>
  <si>
    <t>Horas Extra Domingo/Festivas Diurnas</t>
  </si>
  <si>
    <t>Déficit 3</t>
  </si>
  <si>
    <t>Valor de SMMLV para el empleador</t>
  </si>
  <si>
    <t>SMMLV (2022)</t>
  </si>
  <si>
    <t>Cargo</t>
  </si>
  <si>
    <t>TOTAL MENSUAL</t>
  </si>
  <si>
    <t>Anual</t>
  </si>
  <si>
    <t>Salario</t>
  </si>
  <si>
    <t>Sub. Transporte</t>
  </si>
  <si>
    <t>Sub.Transporte (2022)</t>
  </si>
  <si>
    <t>Pres. sociales</t>
  </si>
  <si>
    <t>Prestaciones sociales mensuales aplicables al SMMLV</t>
  </si>
  <si>
    <t>APORTES EMPRESA</t>
  </si>
  <si>
    <t>Frecuencia de pagos</t>
  </si>
  <si>
    <t>% Mensual empresa</t>
  </si>
  <si>
    <t>% Aporte empleado</t>
  </si>
  <si>
    <t>Gerente Comercial</t>
  </si>
  <si>
    <t>Gerente de Operaciones</t>
  </si>
  <si>
    <t>Desarrollador</t>
  </si>
  <si>
    <t>Honorarios Contador</t>
  </si>
  <si>
    <t xml:space="preserve">TOTAL MENSUAL </t>
  </si>
  <si>
    <t>Mensuales</t>
  </si>
  <si>
    <t>Salud</t>
  </si>
  <si>
    <t>Pensión</t>
  </si>
  <si>
    <t>ARL (Riesgo 1)</t>
  </si>
  <si>
    <t>Parafiscales (SENA)</t>
  </si>
  <si>
    <t>Parafiscales (ICBF)</t>
  </si>
  <si>
    <t>Parafiscales (Caja comp)</t>
  </si>
  <si>
    <t>Otras frecuencias generadas mensualmente</t>
  </si>
  <si>
    <t>Prima semestral</t>
  </si>
  <si>
    <t>Cesantías</t>
  </si>
  <si>
    <t>Interés cesantías</t>
  </si>
  <si>
    <t>Vacaciones SMMLV</t>
  </si>
  <si>
    <t>Total % mensual</t>
  </si>
  <si>
    <t>APORTES MENSUALMENTE</t>
  </si>
  <si>
    <t>Valor mensual</t>
  </si>
  <si>
    <t>ARL</t>
  </si>
  <si>
    <t>Aux transporte</t>
  </si>
  <si>
    <t>DOTACIÓN Y ELEMENTOS DE SEGURIDAD PERSONAL OPERATIVO</t>
  </si>
  <si>
    <t>ANUAL</t>
  </si>
  <si>
    <t>MENUAL</t>
  </si>
  <si>
    <t>Camiseta tipo polo</t>
  </si>
  <si>
    <t>Camibuso cuello redondo</t>
  </si>
  <si>
    <t>Jeans </t>
  </si>
  <si>
    <t>Overol  tipo piloto</t>
  </si>
  <si>
    <t>Gafas de seguridad </t>
  </si>
  <si>
    <t xml:space="preserve">Guantes de poliuretano </t>
  </si>
  <si>
    <t>Docena</t>
  </si>
  <si>
    <t>Botas de seguridad indiana</t>
  </si>
  <si>
    <t>Tapa oídos</t>
  </si>
  <si>
    <t>Casco con barbuquejo</t>
  </si>
  <si>
    <t>Tapabocas con Filtro</t>
  </si>
  <si>
    <t>Linterna (cabeza)</t>
  </si>
  <si>
    <t>Bordado pecho</t>
  </si>
  <si>
    <t>Bordado espalda hilo blanco</t>
  </si>
  <si>
    <t>DOTACION Y ELEMENTOS DE SEGURIDAD PERSONAL ADMINISTRATIVO</t>
  </si>
  <si>
    <t>PRESUPUESTO PERSONAL DE PLANTA</t>
  </si>
  <si>
    <t>Nivel</t>
  </si>
  <si>
    <t>1) Total salario básico mensual + AuxTransp</t>
  </si>
  <si>
    <t xml:space="preserve">2) Total prestaciones sociales mensuales </t>
  </si>
  <si>
    <t>$ Total mensual</t>
  </si>
  <si>
    <t xml:space="preserve">Año 1 
</t>
  </si>
  <si>
    <t>Año 2
(Año 1 +IPC+2%)</t>
  </si>
  <si>
    <t>Año 3(Año 2+IPC+2%)</t>
  </si>
  <si>
    <t>Ejecutivo/
Directivo</t>
  </si>
  <si>
    <t>Subtotal Nivel ejecutivo</t>
  </si>
  <si>
    <t>Medio/ 
Coordinación- Ejecución</t>
  </si>
  <si>
    <t>Subtotal Nivel medio</t>
  </si>
  <si>
    <t>Operativo</t>
  </si>
  <si>
    <t>Subtotal nivel operativo</t>
  </si>
  <si>
    <t>Presupuesto Total</t>
  </si>
  <si>
    <t>CONCEPTO</t>
  </si>
  <si>
    <t>LIQUIDACIÓN</t>
  </si>
  <si>
    <t>Hora Ordinaria Diurna</t>
  </si>
  <si>
    <t>SMMLV /(8h*30d)</t>
  </si>
  <si>
    <t>Hora nocturna</t>
  </si>
  <si>
    <t>hO*1,35</t>
  </si>
  <si>
    <t>Hora extra diurna</t>
  </si>
  <si>
    <t>hO*1,25</t>
  </si>
  <si>
    <t>Hora extra nocturna</t>
  </si>
  <si>
    <t>hO*1,75</t>
  </si>
  <si>
    <t>Hora diurna dominical o festiva</t>
  </si>
  <si>
    <t>Hora nocturna dominical o festiva</t>
  </si>
  <si>
    <t>hO*2,1</t>
  </si>
  <si>
    <t>Hora extra diurna dom o festiva</t>
  </si>
  <si>
    <t>hO*2</t>
  </si>
  <si>
    <t>Hora extra nocturna dom o festiva</t>
  </si>
  <si>
    <t>hO*2,5</t>
  </si>
  <si>
    <t>PRESUPUESTO DE HORAS EXTRA</t>
  </si>
  <si>
    <t># h Diurnas</t>
  </si>
  <si>
    <t>$ h Diurnas</t>
  </si>
  <si>
    <t># h festivas</t>
  </si>
  <si>
    <t>$ h festivas</t>
  </si>
  <si>
    <t>RESUMEN PRESUPUESTO DE NÓMINA</t>
  </si>
  <si>
    <t>$ Personal Operativo</t>
  </si>
  <si>
    <t>$ Total de horas extra en planta</t>
  </si>
  <si>
    <t>$ Personal temporal</t>
  </si>
  <si>
    <t>Costo de contratistas</t>
  </si>
  <si>
    <t>Valor por día</t>
  </si>
  <si>
    <t>Valor por hora</t>
  </si>
  <si>
    <t xml:space="preserve">PRESUPUESTO DE COSTOS DE PRODUCCIÓN </t>
  </si>
  <si>
    <t xml:space="preserve">CONCEPTO </t>
  </si>
  <si>
    <t xml:space="preserve">COSTOS DIRECTOS </t>
  </si>
  <si>
    <t>Software, suscripciones y otros programas</t>
  </si>
  <si>
    <t xml:space="preserve">Personal Operativo Planta </t>
  </si>
  <si>
    <t xml:space="preserve">Horas extra </t>
  </si>
  <si>
    <t>Insumos plan orgánico</t>
  </si>
  <si>
    <t>Insumos plan mixto</t>
  </si>
  <si>
    <t>Total Costos Directos Plan Orgánico</t>
  </si>
  <si>
    <t>Total Costos Directos Plan Mixto</t>
  </si>
  <si>
    <t>COSTOS INDIRECTOS</t>
  </si>
  <si>
    <t xml:space="preserve">Depreciación Maq. y Equipos </t>
  </si>
  <si>
    <t>Insumos de oficina</t>
  </si>
  <si>
    <t xml:space="preserve">Total Costos Indirectos </t>
  </si>
  <si>
    <t xml:space="preserve">Total Costos de Producción CP </t>
  </si>
  <si>
    <t>Total Costos de Producción Plan Orgánico</t>
  </si>
  <si>
    <t>Total Costos de Producción Plan Mixto</t>
  </si>
  <si>
    <t>Total Costos de Producción</t>
  </si>
  <si>
    <t xml:space="preserve">PRESUPUESTO DE GASTOS DE ADMINISTRACIÓN </t>
  </si>
  <si>
    <t xml:space="preserve">Mensual </t>
  </si>
  <si>
    <t xml:space="preserve">Arriendos/Alquileres </t>
  </si>
  <si>
    <t xml:space="preserve">Personal Administrativo </t>
  </si>
  <si>
    <t>Asesoría Contable</t>
  </si>
  <si>
    <t xml:space="preserve">Gastos transporte </t>
  </si>
  <si>
    <t>Gastos Papelería y oficina</t>
  </si>
  <si>
    <t xml:space="preserve">Servicios Públicos </t>
  </si>
  <si>
    <t xml:space="preserve">Depreciación Muebles y Enseres de Oficina </t>
  </si>
  <si>
    <t xml:space="preserve">Amortización de Intangibles </t>
  </si>
  <si>
    <t>Renovación mercantil</t>
  </si>
  <si>
    <t>No aplica Año 1</t>
  </si>
  <si>
    <t>Bomberos (1er Año Anticipo. Inver.intang.)</t>
  </si>
  <si>
    <t xml:space="preserve">Total Gastos de Admón. y Ventas </t>
  </si>
  <si>
    <t>Imp. Industria y comercio Año 1</t>
  </si>
  <si>
    <t xml:space="preserve">COSTO DE OPERACIÓN </t>
  </si>
  <si>
    <t>Costos Plan orgánico</t>
  </si>
  <si>
    <t>Costos Plan Mixto</t>
  </si>
  <si>
    <t>Gastos Administración</t>
  </si>
  <si>
    <t>Costos Plan Orgánico</t>
  </si>
  <si>
    <t xml:space="preserve">Costo bruto de operación por servicio de Plan Orgánico </t>
  </si>
  <si>
    <t>Costo bruto de operación por servicio de Plan Mixto</t>
  </si>
  <si>
    <t>PROYECCIÓN DE PRECIOS DE VENTA POR SERVICIO</t>
  </si>
  <si>
    <t xml:space="preserve">Forma de pago </t>
  </si>
  <si>
    <t xml:space="preserve">Clientes </t>
  </si>
  <si>
    <t>% Ventas</t>
  </si>
  <si>
    <t xml:space="preserve">Rango en unidades de servicio y clientes </t>
  </si>
  <si>
    <t>Venta Ud Año 1</t>
  </si>
  <si>
    <t>Venta Ud Año 2</t>
  </si>
  <si>
    <t>Venta Ud Año 3</t>
  </si>
  <si>
    <t>Anticipo</t>
  </si>
  <si>
    <t>A 30 días</t>
  </si>
  <si>
    <t>Tipo 1</t>
  </si>
  <si>
    <t>Emprendedor</t>
  </si>
  <si>
    <t>a</t>
  </si>
  <si>
    <t>Tipo 2</t>
  </si>
  <si>
    <t>Microempresario</t>
  </si>
  <si>
    <t>Tipo 3</t>
  </si>
  <si>
    <t>Pequeña empresa</t>
  </si>
  <si>
    <t>COSTO BRUTO POR UNIDAD</t>
  </si>
  <si>
    <t>PLAN</t>
  </si>
  <si>
    <t>PROYECCIÓN DE INGRESOS PLAN ORGÁNICO</t>
  </si>
  <si>
    <t>Ventas</t>
  </si>
  <si>
    <t>PRECIO DE VENTA POR UNIDAD PLAN ORGÁNICO</t>
  </si>
  <si>
    <t>Clientes</t>
  </si>
  <si>
    <t>% Utilidad</t>
  </si>
  <si>
    <t>Total Ventas Plan Orgánico</t>
  </si>
  <si>
    <t>PROYECCIÓN DE INGRESOS PLAN MIXTO</t>
  </si>
  <si>
    <t>PRECIO DE VENTA POR UNIDAD PLAN MIXTO</t>
  </si>
  <si>
    <t>Total Ventas Plan Mixto</t>
  </si>
  <si>
    <t>Total Ventas Brutas ($)</t>
  </si>
  <si>
    <t>PRESUPUESTO DE INGRESOS</t>
  </si>
  <si>
    <t xml:space="preserve">EMPRENDEDOR </t>
  </si>
  <si>
    <t>Iva</t>
  </si>
  <si>
    <t>MICROEMPRESA</t>
  </si>
  <si>
    <t>ReteICA</t>
  </si>
  <si>
    <t>PEQUEÑA EMPRESA</t>
  </si>
  <si>
    <t>Retefuente</t>
  </si>
  <si>
    <t>VENTAS BRUTAS</t>
  </si>
  <si>
    <t>Total Ventas Netas ($)</t>
  </si>
  <si>
    <t>IVA</t>
  </si>
  <si>
    <t>Rete ICA</t>
  </si>
  <si>
    <t>Ventas Brutas</t>
  </si>
  <si>
    <t>Valor ventas de contado</t>
  </si>
  <si>
    <t>Ventas a plazos</t>
  </si>
  <si>
    <t>Recuperación de cartera</t>
  </si>
  <si>
    <t>Ingresos efectivos</t>
  </si>
  <si>
    <t>Cuentas por cobrar</t>
  </si>
  <si>
    <t>UVT 2022</t>
  </si>
  <si>
    <t> $36.308</t>
  </si>
  <si>
    <t>GASTOS DE VENTAS</t>
  </si>
  <si>
    <t>Gastos de publicidad (3% de venta brutas)</t>
  </si>
  <si>
    <t xml:space="preserve">Imp. Industria y comercio </t>
  </si>
  <si>
    <t>Publicidad</t>
  </si>
  <si>
    <t>Imp. Avisos y tableros (15% industria y comercio)</t>
  </si>
  <si>
    <t>Tableros</t>
  </si>
  <si>
    <t>% Reteica</t>
  </si>
  <si>
    <t>Total gastos de ventas</t>
  </si>
  <si>
    <t>Gastos de Ventas Desagregados Mensualmente</t>
  </si>
  <si>
    <t xml:space="preserve">Mes 1 </t>
  </si>
  <si>
    <t>='21'!'21'!E7:H7*'20'!D12</t>
  </si>
  <si>
    <t xml:space="preserve">Clasificación de Costos </t>
  </si>
  <si>
    <t xml:space="preserve">Año 3 </t>
  </si>
  <si>
    <t xml:space="preserve">Costos fijos </t>
  </si>
  <si>
    <t xml:space="preserve">Bomberos </t>
  </si>
  <si>
    <t>Presupuesto personal + contador externo</t>
  </si>
  <si>
    <t>Arriendo</t>
  </si>
  <si>
    <t xml:space="preserve">Gastos de transporte </t>
  </si>
  <si>
    <t>Gastos de Oficina</t>
  </si>
  <si>
    <t xml:space="preserve">Depreciación </t>
  </si>
  <si>
    <t xml:space="preserve">Amortización de intangibles </t>
  </si>
  <si>
    <t xml:space="preserve">Total Costos Fijos </t>
  </si>
  <si>
    <t xml:space="preserve">Costos variables </t>
  </si>
  <si>
    <t>Egresos Plan Orgánico</t>
  </si>
  <si>
    <t>Egresos Plan Mixto</t>
  </si>
  <si>
    <t>Horas extra y festivas</t>
  </si>
  <si>
    <t>Gastos de ventas</t>
  </si>
  <si>
    <t xml:space="preserve">Total Costos Variables </t>
  </si>
  <si>
    <t>Costo total</t>
  </si>
  <si>
    <t>INGRESOS vs. EGRESOS</t>
  </si>
  <si>
    <t>Ingresos</t>
  </si>
  <si>
    <t>Egresos</t>
  </si>
  <si>
    <t>Saldo</t>
  </si>
  <si>
    <t>CALCULO DE EGRESOS DESAGREGADO</t>
  </si>
  <si>
    <t>Costos fijos</t>
  </si>
  <si>
    <t>Horas Extra</t>
  </si>
  <si>
    <t>Costos variables</t>
  </si>
  <si>
    <t>INVERSIÓN EN CAPITAL DE TRABAJO</t>
  </si>
  <si>
    <t>Colchón de efectivo (20% Egresos)</t>
  </si>
  <si>
    <t>INVERSIÓN INICIAL</t>
  </si>
  <si>
    <t>Activos Fijos</t>
  </si>
  <si>
    <t>Gastos de arranque</t>
  </si>
  <si>
    <t>Capital de trabajo</t>
  </si>
  <si>
    <t>socio minor</t>
  </si>
  <si>
    <t>socio mayor</t>
  </si>
  <si>
    <t>INVERSIÓN TOTAL</t>
  </si>
  <si>
    <t>Socios</t>
  </si>
  <si>
    <t>% de Participación</t>
  </si>
  <si>
    <t>Participación</t>
  </si>
  <si>
    <t xml:space="preserve">Descripción </t>
  </si>
  <si>
    <t>Activos fijos</t>
  </si>
  <si>
    <t>Socio Mayoritario</t>
  </si>
  <si>
    <t>computador para diseño</t>
  </si>
  <si>
    <t>insumos de oficina, tableros, papelería</t>
  </si>
  <si>
    <t>Socio minoritario</t>
  </si>
  <si>
    <t>escritorios y sillas</t>
  </si>
  <si>
    <t>computador para oficina</t>
  </si>
  <si>
    <t>APORTES</t>
  </si>
  <si>
    <t>Aporte socios</t>
  </si>
  <si>
    <t>Crédito</t>
  </si>
  <si>
    <t>CASO 1</t>
  </si>
  <si>
    <t>Préstamo</t>
  </si>
  <si>
    <t>n (periodo de duración)</t>
  </si>
  <si>
    <t>meses</t>
  </si>
  <si>
    <t>Periodo de gracia</t>
  </si>
  <si>
    <t>m (# de pagos en el año)</t>
  </si>
  <si>
    <t>Cuota</t>
  </si>
  <si>
    <t>Aporte extra</t>
  </si>
  <si>
    <t>Periodo</t>
  </si>
  <si>
    <t>Saldo inicial</t>
  </si>
  <si>
    <t>Interés</t>
  </si>
  <si>
    <t>Aportes Extraordinarios</t>
  </si>
  <si>
    <t>Amortización</t>
  </si>
  <si>
    <t>Saldo final</t>
  </si>
  <si>
    <t>SI=SF(n-1)</t>
  </si>
  <si>
    <t>i=SI*im</t>
  </si>
  <si>
    <t>VALOR TOTAL DE CUOTAS</t>
  </si>
  <si>
    <t>VALOR TOTAL DE APORTES EXTRA</t>
  </si>
  <si>
    <t>VALOR TOTAL PAGADO</t>
  </si>
  <si>
    <t>Estado de resultados</t>
  </si>
  <si>
    <t>Ventas brutas</t>
  </si>
  <si>
    <t>Otros ingresos (no operacionales)</t>
  </si>
  <si>
    <t>Total ingresos</t>
  </si>
  <si>
    <t>Costos de operación y administración</t>
  </si>
  <si>
    <t>Gastos financieros (interés crédito)</t>
  </si>
  <si>
    <t>Otros egresos</t>
  </si>
  <si>
    <t>Total egresos</t>
  </si>
  <si>
    <t>Utilidad bruta grabable UBG = Ingresos - Egresos</t>
  </si>
  <si>
    <t>Impuesto de renta (31% UBG año 1)</t>
  </si>
  <si>
    <t>Utilidad neta = UBG-Imp. Renta</t>
  </si>
  <si>
    <t>Reserva legal (10% Utilidad Neta)</t>
  </si>
  <si>
    <t>Utilidad del ejercicio=Utilidad neta-Res.Legal</t>
  </si>
  <si>
    <t>FLUJO DE CAJA</t>
  </si>
  <si>
    <t>PERIODO 0</t>
  </si>
  <si>
    <t>CAJA INICIAL</t>
  </si>
  <si>
    <t>INGRESOS</t>
  </si>
  <si>
    <t>Ingresos ventas de contado</t>
  </si>
  <si>
    <t>Ingresos recuperación de cartera</t>
  </si>
  <si>
    <t>Ingresos cuentas por cobrar</t>
  </si>
  <si>
    <t>Otros ingresos no operacionales</t>
  </si>
  <si>
    <t>Aporte de socios</t>
  </si>
  <si>
    <t>Recursos de crédito</t>
  </si>
  <si>
    <t>TOTAL DISPONIBLE</t>
  </si>
  <si>
    <t>EGRESOS</t>
  </si>
  <si>
    <t>INVERSIONES</t>
  </si>
  <si>
    <t>Inversiones en activos fijos</t>
  </si>
  <si>
    <t>Inversiones intangibles o Gastos de arranque</t>
  </si>
  <si>
    <t>TOTAL INVERSIONES</t>
  </si>
  <si>
    <t>COSTOS FIJOS</t>
  </si>
  <si>
    <t>GASTOS PERSONAL PLANTA</t>
  </si>
  <si>
    <t>TOTAL GASTOS PERSONAL</t>
  </si>
  <si>
    <t>Servicios Públicos</t>
  </si>
  <si>
    <t>Gasto transporte</t>
  </si>
  <si>
    <t>Gastos papelería y Oficina</t>
  </si>
  <si>
    <t>TOTAL COSTOS FIJOS</t>
  </si>
  <si>
    <t>COSTOS VARIABLES</t>
  </si>
  <si>
    <t>Equipos e Insumos (PlanOrganico-Plan Mixto)</t>
  </si>
  <si>
    <t>Gastos de publicidad</t>
  </si>
  <si>
    <t>Aportes extra de créditos</t>
  </si>
  <si>
    <t>Otros Costos variables</t>
  </si>
  <si>
    <t>TOTAL COSTOS VARIABLES</t>
  </si>
  <si>
    <t>IMPUESTOS</t>
  </si>
  <si>
    <t>Impuestos locales (Valorización anual)</t>
  </si>
  <si>
    <t>Registro mercantil (anual)</t>
  </si>
  <si>
    <t>Bomberos (Anual)</t>
  </si>
  <si>
    <t>Industria y comercio (Bimestral)</t>
  </si>
  <si>
    <t>Avisos y tableros (Bimestral)</t>
  </si>
  <si>
    <t>IVA (Ventas Bimestral)</t>
  </si>
  <si>
    <t>Rte. en la fuente (Compras mensuales)</t>
  </si>
  <si>
    <t>Imp Renta (Anual)</t>
  </si>
  <si>
    <t>TOTAL IMPUESTOS</t>
  </si>
  <si>
    <t>Reserva legal (10% de la utilidad)</t>
  </si>
  <si>
    <t>Distribución de utilidades</t>
  </si>
  <si>
    <t>TOTAL EGRESOS</t>
  </si>
  <si>
    <t>CAJA FINAL = TOTAL DISPONIBLE - EGRESOS</t>
  </si>
  <si>
    <t>SALDO ACUMULADO</t>
  </si>
  <si>
    <t>BALANCE GENERAL</t>
  </si>
  <si>
    <t>ANÁLISIS VERTICAL</t>
  </si>
  <si>
    <t>ACTIVOS</t>
  </si>
  <si>
    <t>Activo corriente</t>
  </si>
  <si>
    <t>Disponible (caja y bancos)</t>
  </si>
  <si>
    <t>Cuentas por cobrar (Clientes)</t>
  </si>
  <si>
    <t>Otros ingresos No operacionales</t>
  </si>
  <si>
    <t>Activos Diferidos G. Arranque (Amortiz. G.)</t>
  </si>
  <si>
    <t>Total Activos Corrientes</t>
  </si>
  <si>
    <t>Muebles y enseres oficina</t>
  </si>
  <si>
    <t>Valorización Intangibles</t>
  </si>
  <si>
    <t>Bodega (oficina)</t>
  </si>
  <si>
    <t>Otros activos fijos</t>
  </si>
  <si>
    <t>Total Activos Fijos</t>
  </si>
  <si>
    <t>Intangibles</t>
  </si>
  <si>
    <t>Activos Intangibles</t>
  </si>
  <si>
    <t>TOTAL ACTIVOS</t>
  </si>
  <si>
    <t>PASIVOS</t>
  </si>
  <si>
    <t>Pasivo Corriente</t>
  </si>
  <si>
    <t>Prestaciones Sociales por pagar</t>
  </si>
  <si>
    <t>Egresos no operacionales</t>
  </si>
  <si>
    <t>Industria y Comercio (Anual)</t>
  </si>
  <si>
    <t>Avisos y tableros</t>
  </si>
  <si>
    <t>IVA por pagar (Bimestral)</t>
  </si>
  <si>
    <t>Rte. Fuente por Pagar (Mensual)</t>
  </si>
  <si>
    <t>Impuesto de Renta por Pagar</t>
  </si>
  <si>
    <t>Otros Pasivos corrientes</t>
  </si>
  <si>
    <t>Total pasivos corrientes</t>
  </si>
  <si>
    <t>Pasivo a Largo Plazo</t>
  </si>
  <si>
    <t>Obligaciones Financieras (Crédito)</t>
  </si>
  <si>
    <t>Deudas Hipotecarias o leasing</t>
  </si>
  <si>
    <t>Otros Pasivos largo plazo</t>
  </si>
  <si>
    <t>Total Pasivos a lago plazo</t>
  </si>
  <si>
    <t>TOTAL PASIVOS</t>
  </si>
  <si>
    <t>PATRIMONIO</t>
  </si>
  <si>
    <t>Capital Social (aporte de socios)</t>
  </si>
  <si>
    <t>Reservas</t>
  </si>
  <si>
    <t>Resultado del ejercicio (Utilidad Neta)</t>
  </si>
  <si>
    <t>Resultados Ejercicios Anteriores</t>
  </si>
  <si>
    <t>Reserva Legal (10% Result. Ej. )</t>
  </si>
  <si>
    <t>TOTAL PATRIMONIO</t>
  </si>
  <si>
    <t>PASIVOS + PATRIMONIO</t>
  </si>
  <si>
    <t>BALANCE GENERAL (ACTIVOS - (PASIVOS + PATRIMONIO))</t>
  </si>
  <si>
    <t>ANÁLISIS BALANCE GENERAL</t>
  </si>
  <si>
    <t>Periodo 0</t>
  </si>
  <si>
    <t>Activos $</t>
  </si>
  <si>
    <t>Pasivo $</t>
  </si>
  <si>
    <t>Patrimonio $</t>
  </si>
  <si>
    <t>ANÁLISIS HORIZONTAL Año 1 y Año 2</t>
  </si>
  <si>
    <t>ANÁLISIS HORIZONTAL Año 2 y Año 3</t>
  </si>
  <si>
    <t>Var. absoluta</t>
  </si>
  <si>
    <t>Var. relativa</t>
  </si>
  <si>
    <t>ANÁLISIS FIANANCIERO</t>
  </si>
  <si>
    <t>MEDIDAS ANALÍTICAS</t>
  </si>
  <si>
    <t>Método de cálculo</t>
  </si>
  <si>
    <t>Interpretación y análisis</t>
  </si>
  <si>
    <t>Medidas de Liquidez</t>
  </si>
  <si>
    <t>1- Índice de Liquidez</t>
  </si>
  <si>
    <t>Activos Corrientes / Pasivos Corrientes</t>
  </si>
  <si>
    <t>Medida de capacidad de pago de las deudas de corto plazo.</t>
  </si>
  <si>
    <t>Capacidad de generar $ en el C. Plazo por cada peso exigible.</t>
  </si>
  <si>
    <t>2- Prueba Ácida o Razón de Liquidez Inmediata</t>
  </si>
  <si>
    <t>(Activos Corrientes - Activos de Menor Liquidez) / Pasivos</t>
  </si>
  <si>
    <t>Capacidad de pago en escenario negativo, sin tener en cuenta el inventario, únicamento lo disponible en el Corto plazo.</t>
  </si>
  <si>
    <t>3- Capital de Trabajo</t>
  </si>
  <si>
    <t>Activos Corrientes - Pasivos Corrientes</t>
  </si>
  <si>
    <t>Cuando el valor es + significa que se cubren las deudas de Corto plazo.</t>
  </si>
  <si>
    <t>4- Rotación del Capital de Trabajo</t>
  </si>
  <si>
    <t>Ventas netas / Capital de Trabajo</t>
  </si>
  <si>
    <t xml:space="preserve">Una rotación de </t>
  </si>
  <si>
    <t>veces, significa que por cada peso en ventas se mantuvo en forma de una vez descontados los pasivos respectivos.</t>
  </si>
  <si>
    <t>Activos corritentes</t>
  </si>
  <si>
    <t>Eficiencia en activos corrientes.</t>
  </si>
  <si>
    <t xml:space="preserve">5- Efectivo Neto por Actividades </t>
  </si>
  <si>
    <t>Aparece en el F. de Caja (Caja final por periodo)</t>
  </si>
  <si>
    <t>Indica el efectivo generado por operaciones después del pago en efectivo de gastos y pasivos operacionales.</t>
  </si>
  <si>
    <t>Medidas de Riesgo a Largo Plazo</t>
  </si>
  <si>
    <t>1- Razón de Endeudamiento</t>
  </si>
  <si>
    <t>Pasivos Totales / Activos Totales</t>
  </si>
  <si>
    <t>Medida de riesgo de largo plazo de los acreedores.</t>
  </si>
  <si>
    <t>2- Solidez</t>
  </si>
  <si>
    <t>Activos Totales / Pasivos Totales</t>
  </si>
  <si>
    <t>Medida que indica que se dispone de $ cantidad por cada peso que se adeuda. No. de veces de $ para pagar.</t>
  </si>
  <si>
    <t>Medidas de Rentabilidad</t>
  </si>
  <si>
    <t>1- Margen Bruto de Utilidad</t>
  </si>
  <si>
    <t>Utilidad bruta / Ventas Brutas</t>
  </si>
  <si>
    <t>Medida de rentabilidad de Productos de la cñía. Por cada peso de ventas se absorbe (1-%) en costos de prod.</t>
  </si>
  <si>
    <t>2- Utilidad Neta (% de Ventas)</t>
  </si>
  <si>
    <t>Utilidad neta / Ventas Brutas</t>
  </si>
  <si>
    <t>Productividad de activos independiente de la Forma como éstos son financiados. Utilidad final a disposición de accionistas.</t>
  </si>
  <si>
    <t>3- Rendimiento de Activos</t>
  </si>
  <si>
    <t>Utilidad neta / Activos Totales</t>
  </si>
  <si>
    <t xml:space="preserve">Retorno contable por periodo por cada peso invertido en activos. Rentabilidad de las actividades Empresariales básicas de una compañía. </t>
  </si>
  <si>
    <t>INDICADORES FINANCIEROS</t>
  </si>
  <si>
    <t xml:space="preserve">1- FLUJO DE CAJA NETO </t>
  </si>
  <si>
    <t>(1) Utilidades por periodo</t>
  </si>
  <si>
    <t>a) Aporte de Socios</t>
  </si>
  <si>
    <t>b) Créditos</t>
  </si>
  <si>
    <t>(2) Inversiones Netas del periodo = a + b</t>
  </si>
  <si>
    <t>Flujo de Caja Neto = 1 - 2</t>
  </si>
  <si>
    <t>1- GRÁFICA FLUJO DE CAJA NETO</t>
  </si>
  <si>
    <t>Utilidades</t>
  </si>
  <si>
    <t xml:space="preserve">Inversión </t>
  </si>
  <si>
    <t>PRC (metodo1)</t>
  </si>
  <si>
    <t>PRC (metodo2)</t>
  </si>
  <si>
    <t>2- PERIODO RECUPERACIÓN DE CAPITAL =</t>
  </si>
  <si>
    <t>PARA LA TIRMA</t>
  </si>
  <si>
    <t>Riesgo</t>
  </si>
  <si>
    <t>Balance del proyecto Acumulado = FCTN+FCTN(n-1)</t>
  </si>
  <si>
    <t>Bajo</t>
  </si>
  <si>
    <t>3%-6%</t>
  </si>
  <si>
    <t xml:space="preserve">Medio </t>
  </si>
  <si>
    <t>6%-10%</t>
  </si>
  <si>
    <t>ALTO</t>
  </si>
  <si>
    <t>10%-15%</t>
  </si>
  <si>
    <t>3- VALOR PRESENTE NETO (VPN)</t>
  </si>
  <si>
    <t>TIRMA</t>
  </si>
  <si>
    <t>INTERES DE OPORTUNIDAD</t>
  </si>
  <si>
    <t>IPC 2022</t>
  </si>
  <si>
    <t>RIESGO</t>
  </si>
  <si>
    <t>TIRMA(inversión)</t>
  </si>
  <si>
    <t>I0 =</t>
  </si>
  <si>
    <t>rango del VPN(semáforo)</t>
  </si>
  <si>
    <t>VPN =</t>
  </si>
  <si>
    <t>TIR =</t>
  </si>
  <si>
    <t>4-  TASA INTERNA DE RETORNO (TIR)</t>
  </si>
  <si>
    <t>semáforo TIR</t>
  </si>
  <si>
    <t>5 RELACIÓN: BENEFICIO / COSTO</t>
  </si>
  <si>
    <t>RELACIÓN BENEFICIO / COSTO</t>
  </si>
  <si>
    <t>Año</t>
  </si>
  <si>
    <t>ia</t>
  </si>
  <si>
    <t>INGRESOS BRUTOS</t>
  </si>
  <si>
    <t>COSTOS BRUTOS</t>
  </si>
  <si>
    <t>RELACION BENEFICIO COSTO AÑO 1</t>
  </si>
  <si>
    <t>VPN con i de oportunidad=</t>
  </si>
  <si>
    <t>AÑO1</t>
  </si>
  <si>
    <t>Rel. B/C con i de oportunid=</t>
  </si>
  <si>
    <t>hacer el BCR</t>
  </si>
  <si>
    <t>RELACION BENEFICIO COSTO AÑO 2</t>
  </si>
  <si>
    <t>6- PUNTO DE EQUILIBRIO -PE:</t>
  </si>
  <si>
    <t>AÑO2</t>
  </si>
  <si>
    <t>CÁLCULOS DEL PUNTO DE EQUILIBRIO PE</t>
  </si>
  <si>
    <t>• PE en Capacidad Instalada (%): PECI = CF / (IT-CV)</t>
  </si>
  <si>
    <t xml:space="preserve">       CF: Costos Fijos</t>
  </si>
  <si>
    <t>RELACION BENEFICIO COSTO AÑO 3</t>
  </si>
  <si>
    <t xml:space="preserve">       IT: Ingresos Totales</t>
  </si>
  <si>
    <t>AÑO3</t>
  </si>
  <si>
    <t xml:space="preserve">      CV: Costos variables</t>
  </si>
  <si>
    <t>PE en Capacidad instalada PECI (%) =</t>
  </si>
  <si>
    <r>
      <t xml:space="preserve">• PE en Cantidades a Producir (Q): </t>
    </r>
    <r>
      <rPr>
        <b/>
        <sz val="9"/>
        <rFont val="Arial"/>
        <family val="2"/>
      </rPr>
      <t>PECP=CF/(Pu-CVu)</t>
    </r>
  </si>
  <si>
    <t xml:space="preserve">        Pu: Precio unitario promedio</t>
  </si>
  <si>
    <t xml:space="preserve">        CVu: Costo Variable Unitario</t>
  </si>
  <si>
    <t>PE en Cantidad de productos a Ofrecer PECP (Q) =</t>
  </si>
  <si>
    <t>escenarios con PE cantidades a producir y Volumen de ventas</t>
  </si>
  <si>
    <t>• PE en Volumen de Ventas ($): PEVV* = CF / (1-(CV/IT))</t>
  </si>
  <si>
    <t>ROI, compración</t>
  </si>
  <si>
    <t xml:space="preserve">      CV: Costos Variables</t>
  </si>
  <si>
    <t>PE en Volumen de Ventas PEVV* ($) =</t>
  </si>
  <si>
    <t>• PE en No. de días año (dias): PEDA =PEVV*/(IT/N)</t>
  </si>
  <si>
    <t xml:space="preserve">        PEVV*: PE en Volumen de Ventas ($)</t>
  </si>
  <si>
    <t xml:space="preserve">       N: Número de días laborales año</t>
  </si>
  <si>
    <t>PE en No. de días año PEDA (dias) =</t>
  </si>
  <si>
    <t>• ROI (Retorno de la inversión</t>
  </si>
  <si>
    <t>Beneficios</t>
  </si>
  <si>
    <t>Inversión</t>
  </si>
  <si>
    <t>ROI</t>
  </si>
  <si>
    <t>INV INICIAL</t>
  </si>
  <si>
    <t>VARIABLES</t>
  </si>
  <si>
    <t>PRESTAMO</t>
  </si>
  <si>
    <t>SOCIOS</t>
  </si>
  <si>
    <t>RELACIÓN BENEFICIO/COSTO</t>
  </si>
  <si>
    <t>VPN</t>
  </si>
  <si>
    <t>PERIODO RECUPERACION</t>
  </si>
  <si>
    <t>TASA INTERNA DE RETORNO</t>
  </si>
  <si>
    <t>ESCENARIO 1</t>
  </si>
  <si>
    <t>ESCENARIO 2</t>
  </si>
  <si>
    <t>ESCENARIO 3</t>
  </si>
  <si>
    <t>ESCENARIO 4</t>
  </si>
  <si>
    <t>Punto Equilibrio Servicios a Ofrecer</t>
  </si>
  <si>
    <t>Punto Equilibrio en Volumen de Ventas</t>
  </si>
  <si>
    <t>Inv. Inicial</t>
  </si>
  <si>
    <t>Int. oportunidad</t>
  </si>
  <si>
    <t>Int. por IPC</t>
  </si>
  <si>
    <t>1. FLUJOS DE CAJA</t>
  </si>
  <si>
    <t>Flujos de efectivo</t>
  </si>
  <si>
    <t>Valor pte. (I.O.)</t>
  </si>
  <si>
    <t>Valor pte. (IPC)</t>
  </si>
  <si>
    <t>AÑO 0</t>
  </si>
  <si>
    <t>2. PERIODO DE RECUPERACIÓN DE CAPITAL</t>
  </si>
  <si>
    <t>PRC</t>
  </si>
  <si>
    <t>3. VALOR PRESENTE NETO</t>
  </si>
  <si>
    <t>Int. Oport.</t>
  </si>
  <si>
    <t>TIR</t>
  </si>
  <si>
    <t>11% - 9,99%</t>
  </si>
  <si>
    <t>VPN con i total de IPC=</t>
  </si>
  <si>
    <t>Rel. B/C con i total de IPC =</t>
  </si>
  <si>
    <t>Promedio</t>
  </si>
  <si>
    <t>ANALISIS DE ESCENARIOS</t>
  </si>
  <si>
    <t>ESCENARIO</t>
  </si>
  <si>
    <t># CUOTAS</t>
  </si>
  <si>
    <t>INV. INICIAL</t>
  </si>
  <si>
    <t>REL. COSTO/BENEFICIO (I.O.)</t>
  </si>
  <si>
    <t>RELACIÓN COSTO/BENEFICIO (IPC)</t>
  </si>
  <si>
    <t>VPN (I.O.)</t>
  </si>
  <si>
    <t>VPN (IPC)</t>
  </si>
  <si>
    <t>PRC (AÑOS)</t>
  </si>
  <si>
    <t>SECUENCIA DE PRESTACIÓN DEL SERVICIO</t>
  </si>
  <si>
    <t>En especie</t>
  </si>
  <si>
    <t>Tasa efectiva anual (ia)</t>
  </si>
  <si>
    <t>Tasa de interés (im)</t>
  </si>
  <si>
    <t>4. TASA INTERNA DE RETORNO</t>
  </si>
  <si>
    <t>5. RELACIÓN COSTO/BENEFICIO</t>
  </si>
  <si>
    <t>6. PUNTO DE EQUILIBRIO</t>
  </si>
  <si>
    <t>7. RETORNO DE LA INVERSIÓN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</si>
</sst>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5" formatCode="&quot;$&quot;\ #,##0;\-&quot;$&quot;\ #,##0"/>
    <numFmt numFmtId="6" formatCode="&quot;$&quot;\ #,##0;[Red]\-&quot;$&quot;\ #,##0"/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&quot;$&quot;\ * #,##0.00_);_(&quot;$&quot;\ * \(#,##0.00\);_(&quot;$&quot;\ * &quot;-&quot;??_);_(@_)"/>
    <numFmt numFmtId="169" formatCode="&quot;$&quot;#,##0.00;[Red]&quot;$&quot;#,##0.00"/>
    <numFmt numFmtId="170" formatCode="0.0%"/>
    <numFmt numFmtId="171" formatCode="0.0"/>
    <numFmt numFmtId="172" formatCode="0.000%"/>
    <numFmt numFmtId="173" formatCode="[$$-2C0A]\ #,##0"/>
    <numFmt numFmtId="174" formatCode="&quot;$&quot;#,##0"/>
    <numFmt numFmtId="175" formatCode="&quot;$&quot;\ #,##0"/>
    <numFmt numFmtId="176" formatCode="_(&quot;$&quot;\ * #,##0_);_(&quot;$&quot;\ * \(#,##0\);_(&quot;$&quot;\ * &quot;-&quot;??_);_(@_)"/>
    <numFmt numFmtId="177" formatCode="_ &quot;$&quot;\ * #,##0_ ;_ &quot;$&quot;\ * \-#,##0_ ;_ &quot;$&quot;\ * &quot;-&quot;??_ ;_ @_ "/>
    <numFmt numFmtId="178" formatCode="_-* #,##0.00_-;\-* #,##0.00_-;_-* &quot;-&quot;??_-;_-@"/>
    <numFmt numFmtId="179" formatCode="0.000"/>
    <numFmt numFmtId="180" formatCode="_(&quot;$&quot;* #,##0_);_(&quot;$&quot;* \(#,##0\);_(&quot;$&quot;* &quot;-&quot;??_);_(@_)"/>
    <numFmt numFmtId="181" formatCode="&quot;$&quot;\ #,##0.00_);[Red]\(&quot;$&quot;\ #,##0.00\)"/>
    <numFmt numFmtId="182" formatCode="0.000000"/>
    <numFmt numFmtId="183" formatCode="_(* #,##0.0000_);_(* \(#,##0.0000\);_(* &quot;-&quot;??_);_(@_)"/>
    <numFmt numFmtId="184" formatCode="0.0000%"/>
    <numFmt numFmtId="185" formatCode="_([$$-409]* #,##0_);_([$$-409]* \(#,##0\);_([$$-409]* &quot;-&quot;??_);_(@_)"/>
    <numFmt numFmtId="186" formatCode="_-[$$-409]* #,##0_ ;_-[$$-409]* \-#,##0\ ;_-[$$-409]* &quot;-&quot;??_ ;_-@_ "/>
    <numFmt numFmtId="187" formatCode="#,##0.000"/>
    <numFmt numFmtId="188" formatCode="[$$-2C0A]\ #,##0.0000"/>
    <numFmt numFmtId="189" formatCode="0.00000"/>
    <numFmt numFmtId="190" formatCode="_-&quot;$&quot;\ * #,##0.0_-;\-&quot;$&quot;\ * #,##0.0_-;_-&quot;$&quot;\ * &quot;-&quot;_-;_-@_-"/>
  </numFmts>
  <fonts count="44" x14ac:knownFonts="1">
    <font>
      <sz val="11"/>
      <color theme="1"/>
      <name val="Gill Sans MT"/>
      <family val="2"/>
      <scheme val="minor"/>
    </font>
    <font>
      <sz val="9"/>
      <color indexed="81"/>
      <name val="Tahoma"/>
      <family val="2"/>
    </font>
    <font>
      <sz val="11"/>
      <color theme="1"/>
      <name val="Gill Sans MT"/>
      <family val="2"/>
      <scheme val="minor"/>
    </font>
    <font>
      <b/>
      <sz val="9"/>
      <color indexed="81"/>
      <name val="Tahoma"/>
      <family val="2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9"/>
      <name val="Arial"/>
      <family val="2"/>
    </font>
    <font>
      <sz val="8"/>
      <name val="Gill Sans MT"/>
      <family val="2"/>
      <scheme val="minor"/>
    </font>
    <font>
      <sz val="11"/>
      <color rgb="FF000000"/>
      <name val="Calibri"/>
      <family val="2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name val="Symbol"/>
      <family val="1"/>
      <charset val="2"/>
    </font>
    <font>
      <b/>
      <sz val="10"/>
      <name val="Symbol"/>
      <family val="1"/>
      <charset val="2"/>
    </font>
    <font>
      <b/>
      <sz val="11"/>
      <color rgb="FFFFFF00"/>
      <name val="Times New Roman"/>
      <family val="1"/>
    </font>
    <font>
      <sz val="11"/>
      <color rgb="FFFFFF00"/>
      <name val="Times New Roman"/>
      <family val="1"/>
    </font>
    <font>
      <sz val="11"/>
      <color theme="0" tint="-4.9989318521683403E-2"/>
      <name val="Times New Roman"/>
      <family val="1"/>
    </font>
    <font>
      <sz val="11"/>
      <color rgb="FFFF0000"/>
      <name val="Times New Roman"/>
      <family val="1"/>
    </font>
    <font>
      <sz val="11"/>
      <color rgb="FFBFBFBF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color rgb="FF000000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b/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rgb="FFFF0000"/>
      <name val="Times New Roman"/>
      <family val="1"/>
    </font>
    <font>
      <sz val="11"/>
      <color rgb="FFFF000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rgb="FFBDD6EE"/>
      </patternFill>
    </fill>
    <fill>
      <patternFill patternType="solid">
        <fgColor rgb="FFFFFF00"/>
        <bgColor rgb="FF9CC2E5"/>
      </patternFill>
    </fill>
    <fill>
      <patternFill patternType="solid">
        <fgColor rgb="FFFFFF00"/>
        <bgColor rgb="FFDEEAF6"/>
      </patternFill>
    </fill>
    <fill>
      <patternFill patternType="solid">
        <fgColor rgb="FFFFFFFF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theme="4" tint="0.499984740745262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4" tint="0.749992370372631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1" fillId="0" borderId="0"/>
    <xf numFmtId="0" fontId="17" fillId="0" borderId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</cellStyleXfs>
  <cellXfs count="955">
    <xf numFmtId="0" fontId="0" fillId="0" borderId="0" xfId="0"/>
    <xf numFmtId="0" fontId="5" fillId="5" borderId="0" xfId="0" applyFont="1" applyFill="1"/>
    <xf numFmtId="164" fontId="5" fillId="5" borderId="0" xfId="1" applyFont="1" applyFill="1"/>
    <xf numFmtId="0" fontId="5" fillId="4" borderId="0" xfId="0" applyFont="1" applyFill="1"/>
    <xf numFmtId="0" fontId="5" fillId="0" borderId="0" xfId="0" applyFont="1"/>
    <xf numFmtId="0" fontId="5" fillId="4" borderId="1" xfId="0" applyFont="1" applyFill="1" applyBorder="1"/>
    <xf numFmtId="0" fontId="5" fillId="6" borderId="0" xfId="0" applyFont="1" applyFill="1"/>
    <xf numFmtId="0" fontId="6" fillId="0" borderId="0" xfId="8" applyFont="1"/>
    <xf numFmtId="0" fontId="4" fillId="0" borderId="0" xfId="8" applyFont="1" applyAlignment="1">
      <alignment horizontal="center"/>
    </xf>
    <xf numFmtId="0" fontId="14" fillId="0" borderId="0" xfId="8" applyFont="1"/>
    <xf numFmtId="1" fontId="6" fillId="0" borderId="1" xfId="8" applyNumberFormat="1" applyFont="1" applyBorder="1" applyAlignment="1">
      <alignment horizontal="center"/>
    </xf>
    <xf numFmtId="4" fontId="6" fillId="0" borderId="0" xfId="8" applyNumberFormat="1" applyFont="1"/>
    <xf numFmtId="9" fontId="6" fillId="0" borderId="0" xfId="8" applyNumberFormat="1" applyFont="1" applyAlignment="1">
      <alignment horizontal="center"/>
    </xf>
    <xf numFmtId="9" fontId="6" fillId="0" borderId="0" xfId="8" applyNumberFormat="1" applyFont="1"/>
    <xf numFmtId="178" fontId="6" fillId="0" borderId="0" xfId="8" applyNumberFormat="1" applyFont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10" fontId="5" fillId="4" borderId="1" xfId="0" applyNumberFormat="1" applyFont="1" applyFill="1" applyBorder="1"/>
    <xf numFmtId="164" fontId="5" fillId="4" borderId="1" xfId="1" applyFont="1" applyFill="1" applyBorder="1"/>
    <xf numFmtId="0" fontId="5" fillId="4" borderId="1" xfId="0" applyFont="1" applyFill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1" xfId="0" applyFont="1" applyBorder="1"/>
    <xf numFmtId="10" fontId="5" fillId="0" borderId="1" xfId="0" applyNumberFormat="1" applyFont="1" applyBorder="1"/>
    <xf numFmtId="6" fontId="5" fillId="0" borderId="1" xfId="0" applyNumberFormat="1" applyFont="1" applyBorder="1"/>
    <xf numFmtId="0" fontId="6" fillId="0" borderId="41" xfId="8" applyFont="1" applyBorder="1" applyAlignment="1">
      <alignment horizontal="center" vertical="center"/>
    </xf>
    <xf numFmtId="0" fontId="6" fillId="0" borderId="0" xfId="8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2" fontId="5" fillId="5" borderId="0" xfId="2" applyNumberFormat="1" applyFont="1" applyFill="1"/>
    <xf numFmtId="9" fontId="5" fillId="6" borderId="0" xfId="0" applyNumberFormat="1" applyFont="1" applyFill="1"/>
    <xf numFmtId="2" fontId="5" fillId="0" borderId="1" xfId="0" applyNumberFormat="1" applyFont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1" fontId="5" fillId="5" borderId="0" xfId="0" applyNumberFormat="1" applyFont="1" applyFill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7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1" fontId="5" fillId="0" borderId="1" xfId="0" applyNumberFormat="1" applyFont="1" applyBorder="1" applyAlignment="1">
      <alignment horizontal="center"/>
    </xf>
    <xf numFmtId="170" fontId="5" fillId="0" borderId="1" xfId="2" applyNumberFormat="1" applyFont="1" applyFill="1" applyBorder="1" applyAlignment="1">
      <alignment horizontal="center" vertical="center"/>
    </xf>
    <xf numFmtId="9" fontId="5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171" fontId="5" fillId="0" borderId="1" xfId="0" applyNumberFormat="1" applyFont="1" applyBorder="1" applyAlignment="1">
      <alignment horizontal="center"/>
    </xf>
    <xf numFmtId="164" fontId="5" fillId="0" borderId="1" xfId="1" applyFont="1" applyBorder="1" applyAlignment="1">
      <alignment horizontal="right" vertical="center" wrapText="1"/>
    </xf>
    <xf numFmtId="6" fontId="5" fillId="5" borderId="0" xfId="0" applyNumberFormat="1" applyFont="1" applyFill="1"/>
    <xf numFmtId="169" fontId="5" fillId="0" borderId="1" xfId="0" applyNumberFormat="1" applyFont="1" applyBorder="1"/>
    <xf numFmtId="170" fontId="5" fillId="0" borderId="1" xfId="2" applyNumberFormat="1" applyFont="1" applyBorder="1"/>
    <xf numFmtId="164" fontId="5" fillId="0" borderId="1" xfId="1" applyFont="1" applyBorder="1"/>
    <xf numFmtId="172" fontId="5" fillId="0" borderId="1" xfId="2" applyNumberFormat="1" applyFont="1" applyBorder="1"/>
    <xf numFmtId="10" fontId="5" fillId="0" borderId="1" xfId="2" applyNumberFormat="1" applyFont="1" applyBorder="1"/>
    <xf numFmtId="164" fontId="5" fillId="5" borderId="0" xfId="0" applyNumberFormat="1" applyFont="1" applyFill="1"/>
    <xf numFmtId="164" fontId="5" fillId="4" borderId="1" xfId="0" applyNumberFormat="1" applyFont="1" applyFill="1" applyBorder="1"/>
    <xf numFmtId="1" fontId="5" fillId="5" borderId="0" xfId="0" applyNumberFormat="1" applyFont="1" applyFill="1"/>
    <xf numFmtId="0" fontId="5" fillId="5" borderId="0" xfId="0" applyFont="1" applyFill="1" applyAlignment="1">
      <alignment wrapText="1"/>
    </xf>
    <xf numFmtId="0" fontId="16" fillId="0" borderId="1" xfId="0" applyFont="1" applyBorder="1" applyAlignment="1">
      <alignment horizontal="center" vertical="center"/>
    </xf>
    <xf numFmtId="173" fontId="5" fillId="5" borderId="0" xfId="0" applyNumberFormat="1" applyFont="1" applyFill="1"/>
    <xf numFmtId="164" fontId="5" fillId="4" borderId="0" xfId="1" applyFont="1" applyFill="1"/>
    <xf numFmtId="164" fontId="5" fillId="0" borderId="7" xfId="1" applyFont="1" applyBorder="1"/>
    <xf numFmtId="42" fontId="5" fillId="4" borderId="1" xfId="0" applyNumberFormat="1" applyFont="1" applyFill="1" applyBorder="1"/>
    <xf numFmtId="42" fontId="7" fillId="4" borderId="1" xfId="0" applyNumberFormat="1" applyFont="1" applyFill="1" applyBorder="1"/>
    <xf numFmtId="9" fontId="5" fillId="0" borderId="1" xfId="0" applyNumberFormat="1" applyFont="1" applyBorder="1" applyAlignment="1">
      <alignment horizontal="center"/>
    </xf>
    <xf numFmtId="169" fontId="5" fillId="5" borderId="0" xfId="0" applyNumberFormat="1" applyFont="1" applyFill="1"/>
    <xf numFmtId="164" fontId="5" fillId="0" borderId="0" xfId="1" applyFont="1" applyBorder="1"/>
    <xf numFmtId="42" fontId="5" fillId="0" borderId="0" xfId="0" applyNumberFormat="1" applyFont="1"/>
    <xf numFmtId="0" fontId="7" fillId="3" borderId="1" xfId="0" applyFont="1" applyFill="1" applyBorder="1"/>
    <xf numFmtId="6" fontId="5" fillId="3" borderId="1" xfId="0" applyNumberFormat="1" applyFont="1" applyFill="1" applyBorder="1"/>
    <xf numFmtId="49" fontId="5" fillId="4" borderId="1" xfId="0" applyNumberFormat="1" applyFont="1" applyFill="1" applyBorder="1" applyAlignment="1">
      <alignment horizontal="center"/>
    </xf>
    <xf numFmtId="6" fontId="5" fillId="4" borderId="1" xfId="0" applyNumberFormat="1" applyFont="1" applyFill="1" applyBorder="1" applyAlignment="1">
      <alignment horizontal="center"/>
    </xf>
    <xf numFmtId="0" fontId="17" fillId="0" borderId="0" xfId="9"/>
    <xf numFmtId="173" fontId="9" fillId="0" borderId="37" xfId="9" applyNumberFormat="1" applyFont="1" applyBorder="1" applyAlignment="1">
      <alignment horizontal="right" vertical="top" wrapText="1"/>
    </xf>
    <xf numFmtId="173" fontId="20" fillId="0" borderId="37" xfId="9" applyNumberFormat="1" applyFont="1" applyBorder="1"/>
    <xf numFmtId="173" fontId="20" fillId="9" borderId="13" xfId="9" applyNumberFormat="1" applyFont="1" applyFill="1" applyBorder="1" applyAlignment="1">
      <alignment horizontal="right" vertical="top" wrapText="1"/>
    </xf>
    <xf numFmtId="0" fontId="19" fillId="0" borderId="0" xfId="9" applyFont="1"/>
    <xf numFmtId="3" fontId="17" fillId="0" borderId="0" xfId="9" applyNumberFormat="1"/>
    <xf numFmtId="174" fontId="17" fillId="0" borderId="0" xfId="9" applyNumberFormat="1" applyAlignment="1">
      <alignment horizontal="center"/>
    </xf>
    <xf numFmtId="0" fontId="19" fillId="0" borderId="0" xfId="9" applyFont="1" applyAlignment="1">
      <alignment horizontal="center" vertical="center"/>
    </xf>
    <xf numFmtId="174" fontId="17" fillId="0" borderId="0" xfId="9" applyNumberFormat="1" applyAlignment="1">
      <alignment horizontal="left"/>
    </xf>
    <xf numFmtId="10" fontId="22" fillId="0" borderId="0" xfId="9" applyNumberFormat="1" applyFont="1" applyAlignment="1">
      <alignment horizontal="center"/>
    </xf>
    <xf numFmtId="0" fontId="19" fillId="0" borderId="0" xfId="9" applyFont="1" applyAlignment="1">
      <alignment horizontal="center"/>
    </xf>
    <xf numFmtId="174" fontId="17" fillId="0" borderId="0" xfId="9" applyNumberFormat="1"/>
    <xf numFmtId="174" fontId="19" fillId="0" borderId="0" xfId="9" applyNumberFormat="1" applyFont="1" applyAlignment="1">
      <alignment vertical="center" wrapText="1"/>
    </xf>
    <xf numFmtId="3" fontId="20" fillId="0" borderId="1" xfId="9" applyNumberFormat="1" applyFont="1" applyBorder="1" applyAlignment="1">
      <alignment horizontal="right" vertical="center"/>
    </xf>
    <xf numFmtId="0" fontId="19" fillId="0" borderId="0" xfId="9" applyFont="1" applyAlignment="1">
      <alignment vertical="center" wrapText="1"/>
    </xf>
    <xf numFmtId="10" fontId="17" fillId="0" borderId="0" xfId="9" applyNumberFormat="1"/>
    <xf numFmtId="173" fontId="17" fillId="0" borderId="0" xfId="9" applyNumberFormat="1"/>
    <xf numFmtId="10" fontId="17" fillId="10" borderId="1" xfId="9" applyNumberFormat="1" applyFill="1" applyBorder="1" applyAlignment="1">
      <alignment horizontal="center"/>
    </xf>
    <xf numFmtId="10" fontId="17" fillId="0" borderId="0" xfId="9" applyNumberFormat="1" applyAlignment="1">
      <alignment horizontal="center"/>
    </xf>
    <xf numFmtId="0" fontId="19" fillId="0" borderId="1" xfId="9" applyFont="1" applyBorder="1" applyAlignment="1">
      <alignment horizontal="right"/>
    </xf>
    <xf numFmtId="175" fontId="9" fillId="0" borderId="1" xfId="9" applyNumberFormat="1" applyFont="1" applyBorder="1" applyAlignment="1">
      <alignment horizontal="center"/>
    </xf>
    <xf numFmtId="174" fontId="9" fillId="0" borderId="0" xfId="9" applyNumberFormat="1" applyFont="1" applyAlignment="1">
      <alignment horizontal="center"/>
    </xf>
    <xf numFmtId="180" fontId="9" fillId="0" borderId="0" xfId="11" applyNumberFormat="1" applyFont="1" applyAlignment="1">
      <alignment horizontal="center"/>
    </xf>
    <xf numFmtId="175" fontId="17" fillId="9" borderId="6" xfId="9" applyNumberFormat="1" applyFill="1" applyBorder="1" applyAlignment="1">
      <alignment horizontal="center"/>
    </xf>
    <xf numFmtId="181" fontId="17" fillId="0" borderId="0" xfId="9" applyNumberFormat="1"/>
    <xf numFmtId="175" fontId="17" fillId="0" borderId="0" xfId="9" applyNumberFormat="1"/>
    <xf numFmtId="0" fontId="17" fillId="0" borderId="0" xfId="9" applyAlignment="1">
      <alignment vertical="center" wrapText="1"/>
    </xf>
    <xf numFmtId="0" fontId="17" fillId="0" borderId="0" xfId="9" applyAlignment="1">
      <alignment horizontal="left"/>
    </xf>
    <xf numFmtId="0" fontId="19" fillId="0" borderId="1" xfId="9" applyFont="1" applyBorder="1"/>
    <xf numFmtId="10" fontId="17" fillId="0" borderId="1" xfId="9" applyNumberFormat="1" applyBorder="1"/>
    <xf numFmtId="0" fontId="17" fillId="0" borderId="1" xfId="9" applyBorder="1"/>
    <xf numFmtId="175" fontId="17" fillId="0" borderId="0" xfId="9" applyNumberFormat="1" applyAlignment="1">
      <alignment horizontal="left"/>
    </xf>
    <xf numFmtId="173" fontId="17" fillId="0" borderId="1" xfId="9" applyNumberFormat="1" applyBorder="1"/>
    <xf numFmtId="173" fontId="19" fillId="0" borderId="1" xfId="9" applyNumberFormat="1" applyFont="1" applyBorder="1"/>
    <xf numFmtId="173" fontId="19" fillId="0" borderId="0" xfId="9" applyNumberFormat="1" applyFont="1"/>
    <xf numFmtId="10" fontId="19" fillId="0" borderId="0" xfId="9" applyNumberFormat="1" applyFont="1" applyAlignment="1">
      <alignment horizontal="left"/>
    </xf>
    <xf numFmtId="10" fontId="19" fillId="0" borderId="0" xfId="9" applyNumberFormat="1" applyFont="1" applyAlignment="1">
      <alignment horizontal="center"/>
    </xf>
    <xf numFmtId="0" fontId="19" fillId="0" borderId="0" xfId="9" applyFont="1" applyAlignment="1">
      <alignment horizontal="justify" vertical="center" wrapText="1"/>
    </xf>
    <xf numFmtId="0" fontId="23" fillId="0" borderId="0" xfId="9" applyFont="1" applyAlignment="1">
      <alignment horizontal="justify" vertical="center" wrapText="1"/>
    </xf>
    <xf numFmtId="4" fontId="20" fillId="0" borderId="0" xfId="9" applyNumberFormat="1" applyFont="1" applyAlignment="1">
      <alignment horizontal="center"/>
    </xf>
    <xf numFmtId="3" fontId="9" fillId="0" borderId="0" xfId="9" applyNumberFormat="1" applyFont="1"/>
    <xf numFmtId="9" fontId="17" fillId="0" borderId="1" xfId="9" applyNumberFormat="1" applyBorder="1"/>
    <xf numFmtId="3" fontId="9" fillId="0" borderId="1" xfId="9" applyNumberFormat="1" applyFont="1" applyBorder="1"/>
    <xf numFmtId="0" fontId="24" fillId="0" borderId="0" xfId="9" applyFont="1" applyAlignment="1">
      <alignment vertical="center" wrapText="1"/>
    </xf>
    <xf numFmtId="0" fontId="9" fillId="0" borderId="58" xfId="9" applyFont="1" applyBorder="1"/>
    <xf numFmtId="173" fontId="9" fillId="0" borderId="38" xfId="9" applyNumberFormat="1" applyFont="1" applyBorder="1"/>
    <xf numFmtId="173" fontId="9" fillId="0" borderId="59" xfId="9" applyNumberFormat="1" applyFont="1" applyBorder="1"/>
    <xf numFmtId="10" fontId="20" fillId="9" borderId="55" xfId="9" applyNumberFormat="1" applyFont="1" applyFill="1" applyBorder="1"/>
    <xf numFmtId="0" fontId="9" fillId="0" borderId="28" xfId="9" applyFont="1" applyBorder="1"/>
    <xf numFmtId="173" fontId="9" fillId="0" borderId="60" xfId="9" applyNumberFormat="1" applyFont="1" applyBorder="1"/>
    <xf numFmtId="173" fontId="9" fillId="0" borderId="31" xfId="9" applyNumberFormat="1" applyFont="1" applyBorder="1"/>
    <xf numFmtId="3" fontId="20" fillId="9" borderId="55" xfId="9" applyNumberFormat="1" applyFont="1" applyFill="1" applyBorder="1"/>
    <xf numFmtId="0" fontId="9" fillId="0" borderId="61" xfId="9" applyFont="1" applyBorder="1"/>
    <xf numFmtId="173" fontId="9" fillId="0" borderId="12" xfId="9" applyNumberFormat="1" applyFont="1" applyBorder="1"/>
    <xf numFmtId="173" fontId="9" fillId="0" borderId="3" xfId="9" applyNumberFormat="1" applyFont="1" applyBorder="1"/>
    <xf numFmtId="174" fontId="20" fillId="9" borderId="55" xfId="9" applyNumberFormat="1" applyFont="1" applyFill="1" applyBorder="1"/>
    <xf numFmtId="3" fontId="9" fillId="0" borderId="3" xfId="9" applyNumberFormat="1" applyFont="1" applyBorder="1"/>
    <xf numFmtId="3" fontId="19" fillId="0" borderId="0" xfId="9" applyNumberFormat="1" applyFont="1" applyAlignment="1">
      <alignment horizontal="center"/>
    </xf>
    <xf numFmtId="165" fontId="6" fillId="0" borderId="0" xfId="8" applyNumberFormat="1" applyFont="1"/>
    <xf numFmtId="172" fontId="6" fillId="0" borderId="0" xfId="2" applyNumberFormat="1" applyFont="1"/>
    <xf numFmtId="10" fontId="6" fillId="0" borderId="15" xfId="8" applyNumberFormat="1" applyFont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164" fontId="7" fillId="3" borderId="1" xfId="1" applyFont="1" applyFill="1" applyBorder="1" applyAlignment="1">
      <alignment horizontal="center" vertical="center"/>
    </xf>
    <xf numFmtId="0" fontId="7" fillId="3" borderId="47" xfId="0" applyFont="1" applyFill="1" applyBorder="1" applyAlignment="1">
      <alignment horizontal="center" vertical="center" wrapText="1"/>
    </xf>
    <xf numFmtId="9" fontId="5" fillId="3" borderId="1" xfId="0" applyNumberFormat="1" applyFont="1" applyFill="1" applyBorder="1"/>
    <xf numFmtId="2" fontId="5" fillId="4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/>
    <xf numFmtId="0" fontId="27" fillId="5" borderId="0" xfId="0" applyFont="1" applyFill="1"/>
    <xf numFmtId="9" fontId="5" fillId="2" borderId="1" xfId="0" applyNumberFormat="1" applyFont="1" applyFill="1" applyBorder="1"/>
    <xf numFmtId="164" fontId="7" fillId="2" borderId="1" xfId="1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164" fontId="27" fillId="5" borderId="0" xfId="1" applyFont="1" applyFill="1" applyBorder="1"/>
    <xf numFmtId="164" fontId="27" fillId="5" borderId="0" xfId="0" applyNumberFormat="1" applyFont="1" applyFill="1"/>
    <xf numFmtId="10" fontId="7" fillId="0" borderId="1" xfId="2" applyNumberFormat="1" applyFont="1" applyFill="1" applyBorder="1"/>
    <xf numFmtId="1" fontId="6" fillId="4" borderId="1" xfId="0" applyNumberFormat="1" applyFont="1" applyFill="1" applyBorder="1" applyAlignment="1">
      <alignment horizontal="center" vertical="center"/>
    </xf>
    <xf numFmtId="164" fontId="15" fillId="3" borderId="1" xfId="1" applyFont="1" applyFill="1" applyBorder="1"/>
    <xf numFmtId="0" fontId="5" fillId="14" borderId="62" xfId="0" applyFont="1" applyFill="1" applyBorder="1"/>
    <xf numFmtId="0" fontId="5" fillId="14" borderId="0" xfId="0" applyFont="1" applyFill="1"/>
    <xf numFmtId="174" fontId="5" fillId="4" borderId="0" xfId="0" applyNumberFormat="1" applyFont="1" applyFill="1"/>
    <xf numFmtId="0" fontId="15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174" fontId="5" fillId="4" borderId="0" xfId="0" applyNumberFormat="1" applyFont="1" applyFill="1" applyAlignment="1">
      <alignment horizontal="right"/>
    </xf>
    <xf numFmtId="174" fontId="7" fillId="4" borderId="0" xfId="0" applyNumberFormat="1" applyFont="1" applyFill="1" applyAlignment="1">
      <alignment horizontal="right"/>
    </xf>
    <xf numFmtId="9" fontId="5" fillId="0" borderId="1" xfId="2" applyFont="1" applyBorder="1"/>
    <xf numFmtId="164" fontId="5" fillId="7" borderId="1" xfId="1" applyFont="1" applyFill="1" applyBorder="1"/>
    <xf numFmtId="42" fontId="5" fillId="15" borderId="1" xfId="0" applyNumberFormat="1" applyFont="1" applyFill="1" applyBorder="1"/>
    <xf numFmtId="42" fontId="5" fillId="16" borderId="1" xfId="0" applyNumberFormat="1" applyFont="1" applyFill="1" applyBorder="1"/>
    <xf numFmtId="164" fontId="5" fillId="17" borderId="1" xfId="1" applyFont="1" applyFill="1" applyBorder="1"/>
    <xf numFmtId="42" fontId="5" fillId="8" borderId="1" xfId="0" applyNumberFormat="1" applyFont="1" applyFill="1" applyBorder="1"/>
    <xf numFmtId="0" fontId="5" fillId="14" borderId="1" xfId="0" applyFont="1" applyFill="1" applyBorder="1"/>
    <xf numFmtId="6" fontId="5" fillId="14" borderId="1" xfId="0" applyNumberFormat="1" applyFont="1" applyFill="1" applyBorder="1"/>
    <xf numFmtId="164" fontId="5" fillId="14" borderId="1" xfId="1" applyFont="1" applyFill="1" applyBorder="1"/>
    <xf numFmtId="6" fontId="5" fillId="14" borderId="3" xfId="0" applyNumberFormat="1" applyFont="1" applyFill="1" applyBorder="1"/>
    <xf numFmtId="164" fontId="5" fillId="14" borderId="3" xfId="1" applyFont="1" applyFill="1" applyBorder="1"/>
    <xf numFmtId="182" fontId="5" fillId="0" borderId="1" xfId="0" applyNumberFormat="1" applyFont="1" applyBorder="1"/>
    <xf numFmtId="6" fontId="5" fillId="14" borderId="0" xfId="0" applyNumberFormat="1" applyFont="1" applyFill="1"/>
    <xf numFmtId="6" fontId="6" fillId="14" borderId="0" xfId="0" applyNumberFormat="1" applyFont="1" applyFill="1" applyAlignment="1">
      <alignment horizontal="right" wrapText="1"/>
    </xf>
    <xf numFmtId="0" fontId="7" fillId="3" borderId="5" xfId="0" applyFont="1" applyFill="1" applyBorder="1" applyAlignment="1">
      <alignment horizontal="center"/>
    </xf>
    <xf numFmtId="0" fontId="7" fillId="3" borderId="74" xfId="0" applyFont="1" applyFill="1" applyBorder="1" applyAlignment="1">
      <alignment horizontal="center"/>
    </xf>
    <xf numFmtId="1" fontId="6" fillId="0" borderId="0" xfId="8" applyNumberFormat="1" applyFont="1" applyAlignment="1">
      <alignment horizontal="center"/>
    </xf>
    <xf numFmtId="173" fontId="9" fillId="3" borderId="36" xfId="9" applyNumberFormat="1" applyFont="1" applyFill="1" applyBorder="1" applyAlignment="1">
      <alignment horizontal="right" vertical="top" wrapText="1"/>
    </xf>
    <xf numFmtId="164" fontId="5" fillId="3" borderId="1" xfId="0" applyNumberFormat="1" applyFont="1" applyFill="1" applyBorder="1"/>
    <xf numFmtId="183" fontId="19" fillId="9" borderId="1" xfId="10" applyNumberFormat="1" applyFont="1" applyFill="1" applyBorder="1" applyAlignment="1">
      <alignment horizontal="center"/>
    </xf>
    <xf numFmtId="184" fontId="17" fillId="0" borderId="0" xfId="9" applyNumberFormat="1"/>
    <xf numFmtId="0" fontId="17" fillId="0" borderId="44" xfId="9" applyBorder="1"/>
    <xf numFmtId="173" fontId="17" fillId="0" borderId="82" xfId="9" applyNumberFormat="1" applyBorder="1"/>
    <xf numFmtId="184" fontId="17" fillId="0" borderId="45" xfId="9" applyNumberFormat="1" applyBorder="1"/>
    <xf numFmtId="9" fontId="17" fillId="0" borderId="83" xfId="9" applyNumberFormat="1" applyBorder="1"/>
    <xf numFmtId="164" fontId="5" fillId="14" borderId="1" xfId="0" applyNumberFormat="1" applyFont="1" applyFill="1" applyBorder="1"/>
    <xf numFmtId="0" fontId="13" fillId="4" borderId="0" xfId="0" applyFont="1" applyFill="1"/>
    <xf numFmtId="0" fontId="28" fillId="5" borderId="0" xfId="0" applyFont="1" applyFill="1"/>
    <xf numFmtId="173" fontId="28" fillId="0" borderId="1" xfId="0" applyNumberFormat="1" applyFont="1" applyBorder="1" applyAlignment="1">
      <alignment horizontal="center" vertical="center"/>
    </xf>
    <xf numFmtId="173" fontId="28" fillId="5" borderId="0" xfId="0" applyNumberFormat="1" applyFont="1" applyFill="1"/>
    <xf numFmtId="185" fontId="5" fillId="14" borderId="62" xfId="0" applyNumberFormat="1" applyFont="1" applyFill="1" applyBorder="1"/>
    <xf numFmtId="10" fontId="5" fillId="5" borderId="0" xfId="0" applyNumberFormat="1" applyFont="1" applyFill="1"/>
    <xf numFmtId="0" fontId="25" fillId="18" borderId="0" xfId="0" applyFont="1" applyFill="1"/>
    <xf numFmtId="0" fontId="7" fillId="3" borderId="3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2" borderId="62" xfId="0" applyFont="1" applyFill="1" applyBorder="1"/>
    <xf numFmtId="0" fontId="8" fillId="2" borderId="1" xfId="0" applyFont="1" applyFill="1" applyBorder="1"/>
    <xf numFmtId="0" fontId="5" fillId="14" borderId="63" xfId="0" applyFont="1" applyFill="1" applyBorder="1"/>
    <xf numFmtId="0" fontId="5" fillId="2" borderId="65" xfId="0" applyFont="1" applyFill="1" applyBorder="1"/>
    <xf numFmtId="0" fontId="19" fillId="2" borderId="35" xfId="9" applyFont="1" applyFill="1" applyBorder="1" applyAlignment="1">
      <alignment horizontal="center" vertical="top" wrapText="1"/>
    </xf>
    <xf numFmtId="0" fontId="19" fillId="2" borderId="26" xfId="9" applyFont="1" applyFill="1" applyBorder="1" applyAlignment="1">
      <alignment horizontal="center" vertical="top" wrapText="1"/>
    </xf>
    <xf numFmtId="16" fontId="17" fillId="0" borderId="1" xfId="9" applyNumberFormat="1" applyBorder="1"/>
    <xf numFmtId="0" fontId="6" fillId="2" borderId="1" xfId="8" applyFont="1" applyFill="1" applyBorder="1" applyAlignment="1">
      <alignment horizontal="center" vertical="center"/>
    </xf>
    <xf numFmtId="10" fontId="6" fillId="0" borderId="1" xfId="8" applyNumberFormat="1" applyFont="1" applyBorder="1" applyAlignment="1">
      <alignment horizontal="center"/>
    </xf>
    <xf numFmtId="176" fontId="5" fillId="6" borderId="0" xfId="0" applyNumberFormat="1" applyFont="1" applyFill="1"/>
    <xf numFmtId="175" fontId="5" fillId="5" borderId="0" xfId="0" applyNumberFormat="1" applyFont="1" applyFill="1"/>
    <xf numFmtId="0" fontId="11" fillId="0" borderId="1" xfId="0" applyFont="1" applyBorder="1"/>
    <xf numFmtId="0" fontId="6" fillId="0" borderId="1" xfId="0" applyFont="1" applyBorder="1" applyAlignment="1">
      <alignment horizontal="left" vertical="center"/>
    </xf>
    <xf numFmtId="6" fontId="6" fillId="0" borderId="1" xfId="0" applyNumberFormat="1" applyFont="1" applyBorder="1" applyAlignment="1">
      <alignment horizontal="left" vertical="center"/>
    </xf>
    <xf numFmtId="6" fontId="6" fillId="0" borderId="1" xfId="0" applyNumberFormat="1" applyFont="1" applyBorder="1" applyAlignment="1">
      <alignment horizontal="right" vertical="center"/>
    </xf>
    <xf numFmtId="0" fontId="6" fillId="19" borderId="1" xfId="0" applyFont="1" applyFill="1" applyBorder="1" applyAlignment="1">
      <alignment horizontal="left" vertical="center"/>
    </xf>
    <xf numFmtId="6" fontId="6" fillId="20" borderId="1" xfId="0" applyNumberFormat="1" applyFont="1" applyFill="1" applyBorder="1" applyAlignment="1">
      <alignment horizontal="right" vertical="center"/>
    </xf>
    <xf numFmtId="6" fontId="6" fillId="20" borderId="1" xfId="0" applyNumberFormat="1" applyFont="1" applyFill="1" applyBorder="1" applyAlignment="1">
      <alignment horizontal="left" vertical="center"/>
    </xf>
    <xf numFmtId="10" fontId="6" fillId="0" borderId="1" xfId="0" applyNumberFormat="1" applyFont="1" applyBorder="1" applyAlignment="1">
      <alignment horizontal="right" vertical="center"/>
    </xf>
    <xf numFmtId="6" fontId="11" fillId="0" borderId="1" xfId="0" applyNumberFormat="1" applyFont="1" applyBorder="1"/>
    <xf numFmtId="0" fontId="11" fillId="19" borderId="1" xfId="0" applyFont="1" applyFill="1" applyBorder="1"/>
    <xf numFmtId="6" fontId="11" fillId="19" borderId="1" xfId="0" applyNumberFormat="1" applyFont="1" applyFill="1" applyBorder="1"/>
    <xf numFmtId="6" fontId="6" fillId="0" borderId="7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wrapText="1"/>
    </xf>
    <xf numFmtId="0" fontId="6" fillId="0" borderId="1" xfId="0" applyFont="1" applyBorder="1" applyAlignment="1">
      <alignment horizontal="left" vertical="center" wrapText="1"/>
    </xf>
    <xf numFmtId="164" fontId="6" fillId="0" borderId="1" xfId="1" applyFont="1" applyBorder="1" applyAlignment="1">
      <alignment horizontal="left" vertical="center"/>
    </xf>
    <xf numFmtId="164" fontId="6" fillId="0" borderId="1" xfId="1" applyFont="1" applyBorder="1" applyAlignment="1">
      <alignment vertical="center"/>
    </xf>
    <xf numFmtId="164" fontId="11" fillId="0" borderId="1" xfId="1" applyFont="1" applyBorder="1"/>
    <xf numFmtId="9" fontId="6" fillId="0" borderId="1" xfId="2" applyFont="1" applyBorder="1" applyAlignment="1">
      <alignment vertical="center"/>
    </xf>
    <xf numFmtId="164" fontId="6" fillId="0" borderId="1" xfId="1" applyFont="1" applyBorder="1" applyAlignment="1">
      <alignment horizontal="right" vertical="center"/>
    </xf>
    <xf numFmtId="164" fontId="6" fillId="2" borderId="1" xfId="1" applyFont="1" applyFill="1" applyBorder="1" applyAlignment="1">
      <alignment horizontal="left" vertical="center"/>
    </xf>
    <xf numFmtId="9" fontId="6" fillId="2" borderId="1" xfId="2" applyFont="1" applyFill="1" applyBorder="1" applyAlignment="1">
      <alignment vertical="center"/>
    </xf>
    <xf numFmtId="10" fontId="6" fillId="2" borderId="1" xfId="0" applyNumberFormat="1" applyFont="1" applyFill="1" applyBorder="1" applyAlignment="1">
      <alignment horizontal="right" vertical="center"/>
    </xf>
    <xf numFmtId="6" fontId="6" fillId="0" borderId="1" xfId="0" applyNumberFormat="1" applyFont="1" applyBorder="1" applyAlignment="1">
      <alignment vertical="center"/>
    </xf>
    <xf numFmtId="0" fontId="14" fillId="21" borderId="1" xfId="0" applyFont="1" applyFill="1" applyBorder="1" applyAlignment="1">
      <alignment horizontal="center" vertical="center" wrapText="1"/>
    </xf>
    <xf numFmtId="6" fontId="6" fillId="22" borderId="1" xfId="0" applyNumberFormat="1" applyFont="1" applyFill="1" applyBorder="1" applyAlignment="1">
      <alignment horizontal="right" vertical="center"/>
    </xf>
    <xf numFmtId="6" fontId="6" fillId="22" borderId="1" xfId="0" applyNumberFormat="1" applyFont="1" applyFill="1" applyBorder="1" applyAlignment="1">
      <alignment horizontal="left" vertical="center"/>
    </xf>
    <xf numFmtId="6" fontId="11" fillId="22" borderId="1" xfId="0" applyNumberFormat="1" applyFont="1" applyFill="1" applyBorder="1"/>
    <xf numFmtId="164" fontId="6" fillId="23" borderId="1" xfId="1" applyFont="1" applyFill="1" applyBorder="1" applyAlignment="1">
      <alignment horizontal="left" vertical="center"/>
    </xf>
    <xf numFmtId="0" fontId="8" fillId="25" borderId="1" xfId="0" applyFont="1" applyFill="1" applyBorder="1" applyAlignment="1">
      <alignment horizontal="left" vertical="center" wrapText="1"/>
    </xf>
    <xf numFmtId="0" fontId="6" fillId="25" borderId="1" xfId="0" applyFont="1" applyFill="1" applyBorder="1" applyAlignment="1">
      <alignment horizontal="center" vertical="center" wrapText="1"/>
    </xf>
    <xf numFmtId="0" fontId="11" fillId="25" borderId="1" xfId="0" applyFont="1" applyFill="1" applyBorder="1"/>
    <xf numFmtId="0" fontId="6" fillId="25" borderId="1" xfId="0" applyFont="1" applyFill="1" applyBorder="1" applyAlignment="1">
      <alignment horizontal="left" vertical="center"/>
    </xf>
    <xf numFmtId="0" fontId="6" fillId="24" borderId="1" xfId="0" applyFont="1" applyFill="1" applyBorder="1" applyAlignment="1">
      <alignment horizontal="left" vertical="center"/>
    </xf>
    <xf numFmtId="9" fontId="6" fillId="2" borderId="33" xfId="0" applyNumberFormat="1" applyFont="1" applyFill="1" applyBorder="1" applyAlignment="1">
      <alignment horizontal="left" vertical="center"/>
    </xf>
    <xf numFmtId="6" fontId="6" fillId="0" borderId="33" xfId="0" applyNumberFormat="1" applyFont="1" applyBorder="1" applyAlignment="1">
      <alignment horizontal="left" vertical="center"/>
    </xf>
    <xf numFmtId="6" fontId="6" fillId="20" borderId="34" xfId="0" applyNumberFormat="1" applyFont="1" applyFill="1" applyBorder="1" applyAlignment="1">
      <alignment horizontal="left" vertical="center"/>
    </xf>
    <xf numFmtId="10" fontId="5" fillId="2" borderId="1" xfId="0" applyNumberFormat="1" applyFont="1" applyFill="1" applyBorder="1"/>
    <xf numFmtId="0" fontId="7" fillId="2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" fontId="6" fillId="28" borderId="1" xfId="8" applyNumberFormat="1" applyFont="1" applyFill="1" applyBorder="1" applyAlignment="1">
      <alignment horizontal="center"/>
    </xf>
    <xf numFmtId="3" fontId="6" fillId="28" borderId="1" xfId="8" applyNumberFormat="1" applyFont="1" applyFill="1" applyBorder="1" applyAlignment="1">
      <alignment horizontal="center" vertical="center"/>
    </xf>
    <xf numFmtId="0" fontId="5" fillId="14" borderId="87" xfId="0" applyFont="1" applyFill="1" applyBorder="1"/>
    <xf numFmtId="6" fontId="5" fillId="28" borderId="1" xfId="0" applyNumberFormat="1" applyFont="1" applyFill="1" applyBorder="1"/>
    <xf numFmtId="0" fontId="5" fillId="28" borderId="1" xfId="0" applyFont="1" applyFill="1" applyBorder="1" applyAlignment="1">
      <alignment horizontal="center" vertical="center"/>
    </xf>
    <xf numFmtId="10" fontId="5" fillId="0" borderId="1" xfId="2" applyNumberFormat="1" applyFont="1" applyFill="1" applyBorder="1" applyAlignment="1">
      <alignment horizontal="center" vertical="center"/>
    </xf>
    <xf numFmtId="10" fontId="8" fillId="0" borderId="1" xfId="2" applyNumberFormat="1" applyFont="1" applyFill="1" applyBorder="1" applyAlignment="1">
      <alignment horizontal="center" vertical="center"/>
    </xf>
    <xf numFmtId="10" fontId="5" fillId="28" borderId="1" xfId="2" applyNumberFormat="1" applyFont="1" applyFill="1" applyBorder="1" applyAlignment="1">
      <alignment horizontal="center" vertical="center"/>
    </xf>
    <xf numFmtId="10" fontId="5" fillId="3" borderId="1" xfId="2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6" fontId="8" fillId="0" borderId="1" xfId="3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76" fontId="8" fillId="0" borderId="1" xfId="3" applyNumberFormat="1" applyFont="1" applyBorder="1" applyAlignment="1">
      <alignment horizontal="center"/>
    </xf>
    <xf numFmtId="176" fontId="8" fillId="3" borderId="1" xfId="3" applyNumberFormat="1" applyFont="1" applyFill="1" applyBorder="1" applyAlignment="1">
      <alignment horizontal="center"/>
    </xf>
    <xf numFmtId="0" fontId="5" fillId="0" borderId="31" xfId="0" applyFont="1" applyBorder="1" applyAlignment="1">
      <alignment horizontal="center" vertical="center"/>
    </xf>
    <xf numFmtId="176" fontId="8" fillId="3" borderId="7" xfId="3" applyNumberFormat="1" applyFont="1" applyFill="1" applyBorder="1" applyAlignment="1">
      <alignment horizontal="center"/>
    </xf>
    <xf numFmtId="0" fontId="5" fillId="0" borderId="32" xfId="0" applyFont="1" applyBorder="1"/>
    <xf numFmtId="0" fontId="8" fillId="0" borderId="33" xfId="0" applyFont="1" applyBorder="1" applyAlignment="1">
      <alignment horizontal="center"/>
    </xf>
    <xf numFmtId="177" fontId="8" fillId="2" borderId="33" xfId="3" applyNumberFormat="1" applyFont="1" applyFill="1" applyBorder="1" applyAlignment="1">
      <alignment horizontal="center"/>
    </xf>
    <xf numFmtId="176" fontId="8" fillId="0" borderId="34" xfId="3" applyNumberFormat="1" applyFont="1" applyBorder="1" applyAlignment="1">
      <alignment horizontal="center" vertical="center"/>
    </xf>
    <xf numFmtId="165" fontId="8" fillId="0" borderId="1" xfId="7" applyFont="1" applyBorder="1" applyAlignment="1">
      <alignment vertical="center"/>
    </xf>
    <xf numFmtId="165" fontId="8" fillId="0" borderId="1" xfId="7" applyFont="1" applyBorder="1" applyAlignment="1">
      <alignment horizontal="center" vertical="center"/>
    </xf>
    <xf numFmtId="177" fontId="8" fillId="0" borderId="32" xfId="3" applyNumberFormat="1" applyFont="1" applyBorder="1" applyAlignment="1">
      <alignment horizontal="center"/>
    </xf>
    <xf numFmtId="0" fontId="14" fillId="2" borderId="28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8" fillId="0" borderId="1" xfId="3" applyNumberFormat="1" applyFont="1" applyBorder="1" applyAlignment="1">
      <alignment horizontal="center" vertical="center"/>
    </xf>
    <xf numFmtId="176" fontId="8" fillId="2" borderId="34" xfId="3" applyNumberFormat="1" applyFont="1" applyFill="1" applyBorder="1" applyAlignment="1">
      <alignment horizontal="center" vertical="center"/>
    </xf>
    <xf numFmtId="176" fontId="8" fillId="3" borderId="33" xfId="3" applyNumberFormat="1" applyFont="1" applyFill="1" applyBorder="1" applyAlignment="1">
      <alignment horizontal="center"/>
    </xf>
    <xf numFmtId="0" fontId="14" fillId="3" borderId="28" xfId="0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center" vertical="center"/>
    </xf>
    <xf numFmtId="1" fontId="5" fillId="29" borderId="1" xfId="0" applyNumberFormat="1" applyFont="1" applyFill="1" applyBorder="1" applyAlignment="1">
      <alignment horizontal="center"/>
    </xf>
    <xf numFmtId="2" fontId="8" fillId="4" borderId="1" xfId="0" applyNumberFormat="1" applyFont="1" applyFill="1" applyBorder="1" applyAlignment="1">
      <alignment horizontal="center"/>
    </xf>
    <xf numFmtId="6" fontId="14" fillId="2" borderId="1" xfId="0" applyNumberFormat="1" applyFont="1" applyFill="1" applyBorder="1" applyAlignment="1">
      <alignment horizontal="center" vertical="center" wrapText="1"/>
    </xf>
    <xf numFmtId="10" fontId="14" fillId="23" borderId="1" xfId="0" applyNumberFormat="1" applyFont="1" applyFill="1" applyBorder="1" applyAlignment="1">
      <alignment horizontal="center"/>
    </xf>
    <xf numFmtId="10" fontId="14" fillId="23" borderId="1" xfId="0" applyNumberFormat="1" applyFont="1" applyFill="1" applyBorder="1"/>
    <xf numFmtId="170" fontId="14" fillId="23" borderId="1" xfId="2" applyNumberFormat="1" applyFont="1" applyFill="1" applyBorder="1"/>
    <xf numFmtId="164" fontId="8" fillId="23" borderId="1" xfId="1" applyFont="1" applyFill="1" applyBorder="1"/>
    <xf numFmtId="0" fontId="7" fillId="2" borderId="1" xfId="0" applyFont="1" applyFill="1" applyBorder="1"/>
    <xf numFmtId="164" fontId="5" fillId="23" borderId="1" xfId="0" applyNumberFormat="1" applyFont="1" applyFill="1" applyBorder="1"/>
    <xf numFmtId="164" fontId="8" fillId="2" borderId="1" xfId="1" applyFont="1" applyFill="1" applyBorder="1"/>
    <xf numFmtId="6" fontId="14" fillId="2" borderId="1" xfId="0" applyNumberFormat="1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7" fillId="3" borderId="1" xfId="0" applyFont="1" applyFill="1" applyBorder="1" applyAlignment="1">
      <alignment vertical="center"/>
    </xf>
    <xf numFmtId="1" fontId="5" fillId="0" borderId="1" xfId="1" applyNumberFormat="1" applyFont="1" applyFill="1" applyBorder="1" applyAlignment="1">
      <alignment horizontal="center"/>
    </xf>
    <xf numFmtId="0" fontId="5" fillId="2" borderId="62" xfId="0" applyFont="1" applyFill="1" applyBorder="1"/>
    <xf numFmtId="170" fontId="15" fillId="2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/>
    <xf numFmtId="0" fontId="8" fillId="3" borderId="1" xfId="0" applyFont="1" applyFill="1" applyBorder="1"/>
    <xf numFmtId="164" fontId="14" fillId="2" borderId="33" xfId="1" applyFont="1" applyFill="1" applyBorder="1"/>
    <xf numFmtId="0" fontId="8" fillId="2" borderId="89" xfId="0" applyFont="1" applyFill="1" applyBorder="1"/>
    <xf numFmtId="0" fontId="8" fillId="2" borderId="87" xfId="0" applyFont="1" applyFill="1" applyBorder="1"/>
    <xf numFmtId="0" fontId="8" fillId="3" borderId="1" xfId="0" applyFont="1" applyFill="1" applyBorder="1" applyAlignment="1">
      <alignment vertical="top" wrapText="1"/>
    </xf>
    <xf numFmtId="0" fontId="8" fillId="0" borderId="0" xfId="0" applyFont="1"/>
    <xf numFmtId="0" fontId="8" fillId="2" borderId="6" xfId="0" applyFont="1" applyFill="1" applyBorder="1"/>
    <xf numFmtId="0" fontId="7" fillId="2" borderId="33" xfId="0" applyFont="1" applyFill="1" applyBorder="1"/>
    <xf numFmtId="0" fontId="8" fillId="2" borderId="30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wrapText="1"/>
    </xf>
    <xf numFmtId="0" fontId="8" fillId="2" borderId="7" xfId="0" applyFont="1" applyFill="1" applyBorder="1" applyAlignment="1">
      <alignment horizontal="center" wrapText="1"/>
    </xf>
    <xf numFmtId="0" fontId="14" fillId="2" borderId="74" xfId="0" applyFont="1" applyFill="1" applyBorder="1" applyAlignment="1">
      <alignment horizontal="center" vertical="center" wrapText="1"/>
    </xf>
    <xf numFmtId="4" fontId="19" fillId="0" borderId="1" xfId="0" applyNumberFormat="1" applyFont="1" applyBorder="1" applyAlignment="1">
      <alignment horizontal="center" vertical="center"/>
    </xf>
    <xf numFmtId="4" fontId="17" fillId="0" borderId="1" xfId="0" applyNumberFormat="1" applyFont="1" applyBorder="1" applyAlignment="1">
      <alignment horizontal="center" vertical="center" wrapText="1"/>
    </xf>
    <xf numFmtId="0" fontId="5" fillId="27" borderId="29" xfId="0" applyFont="1" applyFill="1" applyBorder="1" applyAlignment="1">
      <alignment horizontal="center" vertical="center"/>
    </xf>
    <xf numFmtId="9" fontId="7" fillId="27" borderId="30" xfId="2" applyFont="1" applyFill="1" applyBorder="1" applyAlignment="1">
      <alignment horizontal="center" vertical="center"/>
    </xf>
    <xf numFmtId="0" fontId="5" fillId="27" borderId="33" xfId="0" applyFont="1" applyFill="1" applyBorder="1" applyAlignment="1">
      <alignment horizontal="center" vertical="center"/>
    </xf>
    <xf numFmtId="9" fontId="7" fillId="27" borderId="34" xfId="2" applyFont="1" applyFill="1" applyBorder="1" applyAlignment="1">
      <alignment horizontal="center" vertical="center"/>
    </xf>
    <xf numFmtId="9" fontId="7" fillId="27" borderId="30" xfId="2" applyFont="1" applyFill="1" applyBorder="1" applyAlignment="1">
      <alignment horizontal="center"/>
    </xf>
    <xf numFmtId="9" fontId="7" fillId="27" borderId="34" xfId="2" applyFont="1" applyFill="1" applyBorder="1" applyAlignment="1">
      <alignment horizontal="center"/>
    </xf>
    <xf numFmtId="10" fontId="6" fillId="30" borderId="1" xfId="2" applyNumberFormat="1" applyFont="1" applyFill="1" applyBorder="1" applyAlignment="1">
      <alignment horizontal="center" wrapText="1"/>
    </xf>
    <xf numFmtId="172" fontId="6" fillId="30" borderId="1" xfId="2" applyNumberFormat="1" applyFont="1" applyFill="1" applyBorder="1" applyAlignment="1">
      <alignment horizontal="center" wrapText="1"/>
    </xf>
    <xf numFmtId="9" fontId="4" fillId="30" borderId="1" xfId="2" applyFont="1" applyFill="1" applyBorder="1" applyAlignment="1">
      <alignment horizontal="center" wrapText="1"/>
    </xf>
    <xf numFmtId="0" fontId="17" fillId="3" borderId="1" xfId="9" applyFill="1" applyBorder="1"/>
    <xf numFmtId="4" fontId="17" fillId="0" borderId="1" xfId="9" applyNumberFormat="1" applyBorder="1" applyAlignment="1">
      <alignment horizontal="center"/>
    </xf>
    <xf numFmtId="175" fontId="17" fillId="0" borderId="1" xfId="9" applyNumberFormat="1" applyBorder="1" applyAlignment="1">
      <alignment horizontal="center"/>
    </xf>
    <xf numFmtId="183" fontId="17" fillId="0" borderId="1" xfId="9" applyNumberFormat="1" applyBorder="1"/>
    <xf numFmtId="10" fontId="17" fillId="0" borderId="1" xfId="9" applyNumberFormat="1" applyBorder="1" applyAlignment="1">
      <alignment horizontal="center"/>
    </xf>
    <xf numFmtId="0" fontId="17" fillId="31" borderId="1" xfId="9" applyFill="1" applyBorder="1"/>
    <xf numFmtId="0" fontId="17" fillId="32" borderId="1" xfId="9" applyFill="1" applyBorder="1"/>
    <xf numFmtId="0" fontId="17" fillId="8" borderId="1" xfId="9" applyFill="1" applyBorder="1"/>
    <xf numFmtId="9" fontId="17" fillId="31" borderId="1" xfId="9" applyNumberFormat="1" applyFill="1" applyBorder="1" applyAlignment="1">
      <alignment horizontal="center"/>
    </xf>
    <xf numFmtId="9" fontId="17" fillId="8" borderId="1" xfId="9" applyNumberFormat="1" applyFill="1" applyBorder="1" applyAlignment="1">
      <alignment horizontal="center"/>
    </xf>
    <xf numFmtId="9" fontId="17" fillId="32" borderId="1" xfId="9" applyNumberFormat="1" applyFill="1" applyBorder="1" applyAlignment="1">
      <alignment horizontal="center"/>
    </xf>
    <xf numFmtId="9" fontId="17" fillId="3" borderId="1" xfId="9" applyNumberFormat="1" applyFill="1" applyBorder="1" applyAlignment="1">
      <alignment horizontal="center"/>
    </xf>
    <xf numFmtId="0" fontId="17" fillId="26" borderId="1" xfId="9" applyFill="1" applyBorder="1" applyAlignment="1">
      <alignment horizontal="center" vertical="center" wrapText="1"/>
    </xf>
    <xf numFmtId="173" fontId="9" fillId="3" borderId="58" xfId="9" applyNumberFormat="1" applyFont="1" applyFill="1" applyBorder="1" applyAlignment="1">
      <alignment horizontal="right" vertical="top" wrapText="1"/>
    </xf>
    <xf numFmtId="173" fontId="9" fillId="0" borderId="38" xfId="9" applyNumberFormat="1" applyFont="1" applyBorder="1" applyAlignment="1">
      <alignment horizontal="right" vertical="top" wrapText="1"/>
    </xf>
    <xf numFmtId="173" fontId="20" fillId="0" borderId="38" xfId="9" applyNumberFormat="1" applyFont="1" applyBorder="1"/>
    <xf numFmtId="173" fontId="20" fillId="9" borderId="35" xfId="9" applyNumberFormat="1" applyFont="1" applyFill="1" applyBorder="1" applyAlignment="1">
      <alignment horizontal="right" vertical="top" wrapText="1"/>
    </xf>
    <xf numFmtId="173" fontId="20" fillId="9" borderId="14" xfId="9" applyNumberFormat="1" applyFont="1" applyFill="1" applyBorder="1" applyAlignment="1">
      <alignment horizontal="right" vertical="top" wrapText="1"/>
    </xf>
    <xf numFmtId="0" fontId="17" fillId="0" borderId="58" xfId="9" applyBorder="1"/>
    <xf numFmtId="0" fontId="5" fillId="28" borderId="3" xfId="0" applyFont="1" applyFill="1" applyBorder="1"/>
    <xf numFmtId="176" fontId="8" fillId="33" borderId="7" xfId="3" applyNumberFormat="1" applyFont="1" applyFill="1" applyBorder="1" applyAlignment="1">
      <alignment horizontal="center" vertical="center"/>
    </xf>
    <xf numFmtId="0" fontId="5" fillId="33" borderId="3" xfId="0" applyFont="1" applyFill="1" applyBorder="1" applyAlignment="1">
      <alignment horizontal="center"/>
    </xf>
    <xf numFmtId="6" fontId="5" fillId="33" borderId="3" xfId="0" applyNumberFormat="1" applyFont="1" applyFill="1" applyBorder="1"/>
    <xf numFmtId="1" fontId="5" fillId="28" borderId="1" xfId="0" applyNumberFormat="1" applyFont="1" applyFill="1" applyBorder="1" applyAlignment="1">
      <alignment horizontal="center"/>
    </xf>
    <xf numFmtId="6" fontId="7" fillId="28" borderId="1" xfId="0" applyNumberFormat="1" applyFont="1" applyFill="1" applyBorder="1"/>
    <xf numFmtId="0" fontId="7" fillId="28" borderId="1" xfId="0" applyFont="1" applyFill="1" applyBorder="1" applyAlignment="1">
      <alignment horizontal="center"/>
    </xf>
    <xf numFmtId="10" fontId="7" fillId="28" borderId="1" xfId="2" applyNumberFormat="1" applyFont="1" applyFill="1" applyBorder="1"/>
    <xf numFmtId="170" fontId="7" fillId="28" borderId="1" xfId="2" applyNumberFormat="1" applyFont="1" applyFill="1" applyBorder="1"/>
    <xf numFmtId="164" fontId="5" fillId="28" borderId="1" xfId="1" applyFont="1" applyFill="1" applyBorder="1"/>
    <xf numFmtId="0" fontId="5" fillId="28" borderId="1" xfId="0" applyFont="1" applyFill="1" applyBorder="1"/>
    <xf numFmtId="164" fontId="5" fillId="28" borderId="1" xfId="0" applyNumberFormat="1" applyFont="1" applyFill="1" applyBorder="1"/>
    <xf numFmtId="0" fontId="7" fillId="28" borderId="1" xfId="0" applyFont="1" applyFill="1" applyBorder="1" applyAlignment="1">
      <alignment horizontal="center" vertical="center"/>
    </xf>
    <xf numFmtId="164" fontId="7" fillId="28" borderId="1" xfId="1" applyFont="1" applyFill="1" applyBorder="1" applyAlignment="1">
      <alignment horizontal="center" vertical="center" wrapText="1"/>
    </xf>
    <xf numFmtId="164" fontId="7" fillId="28" borderId="1" xfId="1" applyFont="1" applyFill="1" applyBorder="1" applyAlignment="1">
      <alignment horizontal="center" vertical="center"/>
    </xf>
    <xf numFmtId="0" fontId="14" fillId="28" borderId="1" xfId="0" applyFont="1" applyFill="1" applyBorder="1"/>
    <xf numFmtId="164" fontId="8" fillId="28" borderId="1" xfId="1" applyFont="1" applyFill="1" applyBorder="1"/>
    <xf numFmtId="164" fontId="8" fillId="28" borderId="6" xfId="1" applyFont="1" applyFill="1" applyBorder="1"/>
    <xf numFmtId="164" fontId="8" fillId="28" borderId="1" xfId="1" applyFont="1" applyFill="1" applyBorder="1" applyAlignment="1">
      <alignment horizontal="right"/>
    </xf>
    <xf numFmtId="0" fontId="8" fillId="28" borderId="1" xfId="0" applyFont="1" applyFill="1" applyBorder="1"/>
    <xf numFmtId="0" fontId="14" fillId="0" borderId="1" xfId="0" applyFont="1" applyBorder="1" applyAlignment="1">
      <alignment horizontal="center"/>
    </xf>
    <xf numFmtId="6" fontId="7" fillId="3" borderId="6" xfId="0" applyNumberFormat="1" applyFont="1" applyFill="1" applyBorder="1" applyAlignment="1">
      <alignment horizontal="center"/>
    </xf>
    <xf numFmtId="164" fontId="7" fillId="28" borderId="1" xfId="0" applyNumberFormat="1" applyFont="1" applyFill="1" applyBorder="1"/>
    <xf numFmtId="0" fontId="7" fillId="3" borderId="1" xfId="0" applyFont="1" applyFill="1" applyBorder="1" applyAlignment="1">
      <alignment horizontal="left" wrapText="1"/>
    </xf>
    <xf numFmtId="9" fontId="5" fillId="28" borderId="1" xfId="0" applyNumberFormat="1" applyFont="1" applyFill="1" applyBorder="1" applyAlignment="1">
      <alignment horizontal="center" vertical="center"/>
    </xf>
    <xf numFmtId="9" fontId="15" fillId="28" borderId="1" xfId="0" applyNumberFormat="1" applyFont="1" applyFill="1" applyBorder="1" applyAlignment="1">
      <alignment horizontal="center" vertical="center"/>
    </xf>
    <xf numFmtId="0" fontId="5" fillId="28" borderId="1" xfId="0" applyFont="1" applyFill="1" applyBorder="1" applyAlignment="1">
      <alignment vertical="center"/>
    </xf>
    <xf numFmtId="0" fontId="5" fillId="28" borderId="40" xfId="0" applyFont="1" applyFill="1" applyBorder="1" applyAlignment="1">
      <alignment vertical="center"/>
    </xf>
    <xf numFmtId="0" fontId="5" fillId="28" borderId="2" xfId="0" applyFont="1" applyFill="1" applyBorder="1" applyAlignment="1">
      <alignment vertical="center"/>
    </xf>
    <xf numFmtId="9" fontId="8" fillId="28" borderId="1" xfId="0" applyNumberFormat="1" applyFont="1" applyFill="1" applyBorder="1"/>
    <xf numFmtId="164" fontId="5" fillId="14" borderId="0" xfId="1" applyFont="1" applyFill="1" applyBorder="1"/>
    <xf numFmtId="164" fontId="5" fillId="14" borderId="7" xfId="1" applyFont="1" applyFill="1" applyBorder="1"/>
    <xf numFmtId="164" fontId="8" fillId="2" borderId="7" xfId="1" applyFont="1" applyFill="1" applyBorder="1"/>
    <xf numFmtId="164" fontId="14" fillId="2" borderId="34" xfId="1" applyFont="1" applyFill="1" applyBorder="1"/>
    <xf numFmtId="170" fontId="5" fillId="0" borderId="1" xfId="2" applyNumberFormat="1" applyFont="1" applyBorder="1" applyAlignment="1">
      <alignment horizontal="center"/>
    </xf>
    <xf numFmtId="164" fontId="5" fillId="34" borderId="1" xfId="1" applyFont="1" applyFill="1" applyBorder="1"/>
    <xf numFmtId="42" fontId="5" fillId="34" borderId="1" xfId="0" applyNumberFormat="1" applyFont="1" applyFill="1" applyBorder="1"/>
    <xf numFmtId="164" fontId="5" fillId="33" borderId="1" xfId="1" applyFont="1" applyFill="1" applyBorder="1"/>
    <xf numFmtId="42" fontId="5" fillId="33" borderId="1" xfId="0" applyNumberFormat="1" applyFont="1" applyFill="1" applyBorder="1"/>
    <xf numFmtId="164" fontId="5" fillId="35" borderId="1" xfId="1" applyFont="1" applyFill="1" applyBorder="1"/>
    <xf numFmtId="42" fontId="5" fillId="35" borderId="1" xfId="0" applyNumberFormat="1" applyFont="1" applyFill="1" applyBorder="1"/>
    <xf numFmtId="42" fontId="5" fillId="28" borderId="1" xfId="0" applyNumberFormat="1" applyFont="1" applyFill="1" applyBorder="1"/>
    <xf numFmtId="164" fontId="8" fillId="28" borderId="1" xfId="0" applyNumberFormat="1" applyFont="1" applyFill="1" applyBorder="1"/>
    <xf numFmtId="0" fontId="14" fillId="3" borderId="3" xfId="0" applyFont="1" applyFill="1" applyBorder="1" applyAlignment="1">
      <alignment horizontal="center"/>
    </xf>
    <xf numFmtId="172" fontId="6" fillId="30" borderId="3" xfId="2" applyNumberFormat="1" applyFont="1" applyFill="1" applyBorder="1" applyAlignment="1">
      <alignment horizontal="center" wrapText="1"/>
    </xf>
    <xf numFmtId="9" fontId="4" fillId="30" borderId="3" xfId="2" applyFont="1" applyFill="1" applyBorder="1" applyAlignment="1">
      <alignment horizontal="center" wrapText="1"/>
    </xf>
    <xf numFmtId="10" fontId="6" fillId="30" borderId="3" xfId="2" applyNumberFormat="1" applyFont="1" applyFill="1" applyBorder="1" applyAlignment="1">
      <alignment horizontal="center" wrapText="1"/>
    </xf>
    <xf numFmtId="0" fontId="14" fillId="3" borderId="7" xfId="0" applyFont="1" applyFill="1" applyBorder="1" applyAlignment="1">
      <alignment horizontal="center"/>
    </xf>
    <xf numFmtId="6" fontId="6" fillId="14" borderId="33" xfId="0" applyNumberFormat="1" applyFont="1" applyFill="1" applyBorder="1" applyAlignment="1">
      <alignment horizontal="right" wrapText="1"/>
    </xf>
    <xf numFmtId="6" fontId="6" fillId="14" borderId="34" xfId="0" applyNumberFormat="1" applyFont="1" applyFill="1" applyBorder="1" applyAlignment="1">
      <alignment horizontal="right" wrapText="1"/>
    </xf>
    <xf numFmtId="0" fontId="8" fillId="2" borderId="74" xfId="0" applyFont="1" applyFill="1" applyBorder="1" applyAlignment="1">
      <alignment horizontal="center" wrapText="1"/>
    </xf>
    <xf numFmtId="0" fontId="14" fillId="2" borderId="34" xfId="0" applyFont="1" applyFill="1" applyBorder="1" applyAlignment="1">
      <alignment wrapText="1"/>
    </xf>
    <xf numFmtId="10" fontId="5" fillId="5" borderId="0" xfId="2" applyNumberFormat="1" applyFont="1" applyFill="1"/>
    <xf numFmtId="2" fontId="5" fillId="0" borderId="1" xfId="2" applyNumberFormat="1" applyFont="1" applyFill="1" applyBorder="1" applyAlignment="1">
      <alignment horizontal="center" vertical="center"/>
    </xf>
    <xf numFmtId="166" fontId="17" fillId="0" borderId="0" xfId="4" applyFont="1"/>
    <xf numFmtId="6" fontId="6" fillId="4" borderId="0" xfId="0" applyNumberFormat="1" applyFont="1" applyFill="1" applyAlignment="1">
      <alignment horizontal="right" wrapText="1"/>
    </xf>
    <xf numFmtId="10" fontId="9" fillId="0" borderId="3" xfId="2" applyNumberFormat="1" applyFont="1" applyBorder="1"/>
    <xf numFmtId="0" fontId="19" fillId="0" borderId="60" xfId="9" applyFont="1" applyBorder="1" applyAlignment="1">
      <alignment horizontal="left"/>
    </xf>
    <xf numFmtId="0" fontId="19" fillId="0" borderId="6" xfId="9" applyFont="1" applyBorder="1" applyAlignment="1">
      <alignment horizontal="left"/>
    </xf>
    <xf numFmtId="0" fontId="19" fillId="0" borderId="84" xfId="9" applyFont="1" applyBorder="1" applyAlignment="1">
      <alignment horizontal="left"/>
    </xf>
    <xf numFmtId="0" fontId="9" fillId="0" borderId="101" xfId="9" applyFont="1" applyBorder="1"/>
    <xf numFmtId="175" fontId="17" fillId="9" borderId="1" xfId="9" applyNumberFormat="1" applyFill="1" applyBorder="1" applyAlignment="1">
      <alignment horizontal="center"/>
    </xf>
    <xf numFmtId="10" fontId="17" fillId="9" borderId="1" xfId="2" applyNumberFormat="1" applyFont="1" applyFill="1" applyBorder="1" applyAlignment="1">
      <alignment horizontal="center"/>
    </xf>
    <xf numFmtId="0" fontId="19" fillId="3" borderId="22" xfId="9" applyFont="1" applyFill="1" applyBorder="1" applyAlignment="1">
      <alignment horizontal="center" vertical="top" wrapText="1"/>
    </xf>
    <xf numFmtId="188" fontId="17" fillId="0" borderId="0" xfId="9" applyNumberFormat="1"/>
    <xf numFmtId="0" fontId="35" fillId="0" borderId="0" xfId="0" applyFont="1"/>
    <xf numFmtId="9" fontId="35" fillId="0" borderId="1" xfId="0" applyNumberFormat="1" applyFont="1" applyBorder="1"/>
    <xf numFmtId="10" fontId="35" fillId="0" borderId="1" xfId="0" applyNumberFormat="1" applyFont="1" applyBorder="1"/>
    <xf numFmtId="0" fontId="35" fillId="0" borderId="45" xfId="0" applyFont="1" applyBorder="1"/>
    <xf numFmtId="0" fontId="35" fillId="0" borderId="0" xfId="0" applyFont="1" applyAlignment="1">
      <alignment wrapText="1"/>
    </xf>
    <xf numFmtId="0" fontId="35" fillId="3" borderId="81" xfId="0" applyFont="1" applyFill="1" applyBorder="1"/>
    <xf numFmtId="0" fontId="35" fillId="3" borderId="1" xfId="0" applyFont="1" applyFill="1" applyBorder="1"/>
    <xf numFmtId="189" fontId="35" fillId="36" borderId="1" xfId="1" applyNumberFormat="1" applyFont="1" applyFill="1" applyBorder="1"/>
    <xf numFmtId="172" fontId="35" fillId="0" borderId="0" xfId="0" applyNumberFormat="1" applyFont="1"/>
    <xf numFmtId="172" fontId="35" fillId="36" borderId="1" xfId="0" applyNumberFormat="1" applyFont="1" applyFill="1" applyBorder="1"/>
    <xf numFmtId="10" fontId="9" fillId="0" borderId="3" xfId="9" applyNumberFormat="1" applyFont="1" applyBorder="1"/>
    <xf numFmtId="1" fontId="20" fillId="36" borderId="55" xfId="9" applyNumberFormat="1" applyFont="1" applyFill="1" applyBorder="1"/>
    <xf numFmtId="0" fontId="19" fillId="3" borderId="22" xfId="9" applyFont="1" applyFill="1" applyBorder="1" applyAlignment="1">
      <alignment horizontal="center" vertical="center" wrapText="1"/>
    </xf>
    <xf numFmtId="0" fontId="0" fillId="0" borderId="42" xfId="0" applyBorder="1"/>
    <xf numFmtId="0" fontId="19" fillId="3" borderId="102" xfId="9" applyFont="1" applyFill="1" applyBorder="1" applyAlignment="1">
      <alignment horizontal="center" vertical="center" wrapText="1"/>
    </xf>
    <xf numFmtId="0" fontId="19" fillId="3" borderId="81" xfId="9" applyFont="1" applyFill="1" applyBorder="1" applyAlignment="1">
      <alignment horizontal="center" vertical="center" wrapText="1"/>
    </xf>
    <xf numFmtId="10" fontId="20" fillId="36" borderId="103" xfId="9" applyNumberFormat="1" applyFont="1" applyFill="1" applyBorder="1"/>
    <xf numFmtId="10" fontId="20" fillId="36" borderId="83" xfId="9" applyNumberFormat="1" applyFont="1" applyFill="1" applyBorder="1"/>
    <xf numFmtId="0" fontId="17" fillId="3" borderId="44" xfId="9" applyFill="1" applyBorder="1" applyAlignment="1">
      <alignment horizontal="center"/>
    </xf>
    <xf numFmtId="6" fontId="35" fillId="0" borderId="0" xfId="0" applyNumberFormat="1" applyFont="1"/>
    <xf numFmtId="0" fontId="36" fillId="0" borderId="0" xfId="0" applyFont="1" applyAlignment="1">
      <alignment horizontal="center" vertical="center"/>
    </xf>
    <xf numFmtId="0" fontId="35" fillId="0" borderId="44" xfId="0" applyFont="1" applyBorder="1" applyAlignment="1">
      <alignment horizontal="center"/>
    </xf>
    <xf numFmtId="0" fontId="35" fillId="0" borderId="43" xfId="0" applyFont="1" applyBorder="1" applyAlignment="1">
      <alignment horizontal="center"/>
    </xf>
    <xf numFmtId="0" fontId="35" fillId="0" borderId="45" xfId="0" applyFont="1" applyBorder="1" applyAlignment="1">
      <alignment horizontal="center"/>
    </xf>
    <xf numFmtId="0" fontId="35" fillId="3" borderId="42" xfId="0" applyFont="1" applyFill="1" applyBorder="1" applyAlignment="1">
      <alignment horizontal="center"/>
    </xf>
    <xf numFmtId="0" fontId="35" fillId="3" borderId="102" xfId="0" applyFont="1" applyFill="1" applyBorder="1" applyAlignment="1">
      <alignment wrapText="1"/>
    </xf>
    <xf numFmtId="0" fontId="35" fillId="3" borderId="81" xfId="0" applyFont="1" applyFill="1" applyBorder="1" applyAlignment="1">
      <alignment wrapText="1"/>
    </xf>
    <xf numFmtId="0" fontId="35" fillId="3" borderId="42" xfId="0" applyFont="1" applyFill="1" applyBorder="1" applyAlignment="1">
      <alignment horizontal="center" wrapText="1"/>
    </xf>
    <xf numFmtId="0" fontId="9" fillId="0" borderId="0" xfId="9" applyFont="1"/>
    <xf numFmtId="1" fontId="20" fillId="36" borderId="35" xfId="9" applyNumberFormat="1" applyFont="1" applyFill="1" applyBorder="1"/>
    <xf numFmtId="0" fontId="19" fillId="0" borderId="47" xfId="9" applyFont="1" applyBorder="1" applyAlignment="1">
      <alignment vertical="center" wrapText="1"/>
    </xf>
    <xf numFmtId="10" fontId="19" fillId="10" borderId="62" xfId="9" applyNumberFormat="1" applyFont="1" applyFill="1" applyBorder="1" applyAlignment="1">
      <alignment vertical="center" wrapText="1"/>
    </xf>
    <xf numFmtId="0" fontId="38" fillId="40" borderId="5" xfId="9" applyFont="1" applyFill="1" applyBorder="1" applyAlignment="1">
      <alignment horizontal="center" vertical="center" wrapText="1"/>
    </xf>
    <xf numFmtId="0" fontId="38" fillId="40" borderId="1" xfId="9" applyFont="1" applyFill="1" applyBorder="1" applyAlignment="1">
      <alignment horizontal="center" vertical="center" wrapText="1"/>
    </xf>
    <xf numFmtId="175" fontId="17" fillId="38" borderId="1" xfId="9" applyNumberFormat="1" applyFill="1" applyBorder="1" applyAlignment="1">
      <alignment horizontal="center"/>
    </xf>
    <xf numFmtId="9" fontId="17" fillId="38" borderId="3" xfId="9" applyNumberFormat="1" applyFill="1" applyBorder="1" applyAlignment="1">
      <alignment horizontal="center"/>
    </xf>
    <xf numFmtId="9" fontId="17" fillId="38" borderId="1" xfId="9" applyNumberFormat="1" applyFill="1" applyBorder="1" applyAlignment="1">
      <alignment horizontal="center"/>
    </xf>
    <xf numFmtId="175" fontId="17" fillId="31" borderId="1" xfId="9" applyNumberFormat="1" applyFill="1" applyBorder="1" applyAlignment="1">
      <alignment horizontal="center"/>
    </xf>
    <xf numFmtId="9" fontId="17" fillId="31" borderId="3" xfId="9" applyNumberFormat="1" applyFill="1" applyBorder="1" applyAlignment="1">
      <alignment horizontal="center"/>
    </xf>
    <xf numFmtId="175" fontId="17" fillId="39" borderId="1" xfId="9" applyNumberFormat="1" applyFill="1" applyBorder="1" applyAlignment="1">
      <alignment horizontal="center"/>
    </xf>
    <xf numFmtId="9" fontId="17" fillId="39" borderId="3" xfId="9" applyNumberFormat="1" applyFill="1" applyBorder="1" applyAlignment="1">
      <alignment horizontal="center"/>
    </xf>
    <xf numFmtId="9" fontId="17" fillId="39" borderId="1" xfId="9" applyNumberFormat="1" applyFill="1" applyBorder="1" applyAlignment="1">
      <alignment horizontal="center"/>
    </xf>
    <xf numFmtId="0" fontId="35" fillId="3" borderId="2" xfId="0" applyFont="1" applyFill="1" applyBorder="1"/>
    <xf numFmtId="0" fontId="35" fillId="3" borderId="5" xfId="0" applyFont="1" applyFill="1" applyBorder="1"/>
    <xf numFmtId="0" fontId="17" fillId="38" borderId="2" xfId="9" applyFill="1" applyBorder="1" applyAlignment="1">
      <alignment horizontal="center"/>
    </xf>
    <xf numFmtId="0" fontId="17" fillId="31" borderId="2" xfId="9" applyFill="1" applyBorder="1" applyAlignment="1">
      <alignment horizontal="center"/>
    </xf>
    <xf numFmtId="0" fontId="17" fillId="39" borderId="2" xfId="9" applyFill="1" applyBorder="1" applyAlignment="1">
      <alignment horizontal="center"/>
    </xf>
    <xf numFmtId="0" fontId="5" fillId="28" borderId="3" xfId="0" applyFont="1" applyFill="1" applyBorder="1" applyAlignment="1">
      <alignment horizontal="left"/>
    </xf>
    <xf numFmtId="170" fontId="5" fillId="0" borderId="1" xfId="2" applyNumberFormat="1" applyFont="1" applyFill="1" applyBorder="1" applyAlignment="1">
      <alignment horizontal="left" vertical="center"/>
    </xf>
    <xf numFmtId="0" fontId="8" fillId="29" borderId="1" xfId="0" applyFont="1" applyFill="1" applyBorder="1"/>
    <xf numFmtId="164" fontId="5" fillId="29" borderId="6" xfId="1" applyFont="1" applyFill="1" applyBorder="1"/>
    <xf numFmtId="164" fontId="8" fillId="29" borderId="6" xfId="1" applyFont="1" applyFill="1" applyBorder="1"/>
    <xf numFmtId="180" fontId="8" fillId="0" borderId="1" xfId="4" applyNumberFormat="1" applyFont="1" applyBorder="1" applyAlignment="1">
      <alignment horizontal="center" vertical="center"/>
    </xf>
    <xf numFmtId="170" fontId="5" fillId="28" borderId="1" xfId="2" applyNumberFormat="1" applyFont="1" applyFill="1" applyBorder="1" applyAlignment="1">
      <alignment horizontal="center"/>
    </xf>
    <xf numFmtId="0" fontId="17" fillId="41" borderId="2" xfId="9" applyFill="1" applyBorder="1" applyAlignment="1">
      <alignment horizontal="center"/>
    </xf>
    <xf numFmtId="175" fontId="17" fillId="41" borderId="1" xfId="9" applyNumberFormat="1" applyFill="1" applyBorder="1" applyAlignment="1">
      <alignment horizontal="center"/>
    </xf>
    <xf numFmtId="9" fontId="17" fillId="41" borderId="3" xfId="9" applyNumberFormat="1" applyFill="1" applyBorder="1" applyAlignment="1">
      <alignment horizontal="center"/>
    </xf>
    <xf numFmtId="9" fontId="17" fillId="41" borderId="1" xfId="9" applyNumberFormat="1" applyFill="1" applyBorder="1" applyAlignment="1">
      <alignment horizontal="center"/>
    </xf>
    <xf numFmtId="164" fontId="5" fillId="2" borderId="1" xfId="0" applyNumberFormat="1" applyFont="1" applyFill="1" applyBorder="1"/>
    <xf numFmtId="165" fontId="8" fillId="42" borderId="1" xfId="7" applyFont="1" applyFill="1" applyBorder="1" applyAlignment="1">
      <alignment horizontal="center" vertical="center"/>
    </xf>
    <xf numFmtId="165" fontId="8" fillId="42" borderId="7" xfId="7" applyFont="1" applyFill="1" applyBorder="1" applyAlignment="1">
      <alignment horizontal="center" vertical="center"/>
    </xf>
    <xf numFmtId="177" fontId="8" fillId="42" borderId="33" xfId="3" applyNumberFormat="1" applyFont="1" applyFill="1" applyBorder="1" applyAlignment="1">
      <alignment horizontal="center"/>
    </xf>
    <xf numFmtId="177" fontId="8" fillId="42" borderId="34" xfId="3" applyNumberFormat="1" applyFont="1" applyFill="1" applyBorder="1" applyAlignment="1">
      <alignment horizontal="center"/>
    </xf>
    <xf numFmtId="176" fontId="8" fillId="42" borderId="1" xfId="3" applyNumberFormat="1" applyFont="1" applyFill="1" applyBorder="1" applyAlignment="1">
      <alignment horizontal="center" vertical="center"/>
    </xf>
    <xf numFmtId="176" fontId="8" fillId="42" borderId="7" xfId="3" applyNumberFormat="1" applyFont="1" applyFill="1" applyBorder="1" applyAlignment="1">
      <alignment horizontal="center" vertical="center"/>
    </xf>
    <xf numFmtId="176" fontId="8" fillId="42" borderId="1" xfId="3" applyNumberFormat="1" applyFont="1" applyFill="1" applyBorder="1" applyAlignment="1">
      <alignment horizontal="center"/>
    </xf>
    <xf numFmtId="176" fontId="8" fillId="42" borderId="7" xfId="3" applyNumberFormat="1" applyFont="1" applyFill="1" applyBorder="1" applyAlignment="1">
      <alignment horizontal="center"/>
    </xf>
    <xf numFmtId="176" fontId="8" fillId="42" borderId="33" xfId="3" applyNumberFormat="1" applyFont="1" applyFill="1" applyBorder="1" applyAlignment="1">
      <alignment horizontal="center" vertical="center"/>
    </xf>
    <xf numFmtId="176" fontId="8" fillId="42" borderId="34" xfId="3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/>
    </xf>
    <xf numFmtId="0" fontId="14" fillId="2" borderId="1" xfId="0" applyFont="1" applyFill="1" applyBorder="1" applyAlignment="1">
      <alignment horizontal="left"/>
    </xf>
    <xf numFmtId="180" fontId="14" fillId="43" borderId="1" xfId="4" applyNumberFormat="1" applyFont="1" applyFill="1" applyBorder="1" applyAlignment="1">
      <alignment horizontal="center" vertical="center"/>
    </xf>
    <xf numFmtId="180" fontId="8" fillId="23" borderId="1" xfId="4" applyNumberFormat="1" applyFont="1" applyFill="1" applyBorder="1" applyAlignment="1">
      <alignment horizontal="center" vertical="center"/>
    </xf>
    <xf numFmtId="180" fontId="8" fillId="2" borderId="1" xfId="4" applyNumberFormat="1" applyFont="1" applyFill="1" applyBorder="1" applyAlignment="1">
      <alignment horizontal="center" vertical="center"/>
    </xf>
    <xf numFmtId="180" fontId="8" fillId="42" borderId="1" xfId="4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80" fontId="8" fillId="28" borderId="1" xfId="4" applyNumberFormat="1" applyFont="1" applyFill="1" applyBorder="1" applyAlignment="1">
      <alignment horizontal="center" vertical="center"/>
    </xf>
    <xf numFmtId="180" fontId="14" fillId="28" borderId="1" xfId="4" applyNumberFormat="1" applyFont="1" applyFill="1" applyBorder="1" applyAlignment="1">
      <alignment horizontal="center" vertical="center"/>
    </xf>
    <xf numFmtId="180" fontId="16" fillId="0" borderId="1" xfId="4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164" fontId="41" fillId="28" borderId="1" xfId="0" applyNumberFormat="1" applyFont="1" applyFill="1" applyBorder="1"/>
    <xf numFmtId="180" fontId="16" fillId="28" borderId="1" xfId="4" applyNumberFormat="1" applyFont="1" applyFill="1" applyBorder="1" applyAlignment="1">
      <alignment horizontal="center" vertical="center"/>
    </xf>
    <xf numFmtId="180" fontId="16" fillId="42" borderId="1" xfId="4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14" fillId="28" borderId="1" xfId="0" applyFont="1" applyFill="1" applyBorder="1" applyAlignment="1">
      <alignment vertical="center"/>
    </xf>
    <xf numFmtId="164" fontId="41" fillId="0" borderId="1" xfId="0" applyNumberFormat="1" applyFont="1" applyBorder="1"/>
    <xf numFmtId="6" fontId="41" fillId="0" borderId="1" xfId="0" applyNumberFormat="1" applyFont="1" applyBorder="1"/>
    <xf numFmtId="180" fontId="15" fillId="0" borderId="1" xfId="4" applyNumberFormat="1" applyFont="1" applyBorder="1" applyAlignment="1">
      <alignment horizontal="center" vertical="center"/>
    </xf>
    <xf numFmtId="164" fontId="40" fillId="4" borderId="3" xfId="1" applyFont="1" applyFill="1" applyBorder="1"/>
    <xf numFmtId="164" fontId="40" fillId="4" borderId="1" xfId="1" applyFont="1" applyFill="1" applyBorder="1"/>
    <xf numFmtId="164" fontId="40" fillId="28" borderId="12" xfId="1" applyFont="1" applyFill="1" applyBorder="1"/>
    <xf numFmtId="164" fontId="40" fillId="28" borderId="6" xfId="1" applyFont="1" applyFill="1" applyBorder="1"/>
    <xf numFmtId="180" fontId="15" fillId="42" borderId="1" xfId="4" applyNumberFormat="1" applyFont="1" applyFill="1" applyBorder="1" applyAlignment="1">
      <alignment horizontal="center" vertical="center"/>
    </xf>
    <xf numFmtId="164" fontId="40" fillId="42" borderId="1" xfId="0" applyNumberFormat="1" applyFont="1" applyFill="1" applyBorder="1"/>
    <xf numFmtId="185" fontId="40" fillId="42" borderId="3" xfId="0" applyNumberFormat="1" applyFont="1" applyFill="1" applyBorder="1"/>
    <xf numFmtId="42" fontId="7" fillId="28" borderId="1" xfId="0" applyNumberFormat="1" applyFont="1" applyFill="1" applyBorder="1"/>
    <xf numFmtId="42" fontId="5" fillId="2" borderId="1" xfId="0" applyNumberFormat="1" applyFont="1" applyFill="1" applyBorder="1"/>
    <xf numFmtId="42" fontId="5" fillId="4" borderId="6" xfId="0" applyNumberFormat="1" applyFont="1" applyFill="1" applyBorder="1"/>
    <xf numFmtId="42" fontId="5" fillId="2" borderId="33" xfId="0" applyNumberFormat="1" applyFont="1" applyFill="1" applyBorder="1"/>
    <xf numFmtId="42" fontId="41" fillId="4" borderId="1" xfId="0" applyNumberFormat="1" applyFont="1" applyFill="1" applyBorder="1"/>
    <xf numFmtId="42" fontId="5" fillId="42" borderId="1" xfId="0" applyNumberFormat="1" applyFont="1" applyFill="1" applyBorder="1"/>
    <xf numFmtId="42" fontId="5" fillId="42" borderId="33" xfId="0" applyNumberFormat="1" applyFont="1" applyFill="1" applyBorder="1"/>
    <xf numFmtId="42" fontId="7" fillId="2" borderId="1" xfId="0" applyNumberFormat="1" applyFont="1" applyFill="1" applyBorder="1"/>
    <xf numFmtId="42" fontId="5" fillId="27" borderId="1" xfId="0" applyNumberFormat="1" applyFont="1" applyFill="1" applyBorder="1" applyAlignment="1">
      <alignment horizontal="center" vertical="center"/>
    </xf>
    <xf numFmtId="42" fontId="5" fillId="27" borderId="6" xfId="0" applyNumberFormat="1" applyFont="1" applyFill="1" applyBorder="1" applyAlignment="1">
      <alignment horizontal="center" vertical="center"/>
    </xf>
    <xf numFmtId="42" fontId="5" fillId="27" borderId="33" xfId="0" applyNumberFormat="1" applyFont="1" applyFill="1" applyBorder="1" applyAlignment="1">
      <alignment horizontal="center" vertical="center"/>
    </xf>
    <xf numFmtId="190" fontId="5" fillId="42" borderId="1" xfId="0" applyNumberFormat="1" applyFont="1" applyFill="1" applyBorder="1"/>
    <xf numFmtId="42" fontId="20" fillId="0" borderId="76" xfId="4" applyNumberFormat="1" applyFont="1" applyBorder="1" applyAlignment="1">
      <alignment horizontal="right" vertical="center"/>
    </xf>
    <xf numFmtId="42" fontId="20" fillId="0" borderId="67" xfId="4" applyNumberFormat="1" applyFont="1" applyBorder="1" applyAlignment="1">
      <alignment horizontal="right" vertical="center"/>
    </xf>
    <xf numFmtId="42" fontId="20" fillId="0" borderId="70" xfId="4" applyNumberFormat="1" applyFont="1" applyBorder="1" applyAlignment="1">
      <alignment horizontal="right" vertical="center"/>
    </xf>
    <xf numFmtId="42" fontId="40" fillId="4" borderId="1" xfId="0" applyNumberFormat="1" applyFont="1" applyFill="1" applyBorder="1"/>
    <xf numFmtId="42" fontId="40" fillId="4" borderId="6" xfId="0" applyNumberFormat="1" applyFont="1" applyFill="1" applyBorder="1"/>
    <xf numFmtId="42" fontId="40" fillId="4" borderId="33" xfId="0" applyNumberFormat="1" applyFont="1" applyFill="1" applyBorder="1"/>
    <xf numFmtId="42" fontId="40" fillId="4" borderId="32" xfId="0" applyNumberFormat="1" applyFont="1" applyFill="1" applyBorder="1"/>
    <xf numFmtId="42" fontId="41" fillId="36" borderId="55" xfId="0" applyNumberFormat="1" applyFont="1" applyFill="1" applyBorder="1"/>
    <xf numFmtId="42" fontId="41" fillId="36" borderId="56" xfId="0" applyNumberFormat="1" applyFont="1" applyFill="1" applyBorder="1"/>
    <xf numFmtId="0" fontId="6" fillId="0" borderId="0" xfId="8" applyFont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177" fontId="8" fillId="0" borderId="33" xfId="3" applyNumberFormat="1" applyFont="1" applyBorder="1" applyAlignment="1">
      <alignment horizontal="center"/>
    </xf>
    <xf numFmtId="0" fontId="14" fillId="3" borderId="1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/>
    </xf>
    <xf numFmtId="0" fontId="5" fillId="14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 wrapText="1"/>
    </xf>
    <xf numFmtId="0" fontId="19" fillId="3" borderId="1" xfId="0" applyFont="1" applyFill="1" applyBorder="1" applyAlignment="1">
      <alignment horizontal="center" vertical="center" wrapText="1"/>
    </xf>
    <xf numFmtId="4" fontId="19" fillId="0" borderId="5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" xfId="9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0" xfId="9" applyFont="1" applyAlignment="1">
      <alignment horizontal="center" vertical="center" wrapText="1"/>
    </xf>
    <xf numFmtId="0" fontId="19" fillId="0" borderId="0" xfId="9" applyFont="1" applyAlignment="1">
      <alignment horizontal="left"/>
    </xf>
    <xf numFmtId="0" fontId="17" fillId="0" borderId="0" xfId="9" applyAlignment="1">
      <alignment horizontal="center"/>
    </xf>
    <xf numFmtId="0" fontId="18" fillId="0" borderId="0" xfId="9" applyFont="1" applyAlignment="1">
      <alignment horizontal="center"/>
    </xf>
    <xf numFmtId="0" fontId="19" fillId="3" borderId="1" xfId="9" applyFont="1" applyFill="1" applyBorder="1" applyAlignment="1">
      <alignment horizontal="center"/>
    </xf>
    <xf numFmtId="0" fontId="5" fillId="2" borderId="6" xfId="0" applyFont="1" applyFill="1" applyBorder="1" applyAlignment="1">
      <alignment vertical="center"/>
    </xf>
    <xf numFmtId="9" fontId="5" fillId="4" borderId="1" xfId="0" applyNumberFormat="1" applyFont="1" applyFill="1" applyBorder="1" applyAlignment="1">
      <alignment horizontal="center" vertical="center"/>
    </xf>
    <xf numFmtId="42" fontId="27" fillId="5" borderId="0" xfId="0" applyNumberFormat="1" applyFont="1" applyFill="1"/>
    <xf numFmtId="42" fontId="42" fillId="4" borderId="1" xfId="0" applyNumberFormat="1" applyFont="1" applyFill="1" applyBorder="1"/>
    <xf numFmtId="5" fontId="43" fillId="0" borderId="0" xfId="0" applyNumberFormat="1" applyFont="1"/>
    <xf numFmtId="0" fontId="37" fillId="0" borderId="0" xfId="0" applyFont="1" applyAlignment="1">
      <alignment horizontal="center"/>
    </xf>
    <xf numFmtId="42" fontId="5" fillId="4" borderId="7" xfId="0" applyNumberFormat="1" applyFont="1" applyFill="1" applyBorder="1"/>
    <xf numFmtId="42" fontId="7" fillId="2" borderId="7" xfId="0" applyNumberFormat="1" applyFont="1" applyFill="1" applyBorder="1"/>
    <xf numFmtId="190" fontId="5" fillId="42" borderId="3" xfId="0" applyNumberFormat="1" applyFont="1" applyFill="1" applyBorder="1"/>
    <xf numFmtId="42" fontId="5" fillId="2" borderId="7" xfId="0" applyNumberFormat="1" applyFont="1" applyFill="1" applyBorder="1"/>
    <xf numFmtId="0" fontId="8" fillId="21" borderId="30" xfId="0" applyFont="1" applyFill="1" applyBorder="1" applyAlignment="1">
      <alignment horizontal="center" vertical="center"/>
    </xf>
    <xf numFmtId="0" fontId="8" fillId="21" borderId="7" xfId="0" applyFont="1" applyFill="1" applyBorder="1" applyAlignment="1">
      <alignment horizontal="center" vertical="center"/>
    </xf>
    <xf numFmtId="6" fontId="6" fillId="20" borderId="7" xfId="0" applyNumberFormat="1" applyFont="1" applyFill="1" applyBorder="1" applyAlignment="1">
      <alignment horizontal="left" vertical="center"/>
    </xf>
    <xf numFmtId="6" fontId="6" fillId="20" borderId="7" xfId="0" applyNumberFormat="1" applyFont="1" applyFill="1" applyBorder="1"/>
    <xf numFmtId="6" fontId="6" fillId="19" borderId="7" xfId="0" applyNumberFormat="1" applyFont="1" applyFill="1" applyBorder="1"/>
    <xf numFmtId="6" fontId="6" fillId="2" borderId="7" xfId="0" applyNumberFormat="1" applyFont="1" applyFill="1" applyBorder="1" applyAlignment="1">
      <alignment horizontal="left" vertical="center"/>
    </xf>
    <xf numFmtId="0" fontId="29" fillId="24" borderId="1" xfId="0" applyFont="1" applyFill="1" applyBorder="1" applyAlignment="1">
      <alignment horizontal="left" vertical="center"/>
    </xf>
    <xf numFmtId="0" fontId="6" fillId="24" borderId="1" xfId="0" applyFont="1" applyFill="1" applyBorder="1"/>
    <xf numFmtId="0" fontId="8" fillId="19" borderId="1" xfId="0" applyFont="1" applyFill="1" applyBorder="1" applyAlignment="1">
      <alignment horizontal="left" vertical="center" wrapText="1"/>
    </xf>
    <xf numFmtId="164" fontId="6" fillId="20" borderId="1" xfId="1" applyFont="1" applyFill="1" applyBorder="1" applyAlignment="1">
      <alignment horizontal="left" vertical="center"/>
    </xf>
    <xf numFmtId="0" fontId="0" fillId="0" borderId="1" xfId="0" applyBorder="1"/>
    <xf numFmtId="0" fontId="4" fillId="25" borderId="1" xfId="0" applyFont="1" applyFill="1" applyBorder="1" applyAlignment="1">
      <alignment vertical="center" wrapText="1"/>
    </xf>
    <xf numFmtId="9" fontId="6" fillId="21" borderId="1" xfId="0" applyNumberFormat="1" applyFont="1" applyFill="1" applyBorder="1" applyAlignment="1">
      <alignment horizontal="left" vertical="center"/>
    </xf>
    <xf numFmtId="0" fontId="29" fillId="24" borderId="33" xfId="0" applyFont="1" applyFill="1" applyBorder="1" applyAlignment="1">
      <alignment horizontal="left" vertical="center"/>
    </xf>
    <xf numFmtId="0" fontId="4" fillId="2" borderId="33" xfId="0" applyFont="1" applyFill="1" applyBorder="1" applyAlignment="1">
      <alignment horizontal="left" vertical="center"/>
    </xf>
    <xf numFmtId="6" fontId="6" fillId="20" borderId="33" xfId="0" applyNumberFormat="1" applyFont="1" applyFill="1" applyBorder="1" applyAlignment="1">
      <alignment horizontal="left" vertical="center"/>
    </xf>
    <xf numFmtId="0" fontId="6" fillId="27" borderId="1" xfId="8" applyFont="1" applyFill="1" applyBorder="1" applyAlignment="1">
      <alignment horizontal="center" vertical="center"/>
    </xf>
    <xf numFmtId="10" fontId="6" fillId="0" borderId="1" xfId="8" applyNumberFormat="1" applyFont="1" applyBorder="1" applyAlignment="1">
      <alignment horizontal="center" vertical="center"/>
    </xf>
    <xf numFmtId="0" fontId="4" fillId="0" borderId="5" xfId="8" applyFont="1" applyBorder="1" applyAlignment="1">
      <alignment horizontal="center" vertical="center"/>
    </xf>
    <xf numFmtId="0" fontId="8" fillId="3" borderId="1" xfId="8" applyFont="1" applyFill="1" applyBorder="1"/>
    <xf numFmtId="0" fontId="39" fillId="12" borderId="1" xfId="8" applyFont="1" applyFill="1" applyBorder="1" applyAlignment="1">
      <alignment horizontal="center" vertical="center"/>
    </xf>
    <xf numFmtId="9" fontId="6" fillId="0" borderId="1" xfId="8" applyNumberFormat="1" applyFont="1" applyBorder="1" applyAlignment="1">
      <alignment horizontal="center" vertical="center"/>
    </xf>
    <xf numFmtId="165" fontId="6" fillId="0" borderId="1" xfId="7" applyFont="1" applyBorder="1" applyAlignment="1">
      <alignment horizontal="center" vertical="center"/>
    </xf>
    <xf numFmtId="10" fontId="6" fillId="0" borderId="2" xfId="8" applyNumberFormat="1" applyFont="1" applyBorder="1" applyAlignment="1">
      <alignment horizontal="center" vertical="center"/>
    </xf>
    <xf numFmtId="0" fontId="6" fillId="3" borderId="1" xfId="8" applyFont="1" applyFill="1" applyBorder="1"/>
    <xf numFmtId="2" fontId="6" fillId="0" borderId="1" xfId="8" applyNumberFormat="1" applyFont="1" applyBorder="1"/>
    <xf numFmtId="0" fontId="6" fillId="12" borderId="1" xfId="8" applyFont="1" applyFill="1" applyBorder="1"/>
    <xf numFmtId="17" fontId="6" fillId="13" borderId="1" xfId="8" applyNumberFormat="1" applyFont="1" applyFill="1" applyBorder="1"/>
    <xf numFmtId="4" fontId="6" fillId="0" borderId="1" xfId="8" applyNumberFormat="1" applyFont="1" applyBorder="1"/>
    <xf numFmtId="0" fontId="6" fillId="0" borderId="28" xfId="8" applyFont="1" applyBorder="1" applyAlignment="1">
      <alignment horizontal="center"/>
    </xf>
    <xf numFmtId="0" fontId="8" fillId="2" borderId="31" xfId="8" applyFont="1" applyFill="1" applyBorder="1" applyAlignment="1">
      <alignment horizontal="center"/>
    </xf>
    <xf numFmtId="1" fontId="6" fillId="28" borderId="7" xfId="8" applyNumberFormat="1" applyFont="1" applyFill="1" applyBorder="1" applyAlignment="1">
      <alignment horizontal="center"/>
    </xf>
    <xf numFmtId="1" fontId="6" fillId="0" borderId="7" xfId="8" applyNumberFormat="1" applyFont="1" applyBorder="1" applyAlignment="1">
      <alignment horizontal="center"/>
    </xf>
    <xf numFmtId="0" fontId="8" fillId="2" borderId="32" xfId="8" applyFont="1" applyFill="1" applyBorder="1" applyAlignment="1">
      <alignment horizontal="center"/>
    </xf>
    <xf numFmtId="1" fontId="6" fillId="0" borderId="33" xfId="8" applyNumberFormat="1" applyFont="1" applyBorder="1" applyAlignment="1">
      <alignment horizontal="center"/>
    </xf>
    <xf numFmtId="1" fontId="6" fillId="0" borderId="34" xfId="8" applyNumberFormat="1" applyFont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/>
    </xf>
    <xf numFmtId="186" fontId="5" fillId="14" borderId="104" xfId="0" applyNumberFormat="1" applyFont="1" applyFill="1" applyBorder="1"/>
    <xf numFmtId="0" fontId="14" fillId="3" borderId="1" xfId="0" applyFont="1" applyFill="1" applyBorder="1" applyAlignment="1">
      <alignment horizontal="center" vertical="center" wrapText="1"/>
    </xf>
    <xf numFmtId="0" fontId="4" fillId="28" borderId="1" xfId="0" applyFont="1" applyFill="1" applyBorder="1"/>
    <xf numFmtId="0" fontId="7" fillId="2" borderId="1" xfId="0" applyFont="1" applyFill="1" applyBorder="1" applyAlignment="1">
      <alignment horizontal="center" vertical="top" wrapText="1"/>
    </xf>
    <xf numFmtId="0" fontId="4" fillId="4" borderId="31" xfId="0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14" fillId="2" borderId="28" xfId="0" applyFont="1" applyFill="1" applyBorder="1" applyAlignment="1">
      <alignment horizontal="center" vertical="top" wrapText="1"/>
    </xf>
    <xf numFmtId="0" fontId="14" fillId="2" borderId="29" xfId="0" applyFont="1" applyFill="1" applyBorder="1" applyAlignment="1">
      <alignment horizontal="center" vertical="top" wrapText="1"/>
    </xf>
    <xf numFmtId="0" fontId="14" fillId="2" borderId="31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top" wrapText="1"/>
    </xf>
    <xf numFmtId="0" fontId="14" fillId="2" borderId="30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6" fillId="4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horizontal="left" vertical="top" wrapText="1"/>
    </xf>
    <xf numFmtId="0" fontId="6" fillId="4" borderId="7" xfId="0" applyFont="1" applyFill="1" applyBorder="1" applyAlignment="1">
      <alignment horizontal="left" vertical="top" wrapText="1"/>
    </xf>
    <xf numFmtId="0" fontId="7" fillId="4" borderId="3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top" wrapText="1"/>
    </xf>
    <xf numFmtId="0" fontId="6" fillId="4" borderId="31" xfId="0" applyFont="1" applyFill="1" applyBorder="1" applyAlignment="1">
      <alignment horizontal="left" vertical="top" wrapText="1"/>
    </xf>
    <xf numFmtId="0" fontId="5" fillId="4" borderId="31" xfId="0" applyFont="1" applyFill="1" applyBorder="1" applyAlignment="1">
      <alignment horizontal="left" vertical="top" wrapText="1"/>
    </xf>
    <xf numFmtId="0" fontId="5" fillId="4" borderId="32" xfId="0" applyFont="1" applyFill="1" applyBorder="1" applyAlignment="1">
      <alignment horizontal="left" vertical="top" wrapText="1"/>
    </xf>
    <xf numFmtId="0" fontId="5" fillId="4" borderId="33" xfId="0" applyFont="1" applyFill="1" applyBorder="1" applyAlignment="1">
      <alignment horizontal="left" vertical="top" wrapText="1"/>
    </xf>
    <xf numFmtId="0" fontId="5" fillId="4" borderId="34" xfId="0" applyFont="1" applyFill="1" applyBorder="1" applyAlignment="1">
      <alignment horizontal="left" vertical="top" wrapText="1"/>
    </xf>
    <xf numFmtId="0" fontId="14" fillId="21" borderId="28" xfId="0" applyFont="1" applyFill="1" applyBorder="1" applyAlignment="1">
      <alignment horizontal="center" vertical="center" wrapText="1"/>
    </xf>
    <xf numFmtId="0" fontId="14" fillId="21" borderId="29" xfId="0" applyFont="1" applyFill="1" applyBorder="1" applyAlignment="1">
      <alignment horizontal="center" vertical="center" wrapText="1"/>
    </xf>
    <xf numFmtId="0" fontId="14" fillId="21" borderId="29" xfId="0" applyFont="1" applyFill="1" applyBorder="1" applyAlignment="1">
      <alignment horizontal="center" vertical="center"/>
    </xf>
    <xf numFmtId="0" fontId="14" fillId="21" borderId="31" xfId="0" applyFont="1" applyFill="1" applyBorder="1" applyAlignment="1">
      <alignment horizontal="center" vertical="center" wrapText="1"/>
    </xf>
    <xf numFmtId="0" fontId="14" fillId="21" borderId="1" xfId="0" applyFont="1" applyFill="1" applyBorder="1" applyAlignment="1">
      <alignment horizontal="center" vertical="center" wrapText="1"/>
    </xf>
    <xf numFmtId="0" fontId="14" fillId="21" borderId="1" xfId="0" applyFont="1" applyFill="1" applyBorder="1" applyAlignment="1">
      <alignment horizontal="center" vertical="center"/>
    </xf>
    <xf numFmtId="0" fontId="14" fillId="21" borderId="7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6" fillId="12" borderId="1" xfId="8" applyFont="1" applyFill="1" applyBorder="1" applyAlignment="1">
      <alignment horizontal="center"/>
    </xf>
    <xf numFmtId="0" fontId="8" fillId="3" borderId="1" xfId="8" applyFont="1" applyFill="1" applyBorder="1"/>
    <xf numFmtId="0" fontId="6" fillId="0" borderId="0" xfId="8" applyFont="1" applyAlignment="1">
      <alignment horizontal="center"/>
    </xf>
    <xf numFmtId="0" fontId="6" fillId="0" borderId="0" xfId="8" applyFont="1"/>
    <xf numFmtId="0" fontId="8" fillId="0" borderId="0" xfId="8" applyFont="1"/>
    <xf numFmtId="0" fontId="14" fillId="2" borderId="16" xfId="8" applyFont="1" applyFill="1" applyBorder="1" applyAlignment="1">
      <alignment horizontal="center"/>
    </xf>
    <xf numFmtId="0" fontId="14" fillId="2" borderId="17" xfId="8" applyFont="1" applyFill="1" applyBorder="1"/>
    <xf numFmtId="0" fontId="14" fillId="2" borderId="18" xfId="8" applyFont="1" applyFill="1" applyBorder="1"/>
    <xf numFmtId="0" fontId="4" fillId="12" borderId="1" xfId="8" applyFont="1" applyFill="1" applyBorder="1" applyAlignment="1">
      <alignment horizontal="center" vertical="center"/>
    </xf>
    <xf numFmtId="0" fontId="14" fillId="3" borderId="1" xfId="8" applyFont="1" applyFill="1" applyBorder="1"/>
    <xf numFmtId="0" fontId="6" fillId="12" borderId="13" xfId="8" applyFont="1" applyFill="1" applyBorder="1" applyAlignment="1">
      <alignment horizontal="center"/>
    </xf>
    <xf numFmtId="0" fontId="8" fillId="3" borderId="19" xfId="8" applyFont="1" applyFill="1" applyBorder="1"/>
    <xf numFmtId="0" fontId="6" fillId="0" borderId="21" xfId="8" applyFont="1" applyBorder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164" fontId="7" fillId="3" borderId="1" xfId="1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4" fillId="11" borderId="13" xfId="8" applyFont="1" applyFill="1" applyBorder="1" applyAlignment="1">
      <alignment horizontal="center"/>
    </xf>
    <xf numFmtId="0" fontId="4" fillId="11" borderId="14" xfId="8" applyFont="1" applyFill="1" applyBorder="1" applyAlignment="1">
      <alignment horizontal="center"/>
    </xf>
    <xf numFmtId="0" fontId="4" fillId="11" borderId="15" xfId="8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0" borderId="33" xfId="0" applyFont="1" applyBorder="1" applyAlignment="1">
      <alignment horizontal="center" wrapText="1"/>
    </xf>
    <xf numFmtId="177" fontId="14" fillId="2" borderId="33" xfId="3" applyNumberFormat="1" applyFont="1" applyFill="1" applyBorder="1" applyAlignment="1">
      <alignment horizontal="center"/>
    </xf>
    <xf numFmtId="0" fontId="5" fillId="3" borderId="3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8" fillId="3" borderId="85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37" xfId="0" applyFont="1" applyFill="1" applyBorder="1" applyAlignment="1">
      <alignment horizontal="center" vertical="center"/>
    </xf>
    <xf numFmtId="0" fontId="8" fillId="23" borderId="1" xfId="0" applyFont="1" applyFill="1" applyBorder="1" applyAlignment="1">
      <alignment horizontal="center" vertical="center" wrapText="1"/>
    </xf>
    <xf numFmtId="177" fontId="8" fillId="0" borderId="33" xfId="3" applyNumberFormat="1" applyFont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7" fillId="2" borderId="28" xfId="0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8" fillId="0" borderId="88" xfId="0" applyFont="1" applyBorder="1" applyAlignment="1">
      <alignment horizontal="center" wrapText="1"/>
    </xf>
    <xf numFmtId="0" fontId="8" fillId="0" borderId="46" xfId="0" applyFont="1" applyBorder="1" applyAlignment="1">
      <alignment horizontal="center" wrapText="1"/>
    </xf>
    <xf numFmtId="0" fontId="14" fillId="2" borderId="31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/>
    </xf>
    <xf numFmtId="0" fontId="14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6" fontId="14" fillId="2" borderId="2" xfId="0" applyNumberFormat="1" applyFont="1" applyFill="1" applyBorder="1" applyAlignment="1">
      <alignment horizontal="center"/>
    </xf>
    <xf numFmtId="6" fontId="14" fillId="2" borderId="4" xfId="0" applyNumberFormat="1" applyFont="1" applyFill="1" applyBorder="1" applyAlignment="1">
      <alignment horizontal="center"/>
    </xf>
    <xf numFmtId="6" fontId="14" fillId="2" borderId="3" xfId="0" applyNumberFormat="1" applyFont="1" applyFill="1" applyBorder="1" applyAlignment="1">
      <alignment horizontal="center"/>
    </xf>
    <xf numFmtId="0" fontId="27" fillId="5" borderId="0" xfId="0" applyFont="1" applyFill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9" fontId="15" fillId="2" borderId="2" xfId="2" applyFont="1" applyFill="1" applyBorder="1" applyAlignment="1">
      <alignment horizontal="center" vertical="center"/>
    </xf>
    <xf numFmtId="9" fontId="15" fillId="2" borderId="4" xfId="2" applyFont="1" applyFill="1" applyBorder="1" applyAlignment="1">
      <alignment horizontal="center" vertical="center"/>
    </xf>
    <xf numFmtId="9" fontId="15" fillId="2" borderId="3" xfId="2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28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32" fillId="2" borderId="28" xfId="0" applyFont="1" applyFill="1" applyBorder="1" applyAlignment="1">
      <alignment horizontal="center"/>
    </xf>
    <xf numFmtId="0" fontId="32" fillId="2" borderId="29" xfId="0" applyFont="1" applyFill="1" applyBorder="1" applyAlignment="1">
      <alignment horizontal="center"/>
    </xf>
    <xf numFmtId="0" fontId="32" fillId="2" borderId="30" xfId="0" applyFont="1" applyFill="1" applyBorder="1" applyAlignment="1">
      <alignment horizontal="center"/>
    </xf>
    <xf numFmtId="0" fontId="32" fillId="2" borderId="31" xfId="0" applyFont="1" applyFill="1" applyBorder="1" applyAlignment="1">
      <alignment horizontal="center"/>
    </xf>
    <xf numFmtId="0" fontId="32" fillId="2" borderId="1" xfId="0" applyFont="1" applyFill="1" applyBorder="1" applyAlignment="1">
      <alignment horizontal="center"/>
    </xf>
    <xf numFmtId="0" fontId="32" fillId="2" borderId="7" xfId="0" applyFont="1" applyFill="1" applyBorder="1" applyAlignment="1">
      <alignment horizontal="center"/>
    </xf>
    <xf numFmtId="0" fontId="14" fillId="2" borderId="31" xfId="0" applyFont="1" applyFill="1" applyBorder="1" applyAlignment="1">
      <alignment horizontal="center"/>
    </xf>
    <xf numFmtId="0" fontId="5" fillId="14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14" fillId="2" borderId="32" xfId="0" applyFont="1" applyFill="1" applyBorder="1" applyAlignment="1">
      <alignment horizontal="center"/>
    </xf>
    <xf numFmtId="0" fontId="14" fillId="2" borderId="33" xfId="0" applyFont="1" applyFill="1" applyBorder="1" applyAlignment="1">
      <alignment horizontal="center"/>
    </xf>
    <xf numFmtId="0" fontId="14" fillId="2" borderId="49" xfId="0" applyFont="1" applyFill="1" applyBorder="1" applyAlignment="1">
      <alignment horizontal="center" vertical="center"/>
    </xf>
    <xf numFmtId="0" fontId="14" fillId="2" borderId="48" xfId="0" applyFont="1" applyFill="1" applyBorder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5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/>
    </xf>
    <xf numFmtId="0" fontId="15" fillId="3" borderId="4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/>
    </xf>
    <xf numFmtId="9" fontId="5" fillId="4" borderId="5" xfId="0" applyNumberFormat="1" applyFont="1" applyFill="1" applyBorder="1" applyAlignment="1">
      <alignment horizontal="center" vertical="center"/>
    </xf>
    <xf numFmtId="9" fontId="5" fillId="4" borderId="6" xfId="0" applyNumberFormat="1" applyFont="1" applyFill="1" applyBorder="1" applyAlignment="1">
      <alignment horizontal="center" vertical="center"/>
    </xf>
    <xf numFmtId="9" fontId="5" fillId="4" borderId="48" xfId="0" applyNumberFormat="1" applyFont="1" applyFill="1" applyBorder="1" applyAlignment="1">
      <alignment horizontal="center" vertical="center"/>
    </xf>
    <xf numFmtId="9" fontId="5" fillId="4" borderId="12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4" fillId="2" borderId="6" xfId="0" applyFont="1" applyFill="1" applyBorder="1" applyAlignment="1">
      <alignment horizontal="center" vertical="center"/>
    </xf>
    <xf numFmtId="0" fontId="7" fillId="2" borderId="79" xfId="0" applyFont="1" applyFill="1" applyBorder="1" applyAlignment="1">
      <alignment horizontal="center"/>
    </xf>
    <xf numFmtId="0" fontId="7" fillId="2" borderId="80" xfId="0" applyFont="1" applyFill="1" applyBorder="1" applyAlignment="1">
      <alignment horizontal="center"/>
    </xf>
    <xf numFmtId="0" fontId="5" fillId="2" borderId="4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7" fillId="2" borderId="64" xfId="0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0" fontId="7" fillId="2" borderId="68" xfId="0" applyFont="1" applyFill="1" applyBorder="1" applyAlignment="1">
      <alignment horizontal="center" vertical="center"/>
    </xf>
    <xf numFmtId="0" fontId="5" fillId="2" borderId="78" xfId="0" applyFont="1" applyFill="1" applyBorder="1" applyAlignment="1">
      <alignment horizontal="center"/>
    </xf>
    <xf numFmtId="0" fontId="5" fillId="2" borderId="73" xfId="0" applyFont="1" applyFill="1" applyBorder="1" applyAlignment="1">
      <alignment horizontal="center"/>
    </xf>
    <xf numFmtId="0" fontId="7" fillId="2" borderId="40" xfId="0" applyFont="1" applyFill="1" applyBorder="1" applyAlignment="1">
      <alignment horizontal="center" vertical="center" textRotation="90"/>
    </xf>
    <xf numFmtId="0" fontId="7" fillId="2" borderId="2" xfId="0" applyFont="1" applyFill="1" applyBorder="1" applyAlignment="1">
      <alignment horizontal="center" vertical="center" textRotation="90"/>
    </xf>
    <xf numFmtId="0" fontId="7" fillId="2" borderId="1" xfId="0" applyFont="1" applyFill="1" applyBorder="1" applyAlignment="1">
      <alignment horizontal="center" vertical="center" textRotation="90"/>
    </xf>
    <xf numFmtId="0" fontId="7" fillId="2" borderId="7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7" fillId="3" borderId="47" xfId="0" applyFont="1" applyFill="1" applyBorder="1" applyAlignment="1">
      <alignment horizontal="center"/>
    </xf>
    <xf numFmtId="0" fontId="7" fillId="3" borderId="27" xfId="0" applyFont="1" applyFill="1" applyBorder="1" applyAlignment="1">
      <alignment horizontal="center"/>
    </xf>
    <xf numFmtId="0" fontId="7" fillId="3" borderId="48" xfId="0" applyFont="1" applyFill="1" applyBorder="1" applyAlignment="1">
      <alignment horizontal="center"/>
    </xf>
    <xf numFmtId="0" fontId="7" fillId="2" borderId="71" xfId="0" applyFont="1" applyFill="1" applyBorder="1" applyAlignment="1">
      <alignment horizontal="center"/>
    </xf>
    <xf numFmtId="0" fontId="7" fillId="2" borderId="72" xfId="0" applyFont="1" applyFill="1" applyBorder="1" applyAlignment="1">
      <alignment horizontal="center"/>
    </xf>
    <xf numFmtId="0" fontId="7" fillId="2" borderId="73" xfId="0" applyFont="1" applyFill="1" applyBorder="1" applyAlignment="1">
      <alignment horizontal="center"/>
    </xf>
    <xf numFmtId="0" fontId="7" fillId="2" borderId="66" xfId="0" applyFont="1" applyFill="1" applyBorder="1" applyAlignment="1">
      <alignment horizontal="center" vertical="center" textRotation="90"/>
    </xf>
    <xf numFmtId="0" fontId="7" fillId="2" borderId="5" xfId="0" applyFont="1" applyFill="1" applyBorder="1" applyAlignment="1">
      <alignment horizontal="center"/>
    </xf>
    <xf numFmtId="0" fontId="7" fillId="2" borderId="9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92" xfId="0" applyFont="1" applyFill="1" applyBorder="1" applyAlignment="1">
      <alignment horizontal="center" vertical="center" wrapText="1"/>
    </xf>
    <xf numFmtId="0" fontId="5" fillId="2" borderId="93" xfId="0" applyFont="1" applyFill="1" applyBorder="1" applyAlignment="1">
      <alignment horizontal="center"/>
    </xf>
    <xf numFmtId="0" fontId="5" fillId="2" borderId="90" xfId="0" applyFont="1" applyFill="1" applyBorder="1" applyAlignment="1">
      <alignment horizontal="center"/>
    </xf>
    <xf numFmtId="0" fontId="7" fillId="2" borderId="68" xfId="0" applyFont="1" applyFill="1" applyBorder="1" applyAlignment="1">
      <alignment horizontal="center"/>
    </xf>
    <xf numFmtId="0" fontId="7" fillId="2" borderId="69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 vertical="center" wrapText="1"/>
    </xf>
    <xf numFmtId="0" fontId="7" fillId="2" borderId="94" xfId="0" applyFont="1" applyFill="1" applyBorder="1" applyAlignment="1">
      <alignment horizontal="center" vertical="center" wrapText="1"/>
    </xf>
    <xf numFmtId="0" fontId="7" fillId="2" borderId="95" xfId="0" applyFont="1" applyFill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4" fillId="3" borderId="13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center" vertical="center"/>
    </xf>
    <xf numFmtId="0" fontId="33" fillId="3" borderId="54" xfId="0" applyFont="1" applyFill="1" applyBorder="1" applyAlignment="1">
      <alignment horizontal="center" vertical="center"/>
    </xf>
    <xf numFmtId="42" fontId="5" fillId="27" borderId="51" xfId="0" applyNumberFormat="1" applyFont="1" applyFill="1" applyBorder="1" applyAlignment="1">
      <alignment horizontal="center" vertical="center"/>
    </xf>
    <xf numFmtId="42" fontId="5" fillId="27" borderId="52" xfId="0" applyNumberFormat="1" applyFont="1" applyFill="1" applyBorder="1" applyAlignment="1">
      <alignment horizontal="center" vertical="center"/>
    </xf>
    <xf numFmtId="0" fontId="7" fillId="27" borderId="51" xfId="0" applyFont="1" applyFill="1" applyBorder="1" applyAlignment="1">
      <alignment horizontal="center" vertical="center"/>
    </xf>
    <xf numFmtId="0" fontId="7" fillId="27" borderId="52" xfId="0" applyFont="1" applyFill="1" applyBorder="1" applyAlignment="1">
      <alignment horizontal="center" vertical="center"/>
    </xf>
    <xf numFmtId="0" fontId="33" fillId="3" borderId="28" xfId="0" applyFont="1" applyFill="1" applyBorder="1" applyAlignment="1">
      <alignment horizontal="center" vertical="center"/>
    </xf>
    <xf numFmtId="0" fontId="33" fillId="3" borderId="3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8" fillId="2" borderId="60" xfId="0" applyFont="1" applyFill="1" applyBorder="1" applyAlignment="1">
      <alignment horizontal="center" wrapText="1"/>
    </xf>
    <xf numFmtId="0" fontId="8" fillId="2" borderId="6" xfId="0" applyFont="1" applyFill="1" applyBorder="1" applyAlignment="1">
      <alignment horizontal="center" wrapText="1"/>
    </xf>
    <xf numFmtId="0" fontId="8" fillId="2" borderId="31" xfId="0" applyFont="1" applyFill="1" applyBorder="1" applyAlignment="1">
      <alignment horizontal="center" wrapText="1"/>
    </xf>
    <xf numFmtId="0" fontId="14" fillId="2" borderId="32" xfId="0" applyFont="1" applyFill="1" applyBorder="1" applyAlignment="1">
      <alignment horizontal="center" wrapText="1"/>
    </xf>
    <xf numFmtId="0" fontId="14" fillId="2" borderId="33" xfId="0" applyFont="1" applyFill="1" applyBorder="1" applyAlignment="1">
      <alignment horizontal="center" wrapText="1"/>
    </xf>
    <xf numFmtId="0" fontId="14" fillId="2" borderId="28" xfId="0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0" fontId="14" fillId="2" borderId="32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 wrapText="1"/>
    </xf>
    <xf numFmtId="0" fontId="14" fillId="2" borderId="33" xfId="0" applyFont="1" applyFill="1" applyBorder="1" applyAlignment="1">
      <alignment horizontal="center" vertical="center" wrapText="1"/>
    </xf>
    <xf numFmtId="0" fontId="14" fillId="2" borderId="34" xfId="0" applyFont="1" applyFill="1" applyBorder="1" applyAlignment="1">
      <alignment horizontal="center" vertical="center" wrapText="1"/>
    </xf>
    <xf numFmtId="0" fontId="14" fillId="3" borderId="28" xfId="0" applyFont="1" applyFill="1" applyBorder="1" applyAlignment="1">
      <alignment horizontal="center" wrapText="1"/>
    </xf>
    <xf numFmtId="0" fontId="14" fillId="3" borderId="29" xfId="0" applyFont="1" applyFill="1" applyBorder="1" applyAlignment="1">
      <alignment horizontal="center" wrapText="1"/>
    </xf>
    <xf numFmtId="0" fontId="14" fillId="3" borderId="30" xfId="0" applyFont="1" applyFill="1" applyBorder="1" applyAlignment="1">
      <alignment horizontal="center" wrapText="1"/>
    </xf>
    <xf numFmtId="0" fontId="14" fillId="3" borderId="96" xfId="0" applyFont="1" applyFill="1" applyBorder="1" applyAlignment="1">
      <alignment horizontal="center" wrapText="1"/>
    </xf>
    <xf numFmtId="0" fontId="14" fillId="3" borderId="5" xfId="0" applyFont="1" applyFill="1" applyBorder="1" applyAlignment="1">
      <alignment horizontal="center" wrapText="1"/>
    </xf>
    <xf numFmtId="0" fontId="14" fillId="2" borderId="96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39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justify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center" vertical="center" wrapText="1"/>
    </xf>
    <xf numFmtId="4" fontId="19" fillId="0" borderId="5" xfId="0" applyNumberFormat="1" applyFont="1" applyBorder="1" applyAlignment="1">
      <alignment horizontal="center" vertical="center"/>
    </xf>
    <xf numFmtId="4" fontId="19" fillId="0" borderId="6" xfId="0" applyNumberFormat="1" applyFont="1" applyBorder="1" applyAlignment="1">
      <alignment horizontal="center" vertical="center"/>
    </xf>
    <xf numFmtId="4" fontId="17" fillId="0" borderId="1" xfId="0" applyNumberFormat="1" applyFont="1" applyBorder="1" applyAlignment="1">
      <alignment horizontal="left" vertical="center" wrapText="1"/>
    </xf>
    <xf numFmtId="0" fontId="19" fillId="3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17" fillId="0" borderId="26" xfId="9" applyBorder="1" applyAlignment="1">
      <alignment horizontal="center" vertical="center"/>
    </xf>
    <xf numFmtId="0" fontId="17" fillId="0" borderId="94" xfId="9" applyBorder="1" applyAlignment="1">
      <alignment horizontal="center" vertical="center"/>
    </xf>
    <xf numFmtId="0" fontId="17" fillId="0" borderId="95" xfId="9" applyBorder="1" applyAlignment="1">
      <alignment horizontal="center" vertical="center"/>
    </xf>
    <xf numFmtId="0" fontId="17" fillId="0" borderId="85" xfId="9" applyBorder="1" applyAlignment="1">
      <alignment horizontal="center"/>
    </xf>
    <xf numFmtId="0" fontId="17" fillId="0" borderId="4" xfId="9" applyBorder="1" applyAlignment="1">
      <alignment horizontal="center"/>
    </xf>
    <xf numFmtId="0" fontId="17" fillId="0" borderId="37" xfId="9" applyBorder="1" applyAlignment="1">
      <alignment horizontal="center"/>
    </xf>
    <xf numFmtId="0" fontId="17" fillId="0" borderId="86" xfId="9" applyBorder="1" applyAlignment="1">
      <alignment horizontal="center"/>
    </xf>
    <xf numFmtId="0" fontId="17" fillId="0" borderId="97" xfId="9" applyBorder="1" applyAlignment="1">
      <alignment horizontal="center"/>
    </xf>
    <xf numFmtId="0" fontId="17" fillId="0" borderId="98" xfId="9" applyBorder="1" applyAlignment="1">
      <alignment horizontal="center"/>
    </xf>
    <xf numFmtId="0" fontId="17" fillId="0" borderId="99" xfId="9" applyBorder="1" applyAlignment="1">
      <alignment horizontal="center"/>
    </xf>
    <xf numFmtId="0" fontId="17" fillId="0" borderId="100" xfId="9" applyBorder="1" applyAlignment="1">
      <alignment horizontal="center"/>
    </xf>
    <xf numFmtId="0" fontId="17" fillId="0" borderId="36" xfId="9" applyBorder="1" applyAlignment="1">
      <alignment horizontal="center"/>
    </xf>
    <xf numFmtId="0" fontId="19" fillId="0" borderId="28" xfId="9" applyFont="1" applyBorder="1" applyAlignment="1">
      <alignment horizontal="left"/>
    </xf>
    <xf numFmtId="0" fontId="19" fillId="0" borderId="29" xfId="9" applyFont="1" applyBorder="1" applyAlignment="1">
      <alignment horizontal="left"/>
    </xf>
    <xf numFmtId="0" fontId="19" fillId="0" borderId="30" xfId="9" applyFont="1" applyBorder="1" applyAlignment="1">
      <alignment horizontal="left"/>
    </xf>
    <xf numFmtId="0" fontId="17" fillId="26" borderId="1" xfId="9" applyFill="1" applyBorder="1" applyAlignment="1">
      <alignment horizontal="center"/>
    </xf>
    <xf numFmtId="0" fontId="17" fillId="0" borderId="1" xfId="9" applyBorder="1" applyAlignment="1">
      <alignment horizontal="center"/>
    </xf>
    <xf numFmtId="10" fontId="17" fillId="0" borderId="42" xfId="9" applyNumberFormat="1" applyBorder="1" applyAlignment="1">
      <alignment horizontal="center"/>
    </xf>
    <xf numFmtId="10" fontId="17" fillId="0" borderId="81" xfId="9" applyNumberFormat="1" applyBorder="1" applyAlignment="1">
      <alignment horizontal="center"/>
    </xf>
    <xf numFmtId="0" fontId="17" fillId="0" borderId="31" xfId="9" applyBorder="1" applyAlignment="1">
      <alignment horizontal="center"/>
    </xf>
    <xf numFmtId="0" fontId="17" fillId="0" borderId="7" xfId="9" applyBorder="1" applyAlignment="1">
      <alignment horizontal="center"/>
    </xf>
    <xf numFmtId="0" fontId="17" fillId="0" borderId="32" xfId="9" applyBorder="1" applyAlignment="1">
      <alignment horizontal="center"/>
    </xf>
    <xf numFmtId="0" fontId="17" fillId="0" borderId="33" xfId="9" applyBorder="1" applyAlignment="1">
      <alignment horizontal="center"/>
    </xf>
    <xf numFmtId="0" fontId="17" fillId="0" borderId="34" xfId="9" applyBorder="1" applyAlignment="1">
      <alignment horizontal="center"/>
    </xf>
    <xf numFmtId="0" fontId="19" fillId="9" borderId="55" xfId="9" applyFont="1" applyFill="1" applyBorder="1" applyAlignment="1">
      <alignment horizontal="center"/>
    </xf>
    <xf numFmtId="0" fontId="19" fillId="9" borderId="56" xfId="9" applyFont="1" applyFill="1" applyBorder="1" applyAlignment="1">
      <alignment horizontal="center"/>
    </xf>
    <xf numFmtId="0" fontId="19" fillId="9" borderId="57" xfId="9" applyFont="1" applyFill="1" applyBorder="1" applyAlignment="1">
      <alignment horizontal="center"/>
    </xf>
    <xf numFmtId="0" fontId="19" fillId="0" borderId="53" xfId="9" applyFont="1" applyBorder="1" applyAlignment="1">
      <alignment horizontal="left"/>
    </xf>
    <xf numFmtId="0" fontId="19" fillId="0" borderId="47" xfId="9" applyFont="1" applyBorder="1" applyAlignment="1">
      <alignment horizontal="center" vertical="center" wrapText="1"/>
    </xf>
    <xf numFmtId="0" fontId="19" fillId="0" borderId="40" xfId="9" applyFont="1" applyBorder="1" applyAlignment="1">
      <alignment horizontal="center" vertical="center" wrapText="1"/>
    </xf>
    <xf numFmtId="10" fontId="19" fillId="10" borderId="48" xfId="9" applyNumberFormat="1" applyFont="1" applyFill="1" applyBorder="1" applyAlignment="1">
      <alignment horizontal="center" vertical="center" wrapText="1"/>
    </xf>
    <xf numFmtId="0" fontId="19" fillId="10" borderId="12" xfId="9" applyFont="1" applyFill="1" applyBorder="1" applyAlignment="1">
      <alignment horizontal="center" vertical="center" wrapText="1"/>
    </xf>
    <xf numFmtId="3" fontId="9" fillId="0" borderId="5" xfId="9" applyNumberFormat="1" applyFont="1" applyBorder="1" applyAlignment="1">
      <alignment horizontal="right" vertical="center" wrapText="1"/>
    </xf>
    <xf numFmtId="3" fontId="9" fillId="0" borderId="6" xfId="9" applyNumberFormat="1" applyFont="1" applyBorder="1" applyAlignment="1">
      <alignment horizontal="right" vertical="center" wrapText="1"/>
    </xf>
    <xf numFmtId="0" fontId="19" fillId="0" borderId="1" xfId="9" applyFont="1" applyBorder="1" applyAlignment="1">
      <alignment horizontal="center"/>
    </xf>
    <xf numFmtId="4" fontId="20" fillId="9" borderId="1" xfId="9" applyNumberFormat="1" applyFont="1" applyFill="1" applyBorder="1" applyAlignment="1">
      <alignment horizontal="center"/>
    </xf>
    <xf numFmtId="0" fontId="19" fillId="0" borderId="0" xfId="9" applyFont="1" applyAlignment="1">
      <alignment horizontal="center" vertical="center" wrapText="1"/>
    </xf>
    <xf numFmtId="0" fontId="19" fillId="0" borderId="9" xfId="9" applyFont="1" applyBorder="1" applyAlignment="1">
      <alignment horizontal="center" vertical="center" wrapText="1"/>
    </xf>
    <xf numFmtId="0" fontId="19" fillId="2" borderId="1" xfId="9" applyFont="1" applyFill="1" applyBorder="1" applyAlignment="1">
      <alignment horizontal="center" vertical="center" wrapText="1"/>
    </xf>
    <xf numFmtId="0" fontId="19" fillId="2" borderId="1" xfId="9" applyFont="1" applyFill="1" applyBorder="1" applyAlignment="1">
      <alignment horizontal="center"/>
    </xf>
    <xf numFmtId="0" fontId="19" fillId="0" borderId="0" xfId="9" applyFont="1" applyAlignment="1">
      <alignment horizontal="left"/>
    </xf>
    <xf numFmtId="0" fontId="17" fillId="0" borderId="10" xfId="9" applyBorder="1" applyAlignment="1">
      <alignment horizontal="center"/>
    </xf>
    <xf numFmtId="0" fontId="17" fillId="0" borderId="0" xfId="9" applyAlignment="1">
      <alignment horizontal="center"/>
    </xf>
    <xf numFmtId="0" fontId="19" fillId="0" borderId="9" xfId="9" applyFont="1" applyBorder="1" applyAlignment="1">
      <alignment horizontal="left"/>
    </xf>
    <xf numFmtId="0" fontId="19" fillId="0" borderId="10" xfId="9" applyFont="1" applyBorder="1" applyAlignment="1">
      <alignment horizontal="left"/>
    </xf>
    <xf numFmtId="0" fontId="19" fillId="0" borderId="24" xfId="9" applyFont="1" applyBorder="1" applyAlignment="1">
      <alignment horizontal="left"/>
    </xf>
    <xf numFmtId="0" fontId="17" fillId="0" borderId="32" xfId="9" applyBorder="1" applyAlignment="1">
      <alignment horizontal="left" vertical="top" wrapText="1"/>
    </xf>
    <xf numFmtId="0" fontId="17" fillId="0" borderId="33" xfId="9" applyBorder="1" applyAlignment="1">
      <alignment horizontal="left" vertical="top" wrapText="1"/>
    </xf>
    <xf numFmtId="0" fontId="17" fillId="0" borderId="34" xfId="9" applyBorder="1" applyAlignment="1">
      <alignment horizontal="left" vertical="top" wrapText="1"/>
    </xf>
    <xf numFmtId="0" fontId="19" fillId="9" borderId="23" xfId="9" applyFont="1" applyFill="1" applyBorder="1" applyAlignment="1">
      <alignment horizontal="center" vertical="top" wrapText="1"/>
    </xf>
    <xf numFmtId="0" fontId="19" fillId="9" borderId="24" xfId="9" applyFont="1" applyFill="1" applyBorder="1" applyAlignment="1">
      <alignment horizontal="center" vertical="top" wrapText="1"/>
    </xf>
    <xf numFmtId="0" fontId="19" fillId="9" borderId="25" xfId="9" applyFont="1" applyFill="1" applyBorder="1" applyAlignment="1">
      <alignment horizontal="center" vertical="top" wrapText="1"/>
    </xf>
    <xf numFmtId="0" fontId="21" fillId="0" borderId="0" xfId="9" applyFont="1" applyAlignment="1">
      <alignment horizontal="right"/>
    </xf>
    <xf numFmtId="0" fontId="17" fillId="0" borderId="31" xfId="9" applyBorder="1" applyAlignment="1">
      <alignment horizontal="left" vertical="top" wrapText="1"/>
    </xf>
    <xf numFmtId="0" fontId="17" fillId="0" borderId="1" xfId="9" applyBorder="1" applyAlignment="1">
      <alignment horizontal="left" vertical="top" wrapText="1"/>
    </xf>
    <xf numFmtId="0" fontId="17" fillId="0" borderId="7" xfId="9" applyBorder="1" applyAlignment="1">
      <alignment horizontal="left" vertical="top" wrapText="1"/>
    </xf>
    <xf numFmtId="0" fontId="18" fillId="0" borderId="0" xfId="9" applyFont="1" applyAlignment="1">
      <alignment horizontal="center"/>
    </xf>
    <xf numFmtId="0" fontId="19" fillId="2" borderId="20" xfId="9" applyFont="1" applyFill="1" applyBorder="1" applyAlignment="1">
      <alignment horizontal="center" vertical="top" wrapText="1"/>
    </xf>
    <xf numFmtId="0" fontId="19" fillId="2" borderId="21" xfId="9" applyFont="1" applyFill="1" applyBorder="1" applyAlignment="1">
      <alignment horizontal="center" vertical="top" wrapText="1"/>
    </xf>
    <xf numFmtId="0" fontId="19" fillId="2" borderId="22" xfId="9" applyFont="1" applyFill="1" applyBorder="1" applyAlignment="1">
      <alignment horizontal="center" vertical="top" wrapText="1"/>
    </xf>
    <xf numFmtId="0" fontId="19" fillId="2" borderId="20" xfId="9" applyFont="1" applyFill="1" applyBorder="1" applyAlignment="1">
      <alignment horizontal="center" wrapText="1"/>
    </xf>
    <xf numFmtId="0" fontId="19" fillId="2" borderId="21" xfId="9" applyFont="1" applyFill="1" applyBorder="1" applyAlignment="1">
      <alignment horizontal="center" wrapText="1"/>
    </xf>
    <xf numFmtId="0" fontId="17" fillId="0" borderId="28" xfId="9" applyBorder="1" applyAlignment="1">
      <alignment horizontal="left" vertical="top" wrapText="1"/>
    </xf>
    <xf numFmtId="0" fontId="17" fillId="0" borderId="29" xfId="9" applyBorder="1" applyAlignment="1">
      <alignment horizontal="left" vertical="top" wrapText="1"/>
    </xf>
    <xf numFmtId="0" fontId="17" fillId="0" borderId="30" xfId="9" applyBorder="1" applyAlignment="1">
      <alignment horizontal="left" vertical="top" wrapText="1"/>
    </xf>
    <xf numFmtId="3" fontId="9" fillId="0" borderId="1" xfId="9" applyNumberFormat="1" applyFont="1" applyBorder="1" applyAlignment="1">
      <alignment horizontal="right" vertical="center" wrapText="1"/>
    </xf>
    <xf numFmtId="187" fontId="20" fillId="9" borderId="1" xfId="9" applyNumberFormat="1" applyFont="1" applyFill="1" applyBorder="1" applyAlignment="1">
      <alignment horizontal="center"/>
    </xf>
    <xf numFmtId="0" fontId="17" fillId="26" borderId="40" xfId="9" applyFill="1" applyBorder="1" applyAlignment="1">
      <alignment horizontal="center"/>
    </xf>
    <xf numFmtId="0" fontId="17" fillId="26" borderId="11" xfId="9" applyFill="1" applyBorder="1" applyAlignment="1">
      <alignment horizontal="center"/>
    </xf>
    <xf numFmtId="0" fontId="19" fillId="3" borderId="55" xfId="9" applyFont="1" applyFill="1" applyBorder="1" applyAlignment="1">
      <alignment horizontal="center" vertical="center" wrapText="1"/>
    </xf>
    <xf numFmtId="0" fontId="19" fillId="3" borderId="56" xfId="9" applyFont="1" applyFill="1" applyBorder="1" applyAlignment="1">
      <alignment horizontal="center" vertical="center" wrapText="1"/>
    </xf>
    <xf numFmtId="0" fontId="19" fillId="3" borderId="57" xfId="9" applyFont="1" applyFill="1" applyBorder="1" applyAlignment="1">
      <alignment horizontal="center" vertical="center" wrapText="1"/>
    </xf>
    <xf numFmtId="10" fontId="19" fillId="10" borderId="1" xfId="9" applyNumberFormat="1" applyFont="1" applyFill="1" applyBorder="1" applyAlignment="1">
      <alignment horizontal="center" vertical="center" wrapText="1"/>
    </xf>
    <xf numFmtId="0" fontId="19" fillId="10" borderId="1" xfId="9" applyFont="1" applyFill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 wrapText="1"/>
    </xf>
    <xf numFmtId="0" fontId="19" fillId="3" borderId="1" xfId="9" applyFont="1" applyFill="1" applyBorder="1" applyAlignment="1">
      <alignment horizontal="center"/>
    </xf>
    <xf numFmtId="0" fontId="17" fillId="0" borderId="26" xfId="9" applyBorder="1" applyAlignment="1">
      <alignment horizontal="center" vertical="center" wrapText="1"/>
    </xf>
    <xf numFmtId="0" fontId="17" fillId="0" borderId="94" xfId="9" applyBorder="1" applyAlignment="1">
      <alignment horizontal="center" vertical="center" wrapText="1"/>
    </xf>
    <xf numFmtId="0" fontId="17" fillId="0" borderId="95" xfId="9" applyBorder="1" applyAlignment="1">
      <alignment horizontal="center" vertical="center" wrapText="1"/>
    </xf>
    <xf numFmtId="0" fontId="19" fillId="36" borderId="99" xfId="9" applyFont="1" applyFill="1" applyBorder="1" applyAlignment="1">
      <alignment horizontal="left"/>
    </xf>
    <xf numFmtId="0" fontId="19" fillId="36" borderId="100" xfId="9" applyFont="1" applyFill="1" applyBorder="1" applyAlignment="1">
      <alignment horizontal="left"/>
    </xf>
    <xf numFmtId="0" fontId="19" fillId="36" borderId="36" xfId="9" applyFont="1" applyFill="1" applyBorder="1" applyAlignment="1">
      <alignment horizontal="left"/>
    </xf>
    <xf numFmtId="0" fontId="19" fillId="36" borderId="55" xfId="9" applyFont="1" applyFill="1" applyBorder="1" applyAlignment="1">
      <alignment horizontal="left"/>
    </xf>
    <xf numFmtId="0" fontId="19" fillId="36" borderId="56" xfId="9" applyFont="1" applyFill="1" applyBorder="1" applyAlignment="1">
      <alignment horizontal="left"/>
    </xf>
    <xf numFmtId="0" fontId="19" fillId="36" borderId="57" xfId="9" applyFont="1" applyFill="1" applyBorder="1" applyAlignment="1">
      <alignment horizontal="left"/>
    </xf>
    <xf numFmtId="0" fontId="37" fillId="0" borderId="0" xfId="0" applyFont="1" applyAlignment="1">
      <alignment horizontal="center"/>
    </xf>
    <xf numFmtId="0" fontId="35" fillId="3" borderId="2" xfId="0" applyFont="1" applyFill="1" applyBorder="1" applyAlignment="1">
      <alignment horizontal="center"/>
    </xf>
    <xf numFmtId="0" fontId="35" fillId="3" borderId="3" xfId="0" applyFont="1" applyFill="1" applyBorder="1" applyAlignment="1">
      <alignment horizontal="center"/>
    </xf>
    <xf numFmtId="0" fontId="19" fillId="0" borderId="6" xfId="9" applyFont="1" applyBorder="1" applyAlignment="1">
      <alignment horizontal="center"/>
    </xf>
    <xf numFmtId="0" fontId="14" fillId="3" borderId="1" xfId="0" applyFont="1" applyFill="1" applyBorder="1"/>
    <xf numFmtId="0" fontId="5" fillId="2" borderId="65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37" fillId="37" borderId="0" xfId="0" applyFont="1" applyFill="1" applyAlignment="1">
      <alignment horizontal="center"/>
    </xf>
    <xf numFmtId="0" fontId="37" fillId="0" borderId="0" xfId="0" applyFont="1"/>
    <xf numFmtId="0" fontId="37" fillId="0" borderId="0" xfId="0" applyFont="1" applyAlignment="1">
      <alignment vertical="top"/>
    </xf>
  </cellXfs>
  <cellStyles count="12">
    <cellStyle name="Millares [0]" xfId="7" builtinId="6"/>
    <cellStyle name="Millares 2" xfId="10" xr:uid="{00000000-0005-0000-0000-000001000000}"/>
    <cellStyle name="Moneda" xfId="4" builtinId="4"/>
    <cellStyle name="Moneda [0]" xfId="1" builtinId="7"/>
    <cellStyle name="Moneda [0] 2" xfId="5" xr:uid="{00000000-0005-0000-0000-000004000000}"/>
    <cellStyle name="Moneda 2" xfId="3" xr:uid="{00000000-0005-0000-0000-000005000000}"/>
    <cellStyle name="Moneda 3" xfId="6" xr:uid="{00000000-0005-0000-0000-000006000000}"/>
    <cellStyle name="Moneda 4" xfId="11" xr:uid="{00000000-0005-0000-0000-000007000000}"/>
    <cellStyle name="Normal" xfId="0" builtinId="0"/>
    <cellStyle name="Normal 2" xfId="8" xr:uid="{00000000-0005-0000-0000-000009000000}"/>
    <cellStyle name="Normal 3" xfId="9" xr:uid="{00000000-0005-0000-0000-00000A000000}"/>
    <cellStyle name="Porcentaje" xfId="2" builtinId="5"/>
  </cellStyles>
  <dxfs count="48">
    <dxf>
      <fill>
        <patternFill>
          <bgColor theme="8" tint="-0.24994659260841701"/>
        </patternFill>
      </fill>
    </dxf>
    <dxf>
      <fill>
        <patternFill>
          <bgColor theme="2" tint="0.39994506668294322"/>
        </patternFill>
      </fill>
    </dxf>
    <dxf>
      <fill>
        <patternFill>
          <bgColor rgb="FF92D05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rgb="FFFF5050"/>
        </patternFill>
      </fill>
    </dxf>
    <dxf>
      <fill>
        <patternFill>
          <bgColor theme="2" tint="0.39994506668294322"/>
        </patternFill>
      </fill>
    </dxf>
    <dxf>
      <fill>
        <patternFill>
          <bgColor rgb="FF92D05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theme="2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ont>
        <color theme="7" tint="-0.499984740745262"/>
      </font>
      <fill>
        <patternFill>
          <bgColor rgb="FFC6EF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2" tint="-0.499984740745262"/>
      </font>
      <fill>
        <patternFill>
          <bgColor theme="2" tint="0.59996337778862885"/>
        </patternFill>
      </fill>
    </dxf>
    <dxf>
      <font>
        <color theme="7" tint="-0.499984740745262"/>
      </font>
      <fill>
        <patternFill>
          <bgColor rgb="FFC6EF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2" tint="-0.499984740745262"/>
      </font>
      <fill>
        <patternFill>
          <bgColor theme="2" tint="0.59996337778862885"/>
        </patternFill>
      </fill>
    </dxf>
    <dxf>
      <font>
        <color theme="7" tint="-0.499984740745262"/>
      </font>
      <fill>
        <patternFill>
          <bgColor rgb="FFC6EF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2" tint="-0.499984740745262"/>
      </font>
      <fill>
        <patternFill>
          <bgColor theme="2" tint="0.59996337778862885"/>
        </patternFill>
      </fill>
    </dxf>
    <dxf>
      <font>
        <color theme="7" tint="-0.499984740745262"/>
      </font>
      <fill>
        <patternFill>
          <bgColor rgb="FFC6EF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2" tint="-0.499984740745262"/>
      </font>
      <fill>
        <patternFill>
          <bgColor theme="2" tint="0.59996337778862885"/>
        </patternFill>
      </fill>
    </dxf>
    <dxf>
      <font>
        <color theme="7" tint="-0.499984740745262"/>
      </font>
      <fill>
        <patternFill>
          <bgColor rgb="FFC6EF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2" tint="-0.499984740745262"/>
      </font>
      <fill>
        <patternFill>
          <bgColor theme="2" tint="0.59996337778862885"/>
        </patternFill>
      </fill>
    </dxf>
    <dxf>
      <font>
        <color theme="7" tint="-0.499984740745262"/>
      </font>
      <fill>
        <patternFill>
          <bgColor rgb="FFC6EF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2" tint="-0.499984740745262"/>
      </font>
      <fill>
        <patternFill>
          <bgColor theme="2" tint="0.59996337778862885"/>
        </patternFill>
      </fill>
    </dxf>
    <dxf>
      <font>
        <color theme="7" tint="-0.499984740745262"/>
      </font>
      <fill>
        <patternFill>
          <bgColor rgb="FFC6EF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2" tint="-0.499984740745262"/>
      </font>
      <fill>
        <patternFill>
          <bgColor theme="2" tint="0.59996337778862885"/>
        </patternFill>
      </fill>
    </dxf>
    <dxf>
      <font>
        <color theme="7" tint="-0.499984740745262"/>
      </font>
      <fill>
        <patternFill>
          <bgColor rgb="FFC6EF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2" tint="-0.499984740745262"/>
      </font>
      <fill>
        <patternFill>
          <bgColor theme="2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5050"/>
      <color rgb="FF66FF33"/>
      <color rgb="FFFFFFFF"/>
      <color rgb="FFFF8B99"/>
      <color rgb="FFC6EFCE"/>
      <color rgb="FFCCFF99"/>
      <color rgb="FFCCFFCC"/>
      <color rgb="FFFFC7CE"/>
      <color rgb="FFD4DD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50" Type="http://schemas.openxmlformats.org/officeDocument/2006/relationships/externalLink" Target="externalLinks/externalLink12.xml"/><Relationship Id="rId55" Type="http://schemas.openxmlformats.org/officeDocument/2006/relationships/externalLink" Target="externalLinks/externalLink1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3" Type="http://schemas.openxmlformats.org/officeDocument/2006/relationships/externalLink" Target="externalLinks/externalLink15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microsoft.com/office/2017/10/relationships/person" Target="persons/perso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1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3.xml"/><Relationship Id="rId54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1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52" Type="http://schemas.openxmlformats.org/officeDocument/2006/relationships/externalLink" Target="externalLinks/externalLink14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ysClr val="windowText" lastClr="000000"/>
                </a:solidFill>
              </a:rPr>
              <a:t>Demanda dinámica</a:t>
            </a:r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DEMANDA</c:v>
          </c:tx>
          <c:spPr>
            <a:ln w="34925" cap="rnd">
              <a:solidFill>
                <a:schemeClr val="accent1">
                  <a:shade val="58000"/>
                </a:schemeClr>
              </a:solidFill>
              <a:round/>
            </a:ln>
            <a:effectLst>
              <a:outerShdw blurRad="38100" dist="25400" dir="5400000" algn="ctr" rotWithShape="0">
                <a:srgbClr val="000000">
                  <a:alpha val="25000"/>
                </a:srgbClr>
              </a:outerShdw>
            </a:effectLst>
          </c:spPr>
          <c:marker>
            <c:symbol val="none"/>
          </c:marker>
          <c:cat>
            <c:numRef>
              <c:f>PronósticoDmda!$D$24:$O$24</c:f>
              <c:numCache>
                <c:formatCode>#,##0.00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PronósticoDmda!$D$24:$O$24</c:f>
              <c:numCache>
                <c:formatCode>#,##0.00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10-4769-998B-DAB3EA3FE5B4}"/>
            </c:ext>
          </c:extLst>
        </c:ser>
        <c:ser>
          <c:idx val="1"/>
          <c:order val="1"/>
          <c:tx>
            <c:v>LIM.SUP.</c:v>
          </c:tx>
          <c:spPr>
            <a:ln w="34925" cap="rnd">
              <a:solidFill>
                <a:schemeClr val="accent1">
                  <a:shade val="86000"/>
                </a:schemeClr>
              </a:solidFill>
              <a:round/>
            </a:ln>
            <a:effectLst>
              <a:outerShdw blurRad="38100" dist="25400" dir="5400000" algn="ctr" rotWithShape="0">
                <a:srgbClr val="000000">
                  <a:alpha val="25000"/>
                </a:srgbClr>
              </a:outerShdw>
            </a:effectLst>
          </c:spPr>
          <c:marker>
            <c:symbol val="none"/>
          </c:marker>
          <c:cat>
            <c:numRef>
              <c:f>PronósticoDmda!$D$24:$O$24</c:f>
              <c:numCache>
                <c:formatCode>#,##0.00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PronósticoDmda!$D$25:$O$25</c:f>
              <c:numCache>
                <c:formatCode>#,##0.00</c:formatCode>
                <c:ptCount val="12"/>
                <c:pt idx="0">
                  <c:v>4</c:v>
                </c:pt>
                <c:pt idx="1">
                  <c:v>6.3000000000000007</c:v>
                </c:pt>
                <c:pt idx="2">
                  <c:v>5.25</c:v>
                </c:pt>
                <c:pt idx="3">
                  <c:v>7.3500000000000005</c:v>
                </c:pt>
                <c:pt idx="4">
                  <c:v>8.4</c:v>
                </c:pt>
                <c:pt idx="5">
                  <c:v>9.4500000000000011</c:v>
                </c:pt>
                <c:pt idx="6">
                  <c:v>10.5</c:v>
                </c:pt>
                <c:pt idx="7">
                  <c:v>12.600000000000001</c:v>
                </c:pt>
                <c:pt idx="8">
                  <c:v>11.55</c:v>
                </c:pt>
                <c:pt idx="9">
                  <c:v>10.5</c:v>
                </c:pt>
                <c:pt idx="10">
                  <c:v>11.55</c:v>
                </c:pt>
                <c:pt idx="11">
                  <c:v>12.600000000000001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710-4769-998B-DAB3EA3FE5B4}"/>
            </c:ext>
          </c:extLst>
        </c:ser>
        <c:ser>
          <c:idx val="2"/>
          <c:order val="2"/>
          <c:tx>
            <c:v>LIM.INF.</c:v>
          </c:tx>
          <c:spPr>
            <a:ln w="34925" cap="rnd">
              <a:solidFill>
                <a:schemeClr val="accent1">
                  <a:tint val="86000"/>
                </a:schemeClr>
              </a:solidFill>
              <a:round/>
            </a:ln>
            <a:effectLst>
              <a:outerShdw blurRad="38100" dist="25400" dir="5400000" algn="ctr" rotWithShape="0">
                <a:srgbClr val="000000">
                  <a:alpha val="25000"/>
                </a:srgbClr>
              </a:outerShdw>
            </a:effectLst>
          </c:spPr>
          <c:marker>
            <c:symbol val="none"/>
          </c:marker>
          <c:cat>
            <c:numRef>
              <c:f>PronósticoDmda!$D$24:$O$24</c:f>
              <c:numCache>
                <c:formatCode>#,##0.00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PronósticoDmda!$D$26:$O$26</c:f>
              <c:numCache>
                <c:formatCode>#,##0.00</c:formatCode>
                <c:ptCount val="12"/>
                <c:pt idx="0">
                  <c:v>4</c:v>
                </c:pt>
                <c:pt idx="1">
                  <c:v>5.6999999999999993</c:v>
                </c:pt>
                <c:pt idx="2">
                  <c:v>4.75</c:v>
                </c:pt>
                <c:pt idx="3">
                  <c:v>6.6499999999999995</c:v>
                </c:pt>
                <c:pt idx="4">
                  <c:v>7.6</c:v>
                </c:pt>
                <c:pt idx="5">
                  <c:v>8.5499999999999989</c:v>
                </c:pt>
                <c:pt idx="6">
                  <c:v>9.5</c:v>
                </c:pt>
                <c:pt idx="7">
                  <c:v>11.399999999999999</c:v>
                </c:pt>
                <c:pt idx="8">
                  <c:v>10.45</c:v>
                </c:pt>
                <c:pt idx="9">
                  <c:v>9.5</c:v>
                </c:pt>
                <c:pt idx="10">
                  <c:v>10.45</c:v>
                </c:pt>
                <c:pt idx="11">
                  <c:v>11.399999999999999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710-4769-998B-DAB3EA3FE5B4}"/>
            </c:ext>
          </c:extLst>
        </c:ser>
        <c:ser>
          <c:idx val="3"/>
          <c:order val="3"/>
          <c:tx>
            <c:v>DEMANDA DINÁMICA</c:v>
          </c:tx>
          <c:spPr>
            <a:ln w="34925" cap="rnd">
              <a:solidFill>
                <a:schemeClr val="accent1">
                  <a:tint val="58000"/>
                </a:schemeClr>
              </a:solidFill>
              <a:round/>
            </a:ln>
            <a:effectLst>
              <a:outerShdw blurRad="38100" dist="25400" dir="5400000" algn="ctr" rotWithShape="0">
                <a:srgbClr val="000000">
                  <a:alpha val="25000"/>
                </a:srgbClr>
              </a:outerShdw>
            </a:effectLst>
          </c:spPr>
          <c:marker>
            <c:symbol val="none"/>
          </c:marker>
          <c:cat>
            <c:numRef>
              <c:f>PronósticoDmda!$D$24:$O$24</c:f>
              <c:numCache>
                <c:formatCode>#,##0.00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PronósticoDmda!$D$27:$O$27</c:f>
              <c:numCache>
                <c:formatCode>#,##0.00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710-4769-998B-DAB3EA3FE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146573"/>
        <c:axId val="1716110084"/>
      </c:lineChart>
      <c:catAx>
        <c:axId val="234146573"/>
        <c:scaling>
          <c:orientation val="minMax"/>
        </c:scaling>
        <c:delete val="0"/>
        <c:axPos val="b"/>
        <c:numFmt formatCode="#,##0.00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16110084"/>
        <c:crosses val="autoZero"/>
        <c:auto val="1"/>
        <c:lblAlgn val="ctr"/>
        <c:lblOffset val="100"/>
        <c:noMultiLvlLbl val="1"/>
      </c:catAx>
      <c:valAx>
        <c:axId val="17161100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3414657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v>Incremento Anual de Demanda</c:v>
          </c:tx>
          <c:invertIfNegative val="1"/>
          <c:dPt>
            <c:idx val="0"/>
            <c:invertIfNegative val="1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8100" dist="25400" dir="5400000" algn="ctr" rotWithShape="0">
                  <a:srgbClr val="000000">
                    <a:alpha val="2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EC-43B3-BC15-CA5493C5958B}"/>
              </c:ext>
            </c:extLst>
          </c:dPt>
          <c:dPt>
            <c:idx val="1"/>
            <c:invertIfNegative val="1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>
                <a:outerShdw blurRad="38100" dist="25400" dir="5400000" algn="ctr" rotWithShape="0">
                  <a:srgbClr val="000000">
                    <a:alpha val="2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14EC-43B3-BC15-CA5493C5958B}"/>
              </c:ext>
            </c:extLst>
          </c:dPt>
          <c:dPt>
            <c:idx val="2"/>
            <c:invertIfNegative val="1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>
                <a:outerShdw blurRad="38100" dist="25400" dir="5400000" algn="ctr" rotWithShape="0">
                  <a:srgbClr val="000000">
                    <a:alpha val="2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14EC-43B3-BC15-CA5493C5958B}"/>
              </c:ext>
            </c:extLst>
          </c:dPt>
          <c:dPt>
            <c:idx val="3"/>
            <c:invertIfNegative val="1"/>
            <c:bubble3D val="0"/>
            <c:spPr>
              <a:gradFill rotWithShape="1">
                <a:gsLst>
                  <a:gs pos="0">
                    <a:schemeClr val="accent4">
                      <a:tint val="94000"/>
                      <a:satMod val="103000"/>
                      <a:lumMod val="102000"/>
                    </a:schemeClr>
                  </a:gs>
                  <a:gs pos="50000">
                    <a:schemeClr val="accent4">
                      <a:shade val="100000"/>
                      <a:satMod val="110000"/>
                      <a:lumMod val="100000"/>
                    </a:schemeClr>
                  </a:gs>
                  <a:gs pos="100000">
                    <a:schemeClr val="accent4">
                      <a:shade val="78000"/>
                      <a:satMod val="120000"/>
                      <a:lumMod val="99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8100" dist="25400" dir="5400000" algn="ctr" rotWithShape="0">
                  <a:srgbClr val="000000">
                    <a:alpha val="2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7-14EC-43B3-BC15-CA5493C5958B}"/>
              </c:ext>
            </c:extLst>
          </c:dPt>
          <c:dPt>
            <c:idx val="4"/>
            <c:invertIfNegative val="1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38100" dist="25400" dir="5400000" algn="ctr" rotWithShape="0">
                  <a:srgbClr val="000000">
                    <a:alpha val="2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1-14EC-43B3-BC15-CA5493C5958B}"/>
              </c:ext>
            </c:extLst>
          </c:dPt>
          <c:cat>
            <c:numRef>
              <c:f>PronósticoDmda!$H$16:$H$18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PronósticoDmda!$I$16:$I$18</c:f>
              <c:numCache>
                <c:formatCode>0.00%</c:formatCode>
                <c:ptCount val="3"/>
                <c:pt idx="1">
                  <c:v>0.05</c:v>
                </c:pt>
                <c:pt idx="2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B3-44CD-A69A-19773E98A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3771605"/>
        <c:axId val="1602106500"/>
        <c:axId val="0"/>
      </c:bar3DChart>
      <c:catAx>
        <c:axId val="21377160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02106500"/>
        <c:crosses val="autoZero"/>
        <c:auto val="1"/>
        <c:lblAlgn val="ctr"/>
        <c:lblOffset val="100"/>
        <c:noMultiLvlLbl val="1"/>
      </c:catAx>
      <c:valAx>
        <c:axId val="16021065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77160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TENDENCIA IPC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>
              <a:outerShdw blurRad="38100" dist="25400" dir="5400000" algn="ctr" rotWithShape="0">
                <a:srgbClr val="000000">
                  <a:alpha val="2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tint val="94000"/>
                      <a:satMod val="103000"/>
                      <a:lumMod val="102000"/>
                    </a:schemeClr>
                  </a:gs>
                  <a:gs pos="50000">
                    <a:schemeClr val="accent1">
                      <a:shade val="100000"/>
                      <a:satMod val="110000"/>
                      <a:lumMod val="100000"/>
                    </a:schemeClr>
                  </a:gs>
                  <a:gs pos="100000">
                    <a:schemeClr val="accent1">
                      <a:shade val="78000"/>
                      <a:satMod val="120000"/>
                      <a:lumMod val="99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38100" dist="25400" dir="5400000" algn="ctr" rotWithShape="0">
                  <a:srgbClr val="000000">
                    <a:alpha val="25000"/>
                  </a:srgbClr>
                </a:outerShdw>
              </a:effectLst>
            </c:spPr>
          </c:marker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7376319692871478"/>
                  <c:y val="0.1183125875307064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ProyecciónIPC!$C$9:$U$9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xVal>
          <c:yVal>
            <c:numRef>
              <c:f>ProyecciónIPC!$C$8:$U$8</c:f>
              <c:numCache>
                <c:formatCode>0.00</c:formatCode>
                <c:ptCount val="19"/>
                <c:pt idx="0">
                  <c:v>6.49</c:v>
                </c:pt>
                <c:pt idx="1">
                  <c:v>5.5</c:v>
                </c:pt>
                <c:pt idx="2">
                  <c:v>4.8500000000000005</c:v>
                </c:pt>
                <c:pt idx="3">
                  <c:v>4.4799999999999995</c:v>
                </c:pt>
                <c:pt idx="4">
                  <c:v>5.6899999999999995</c:v>
                </c:pt>
                <c:pt idx="5">
                  <c:v>7.6700000000000008</c:v>
                </c:pt>
                <c:pt idx="6">
                  <c:v>2</c:v>
                </c:pt>
                <c:pt idx="7">
                  <c:v>3.17</c:v>
                </c:pt>
                <c:pt idx="8">
                  <c:v>3.73</c:v>
                </c:pt>
                <c:pt idx="9">
                  <c:v>2.44</c:v>
                </c:pt>
                <c:pt idx="10">
                  <c:v>1.94</c:v>
                </c:pt>
                <c:pt idx="11">
                  <c:v>3.66</c:v>
                </c:pt>
                <c:pt idx="12">
                  <c:v>6.77</c:v>
                </c:pt>
                <c:pt idx="13">
                  <c:v>5.75</c:v>
                </c:pt>
                <c:pt idx="14">
                  <c:v>4.09</c:v>
                </c:pt>
                <c:pt idx="15">
                  <c:v>3.18</c:v>
                </c:pt>
                <c:pt idx="16">
                  <c:v>3.8</c:v>
                </c:pt>
                <c:pt idx="17">
                  <c:v>1.6099999999999999</c:v>
                </c:pt>
                <c:pt idx="18">
                  <c:v>5.62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B1-4B17-8789-628049A72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86352"/>
        <c:axId val="23075728"/>
      </c:scatterChart>
      <c:valAx>
        <c:axId val="62386352"/>
        <c:scaling>
          <c:orientation val="minMax"/>
          <c:max val="2024"/>
          <c:min val="2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3075728"/>
        <c:crosses val="autoZero"/>
        <c:crossBetween val="midCat"/>
      </c:valAx>
      <c:valAx>
        <c:axId val="2307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238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PROYECCION IPC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ProyeccioN IPC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3.8237922962332409E-2"/>
                  <c:y val="-0.529896260070619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ProyecciónIPC!$C$9:$U$9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xVal>
          <c:yVal>
            <c:numRef>
              <c:f>ProyecciónIPC!$C$8:$U$8</c:f>
              <c:numCache>
                <c:formatCode>0.00</c:formatCode>
                <c:ptCount val="19"/>
                <c:pt idx="0">
                  <c:v>6.49</c:v>
                </c:pt>
                <c:pt idx="1">
                  <c:v>5.5</c:v>
                </c:pt>
                <c:pt idx="2">
                  <c:v>4.8500000000000005</c:v>
                </c:pt>
                <c:pt idx="3">
                  <c:v>4.4799999999999995</c:v>
                </c:pt>
                <c:pt idx="4">
                  <c:v>5.6899999999999995</c:v>
                </c:pt>
                <c:pt idx="5">
                  <c:v>7.6700000000000008</c:v>
                </c:pt>
                <c:pt idx="6">
                  <c:v>2</c:v>
                </c:pt>
                <c:pt idx="7">
                  <c:v>3.17</c:v>
                </c:pt>
                <c:pt idx="8">
                  <c:v>3.73</c:v>
                </c:pt>
                <c:pt idx="9">
                  <c:v>2.44</c:v>
                </c:pt>
                <c:pt idx="10">
                  <c:v>1.94</c:v>
                </c:pt>
                <c:pt idx="11">
                  <c:v>3.66</c:v>
                </c:pt>
                <c:pt idx="12">
                  <c:v>6.77</c:v>
                </c:pt>
                <c:pt idx="13">
                  <c:v>5.75</c:v>
                </c:pt>
                <c:pt idx="14">
                  <c:v>4.09</c:v>
                </c:pt>
                <c:pt idx="15">
                  <c:v>3.18</c:v>
                </c:pt>
                <c:pt idx="16">
                  <c:v>3.8</c:v>
                </c:pt>
                <c:pt idx="17">
                  <c:v>1.6099999999999999</c:v>
                </c:pt>
                <c:pt idx="18">
                  <c:v>5.62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BFC-435E-922E-6951127C2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1951999"/>
        <c:axId val="1841942927"/>
      </c:scatterChart>
      <c:valAx>
        <c:axId val="1841951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41942927"/>
        <c:crosses val="autoZero"/>
        <c:crossBetween val="midCat"/>
      </c:valAx>
      <c:valAx>
        <c:axId val="1841942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419519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600"/>
              <a:t>Ingresos vs Egresos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IngVsEgr!$B$7</c:f>
              <c:strCache>
                <c:ptCount val="1"/>
                <c:pt idx="0">
                  <c:v>Ingresos</c:v>
                </c:pt>
              </c:strCache>
            </c:strRef>
          </c:tx>
          <c:spPr>
            <a:ln w="34925" cap="rnd">
              <a:solidFill>
                <a:srgbClr val="FFC000"/>
              </a:solidFill>
              <a:round/>
            </a:ln>
            <a:effectLst>
              <a:outerShdw blurRad="38100" dist="25400" dir="5400000" algn="ctr" rotWithShape="0">
                <a:srgbClr val="000000">
                  <a:alpha val="2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IngVsEgr!$C$6:$N$6</c:f>
              <c:strCache>
                <c:ptCount val="12"/>
                <c:pt idx="0">
                  <c:v>Mes 1</c:v>
                </c:pt>
                <c:pt idx="1">
                  <c:v>Mes 2</c:v>
                </c:pt>
                <c:pt idx="2">
                  <c:v>Mes 3</c:v>
                </c:pt>
                <c:pt idx="3">
                  <c:v>Mes 4</c:v>
                </c:pt>
                <c:pt idx="4">
                  <c:v>Mes 5</c:v>
                </c:pt>
                <c:pt idx="5">
                  <c:v>Mes 6</c:v>
                </c:pt>
                <c:pt idx="6">
                  <c:v>Mes 7</c:v>
                </c:pt>
                <c:pt idx="7">
                  <c:v>Mes 8</c:v>
                </c:pt>
                <c:pt idx="8">
                  <c:v>Mes 9</c:v>
                </c:pt>
                <c:pt idx="9">
                  <c:v>Mes 10</c:v>
                </c:pt>
                <c:pt idx="10">
                  <c:v>Mes 11</c:v>
                </c:pt>
                <c:pt idx="11">
                  <c:v>Mes 12</c:v>
                </c:pt>
              </c:strCache>
            </c:strRef>
          </c:cat>
          <c:val>
            <c:numRef>
              <c:f>IngVsEgr!$C$7:$N$7</c:f>
              <c:numCache>
                <c:formatCode>_("$"* #,##0_);_("$"* \(#,##0\);_("$"* "-"??_);_(@_)</c:formatCode>
                <c:ptCount val="12"/>
                <c:pt idx="0">
                  <c:v>8966920.5729246028</c:v>
                </c:pt>
                <c:pt idx="1">
                  <c:v>12531200.020675797</c:v>
                </c:pt>
                <c:pt idx="2">
                  <c:v>8966920.5729246028</c:v>
                </c:pt>
                <c:pt idx="3">
                  <c:v>14369561.698098013</c:v>
                </c:pt>
                <c:pt idx="4">
                  <c:v>16095479.468426991</c:v>
                </c:pt>
                <c:pt idx="5">
                  <c:v>17933841.145849206</c:v>
                </c:pt>
                <c:pt idx="6">
                  <c:v>17933841.145849206</c:v>
                </c:pt>
                <c:pt idx="7">
                  <c:v>23336482.271022614</c:v>
                </c:pt>
                <c:pt idx="8">
                  <c:v>21498120.5936004</c:v>
                </c:pt>
                <c:pt idx="9">
                  <c:v>17933841.145849206</c:v>
                </c:pt>
                <c:pt idx="10">
                  <c:v>21498120.5936004</c:v>
                </c:pt>
                <c:pt idx="11">
                  <c:v>23336482.271022614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2-4D19-8E53-E2207F898D0B}"/>
            </c:ext>
          </c:extLst>
        </c:ser>
        <c:ser>
          <c:idx val="1"/>
          <c:order val="1"/>
          <c:tx>
            <c:strRef>
              <c:f>IngVsEgr!$B$8</c:f>
              <c:strCache>
                <c:ptCount val="1"/>
                <c:pt idx="0">
                  <c:v>Egresos</c:v>
                </c:pt>
              </c:strCache>
            </c:strRef>
          </c:tx>
          <c:spPr>
            <a:ln w="34925" cap="rnd">
              <a:solidFill>
                <a:srgbClr val="FFFF00"/>
              </a:solidFill>
              <a:round/>
            </a:ln>
            <a:effectLst>
              <a:outerShdw blurRad="38100" dist="25400" dir="5400000" algn="ctr" rotWithShape="0">
                <a:srgbClr val="000000">
                  <a:alpha val="25000"/>
                </a:srgbClr>
              </a:outerShdw>
            </a:effectLst>
          </c:spPr>
          <c:marker>
            <c:symbol val="none"/>
          </c:marker>
          <c:cat>
            <c:strRef>
              <c:f>IngVsEgr!$C$6:$N$6</c:f>
              <c:strCache>
                <c:ptCount val="12"/>
                <c:pt idx="0">
                  <c:v>Mes 1</c:v>
                </c:pt>
                <c:pt idx="1">
                  <c:v>Mes 2</c:v>
                </c:pt>
                <c:pt idx="2">
                  <c:v>Mes 3</c:v>
                </c:pt>
                <c:pt idx="3">
                  <c:v>Mes 4</c:v>
                </c:pt>
                <c:pt idx="4">
                  <c:v>Mes 5</c:v>
                </c:pt>
                <c:pt idx="5">
                  <c:v>Mes 6</c:v>
                </c:pt>
                <c:pt idx="6">
                  <c:v>Mes 7</c:v>
                </c:pt>
                <c:pt idx="7">
                  <c:v>Mes 8</c:v>
                </c:pt>
                <c:pt idx="8">
                  <c:v>Mes 9</c:v>
                </c:pt>
                <c:pt idx="9">
                  <c:v>Mes 10</c:v>
                </c:pt>
                <c:pt idx="10">
                  <c:v>Mes 11</c:v>
                </c:pt>
                <c:pt idx="11">
                  <c:v>Mes 12</c:v>
                </c:pt>
              </c:strCache>
            </c:strRef>
          </c:cat>
          <c:val>
            <c:numRef>
              <c:f>IngVsEgr!$C$8:$N$8</c:f>
              <c:numCache>
                <c:formatCode>_("$"* #,##0_);_("$"* \(#,##0\);_("$"* "-"??_);_(@_)</c:formatCode>
                <c:ptCount val="12"/>
                <c:pt idx="0">
                  <c:v>10961564.099311359</c:v>
                </c:pt>
                <c:pt idx="1">
                  <c:v>11666938.0880135</c:v>
                </c:pt>
                <c:pt idx="2">
                  <c:v>10961564.099311359</c:v>
                </c:pt>
                <c:pt idx="3">
                  <c:v>12039184.239761854</c:v>
                </c:pt>
                <c:pt idx="4">
                  <c:v>12372312.076715641</c:v>
                </c:pt>
                <c:pt idx="5">
                  <c:v>12744558.228463994</c:v>
                </c:pt>
                <c:pt idx="6">
                  <c:v>12744558.228463994</c:v>
                </c:pt>
                <c:pt idx="7">
                  <c:v>13822178.368914483</c:v>
                </c:pt>
                <c:pt idx="8">
                  <c:v>13449932.217166131</c:v>
                </c:pt>
                <c:pt idx="9">
                  <c:v>12744558.228463994</c:v>
                </c:pt>
                <c:pt idx="10">
                  <c:v>13449932.217166131</c:v>
                </c:pt>
                <c:pt idx="11">
                  <c:v>13822178.368914483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E2-4D19-8E53-E2207F898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0330015"/>
        <c:axId val="1130330431"/>
      </c:lineChart>
      <c:catAx>
        <c:axId val="1130330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0330431"/>
        <c:crosses val="autoZero"/>
        <c:auto val="1"/>
        <c:lblAlgn val="ctr"/>
        <c:lblOffset val="100"/>
        <c:noMultiLvlLbl val="0"/>
      </c:catAx>
      <c:valAx>
        <c:axId val="1130330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033001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InvTotal!$G$5</c:f>
              <c:strCache>
                <c:ptCount val="1"/>
                <c:pt idx="0">
                  <c:v>% de Participación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BA5-4559-AC41-361BDCD969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BA5-4559-AC41-361BDCD969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BA5-4559-AC41-361BDCD969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BA5-4559-AC41-361BDCD969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InvTotal!$F$6:$F$9</c:f>
              <c:strCache>
                <c:ptCount val="3"/>
                <c:pt idx="0">
                  <c:v>Socio Mayoritario</c:v>
                </c:pt>
                <c:pt idx="2">
                  <c:v>Socio minoritario</c:v>
                </c:pt>
              </c:strCache>
            </c:strRef>
          </c:cat>
          <c:val>
            <c:numRef>
              <c:f>InvTotal!$G$6:$G$9</c:f>
              <c:numCache>
                <c:formatCode>0%</c:formatCode>
                <c:ptCount val="4"/>
                <c:pt idx="0">
                  <c:v>0.55000000000000004</c:v>
                </c:pt>
                <c:pt idx="2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3-496A-BFDB-268B45BE744C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2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800"/>
              <a:t>Flujo de Caja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C000"/>
              </a:solidFill>
              <a:round/>
            </a:ln>
            <a:effectLst>
              <a:outerShdw blurRad="38100" dist="25400" dir="5400000" algn="ctr" rotWithShape="0">
                <a:srgbClr val="000000">
                  <a:alpha val="2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CashFlow!$F$56:$R$56</c:f>
              <c:numCache>
                <c:formatCode>_("$"* #,##0_);_("$"* \(#,##0\);_("$"* "-"_);_(@_)</c:formatCode>
                <c:ptCount val="13"/>
                <c:pt idx="0">
                  <c:v>-49741746.210630126</c:v>
                </c:pt>
                <c:pt idx="1">
                  <c:v>-15606038.937932134</c:v>
                </c:pt>
                <c:pt idx="2">
                  <c:v>-15581789.521726631</c:v>
                </c:pt>
                <c:pt idx="3">
                  <c:v>-19339977.012333728</c:v>
                </c:pt>
                <c:pt idx="4">
                  <c:v>-18614776.806192711</c:v>
                </c:pt>
                <c:pt idx="5">
                  <c:v>-19003488.446231689</c:v>
                </c:pt>
                <c:pt idx="6">
                  <c:v>-15504442.475719295</c:v>
                </c:pt>
                <c:pt idx="7">
                  <c:v>-15426223.221523769</c:v>
                </c:pt>
                <c:pt idx="8">
                  <c:v>-6428073.0349496529</c:v>
                </c:pt>
                <c:pt idx="9">
                  <c:v>-3525869.0565827414</c:v>
                </c:pt>
                <c:pt idx="10">
                  <c:v>5312358.9677016437</c:v>
                </c:pt>
                <c:pt idx="11">
                  <c:v>5679435.9708812758</c:v>
                </c:pt>
                <c:pt idx="12">
                  <c:v>14159648.288127773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2CF-AE8F-2D171CE2D4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61925103"/>
        <c:axId val="861926767"/>
      </c:lineChart>
      <c:catAx>
        <c:axId val="86192510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1926767"/>
        <c:crosses val="autoZero"/>
        <c:auto val="1"/>
        <c:lblAlgn val="ctr"/>
        <c:lblOffset val="100"/>
        <c:noMultiLvlLbl val="0"/>
      </c:catAx>
      <c:valAx>
        <c:axId val="861926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/>
                  <a:t>SALDO ACUMULADO 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&quot;$&quot;* #,##0_);_(&quot;$&quot;* \(#,##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1925103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85725</xdr:rowOff>
    </xdr:from>
    <xdr:to>
      <xdr:col>10</xdr:col>
      <xdr:colOff>686921</xdr:colOff>
      <xdr:row>3</xdr:row>
      <xdr:rowOff>45944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409825" y="85725"/>
          <a:ext cx="5801846" cy="646019"/>
        </a:xfrm>
        <a:prstGeom prst="rect">
          <a:avLst/>
        </a:prstGeom>
        <a:solidFill>
          <a:schemeClr val="tx1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Matriz</a:t>
          </a:r>
          <a:r>
            <a:rPr lang="es-CO" sz="23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DOFA</a:t>
          </a:r>
          <a:endParaRPr lang="es-CO" sz="2300" b="1" cap="none" spc="50">
            <a:ln w="9525" cmpd="sng">
              <a:solidFill>
                <a:schemeClr val="accent1"/>
              </a:solidFill>
              <a:prstDash val="solid"/>
            </a:ln>
            <a:solidFill>
              <a:schemeClr val="bg2"/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51546</xdr:colOff>
      <xdr:row>0</xdr:row>
      <xdr:rowOff>76760</xdr:rowOff>
    </xdr:from>
    <xdr:to>
      <xdr:col>19</xdr:col>
      <xdr:colOff>94690</xdr:colOff>
      <xdr:row>3</xdr:row>
      <xdr:rowOff>9525</xdr:rowOff>
    </xdr:to>
    <xdr:sp macro="" textlink="">
      <xdr:nvSpPr>
        <xdr:cNvPr id="3" name="Rectángul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927846" y="76760"/>
          <a:ext cx="16702369" cy="447115"/>
        </a:xfrm>
        <a:prstGeom prst="rect">
          <a:avLst/>
        </a:prstGeom>
        <a:solidFill>
          <a:schemeClr val="tx2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FFFF00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PROYECCIÓN DE EGRESOS INSUMOS POR MES EN UNIDADES PLAN ORGÁNICO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89646</xdr:colOff>
      <xdr:row>0</xdr:row>
      <xdr:rowOff>100853</xdr:rowOff>
    </xdr:from>
    <xdr:to>
      <xdr:col>12</xdr:col>
      <xdr:colOff>206188</xdr:colOff>
      <xdr:row>3</xdr:row>
      <xdr:rowOff>33618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78540" y="100853"/>
          <a:ext cx="12120283" cy="470647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PROYECCIÓN DE EGRESOS -INSUMOS POR MES EN PESOS $ PLAN ORGÁNICO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864659</xdr:colOff>
      <xdr:row>1</xdr:row>
      <xdr:rowOff>0</xdr:rowOff>
    </xdr:from>
    <xdr:to>
      <xdr:col>8</xdr:col>
      <xdr:colOff>119592</xdr:colOff>
      <xdr:row>2</xdr:row>
      <xdr:rowOff>134471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64659" y="190500"/>
          <a:ext cx="6536266" cy="324971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PROYECCIÓN DE EGRESOS- PLAN</a:t>
          </a:r>
          <a:r>
            <a:rPr lang="es-CO" sz="23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MIXTO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102590</xdr:colOff>
      <xdr:row>0</xdr:row>
      <xdr:rowOff>43962</xdr:rowOff>
    </xdr:from>
    <xdr:to>
      <xdr:col>19</xdr:col>
      <xdr:colOff>391502</xdr:colOff>
      <xdr:row>4</xdr:row>
      <xdr:rowOff>92006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901225" y="43962"/>
          <a:ext cx="11997335" cy="780736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PROYECCIÓN DE EGRESOS -INSUMOS</a:t>
          </a:r>
        </a:p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POR MES EN UNIDADES PLAN</a:t>
          </a:r>
          <a:r>
            <a:rPr lang="es-CO" sz="23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MIXTO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245773</xdr:colOff>
      <xdr:row>0</xdr:row>
      <xdr:rowOff>126943</xdr:rowOff>
    </xdr:from>
    <xdr:to>
      <xdr:col>13</xdr:col>
      <xdr:colOff>838476</xdr:colOff>
      <xdr:row>3</xdr:row>
      <xdr:rowOff>40658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852599" y="126943"/>
          <a:ext cx="11550594" cy="460367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PROYECCIÓN </a:t>
          </a:r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+mn-cs"/>
            </a:rPr>
            <a:t>DE</a:t>
          </a:r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EGRESOS -INSUMOS POR MES EN PESOS $</a:t>
          </a:r>
          <a:r>
            <a:rPr lang="es-CO" sz="23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PLAN MIXTO</a:t>
          </a:r>
          <a:endParaRPr lang="es-CO" sz="2300" b="1" cap="none" spc="50">
            <a:ln w="9525" cmpd="sng">
              <a:solidFill>
                <a:schemeClr val="accent1"/>
              </a:solidFill>
              <a:prstDash val="solid"/>
            </a:ln>
            <a:solidFill>
              <a:schemeClr val="bg2"/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720090</xdr:colOff>
      <xdr:row>0</xdr:row>
      <xdr:rowOff>3810</xdr:rowOff>
    </xdr:from>
    <xdr:to>
      <xdr:col>7</xdr:col>
      <xdr:colOff>830581</xdr:colOff>
      <xdr:row>2</xdr:row>
      <xdr:rowOff>32385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720090" y="3810"/>
          <a:ext cx="11369041" cy="371475"/>
        </a:xfrm>
        <a:prstGeom prst="rect">
          <a:avLst/>
        </a:prstGeom>
        <a:solidFill>
          <a:srgbClr val="000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CAPACIDAD DE PRODUCCIÓN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19050</xdr:rowOff>
    </xdr:from>
    <xdr:to>
      <xdr:col>4</xdr:col>
      <xdr:colOff>0</xdr:colOff>
      <xdr:row>2</xdr:row>
      <xdr:rowOff>47625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781050" y="19050"/>
          <a:ext cx="5562600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ATENCIÓN DE LA DEMANDA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47625</xdr:rowOff>
    </xdr:from>
    <xdr:to>
      <xdr:col>6</xdr:col>
      <xdr:colOff>487459</xdr:colOff>
      <xdr:row>2</xdr:row>
      <xdr:rowOff>76200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742950" y="47625"/>
          <a:ext cx="4316509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PRESTACIONES SOCIALES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513522</xdr:colOff>
      <xdr:row>0</xdr:row>
      <xdr:rowOff>57978</xdr:rowOff>
    </xdr:from>
    <xdr:to>
      <xdr:col>4</xdr:col>
      <xdr:colOff>1002196</xdr:colOff>
      <xdr:row>2</xdr:row>
      <xdr:rowOff>83378</xdr:rowOff>
    </xdr:to>
    <xdr:sp macro="" textlink="">
      <xdr:nvSpPr>
        <xdr:cNvPr id="3" name="Rectángulo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513522" y="57978"/>
          <a:ext cx="4919870" cy="389835"/>
        </a:xfrm>
        <a:prstGeom prst="rect">
          <a:avLst/>
        </a:prstGeom>
        <a:solidFill>
          <a:srgbClr val="000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PRESUPUESTO DE PERSONAL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19050</xdr:rowOff>
    </xdr:from>
    <xdr:to>
      <xdr:col>10</xdr:col>
      <xdr:colOff>540684</xdr:colOff>
      <xdr:row>2</xdr:row>
      <xdr:rowOff>47625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762000" y="19050"/>
          <a:ext cx="7398684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PRESUPUESTO HORAS EXTRA Y PERSONAL TEMPORAL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184731" cy="264560"/>
    <xdr:sp macro="" textlink="">
      <xdr:nvSpPr>
        <xdr:cNvPr id="2" name="12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37429018" y="256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0</xdr:col>
      <xdr:colOff>0</xdr:colOff>
      <xdr:row>83</xdr:row>
      <xdr:rowOff>0</xdr:rowOff>
    </xdr:from>
    <xdr:to>
      <xdr:col>0</xdr:col>
      <xdr:colOff>304800</xdr:colOff>
      <xdr:row>84</xdr:row>
      <xdr:rowOff>127000</xdr:rowOff>
    </xdr:to>
    <xdr:sp macro="" textlink="">
      <xdr:nvSpPr>
        <xdr:cNvPr id="6145" name="AutoShape 1" descr="data:image/png;base64,iVBORw0KGgoAAAANSUhEUgAABTYAAAKWCAIAAAD881EPAAAAAXNSR0IArs4c6QAAAARnQU1BAACxjwv8YQUAAAAJcEhZcwAADsMAAA7DAcdvqGQAAP+lSURBVHhe7N0HfBNl/wDwy947bdI03Xvvwd57CCoKKuL6I47XvV7Hq7xufUXFhagIArJlyoYC3XuvtGnaJs1q9t75X9qwFJkt8/l+IjbPXS7j7n73/O6eex6E1+uFAAAAAAAAAAAAAAC40ZD+/wMAAAAAAAAAAAAAcEOBFB0AAAAAAAAAAAAAbgogRQcAAAAAAAAAAACAm8IF7kV3u90qlQr+1//8loIe4H8CAAAAAAAAAAAAAMMDiURSqVT4X//zoXCBFF2hUMyYMQP+1//8lhI9wP8EAAAAAAAAAAAAAIYHnU5/55134H/9z4fCX1P0ioqKFStWzJ8/n0gk+otuHdu2bYPz8xkzZvifAwAA3MFMJtOaNWtmzpwJTlwCAHDHApEQAIBhZbfby8vL586dGxMT4y+6Zn9N0ffu3bts2bLKykoej+cvunV89NFHkZGRCxcu9D8HAAC4g1mt1sOHD+fk5NyK8RwAAGBIgEgIAMCwGgwy8L/JA/yl1wZ0FwcAAHB7IhAId911F6iVAgBwJwOREACAYTUYZJBIZFNTU0dHh7/02oAU/cbwQl6v1+PxPdynHx64xDcFAABgqDmdTp1O5/HAQQYAAOAOBSIhAADD5L777oNz9T179gxJkAEp+g0Ap+Iut8PqNJrsaoOtX29Vwv/Cf1udJpfHBWfv/vkAAACGSEtLy/vvv28wGPzPAQAA7jwgEgIAMHymTp2al5c3JEEG9d577/n/HCAQCPbt27d06VIKheIvunUUFhYyGIyhugdgaMGJt9vjNNk1CqOoU1XZJCtokB1tVRa2yE+0KgrblcUdqspOVXmfvs1gV8FzIhEoNAqLRCAgCH4AAABcEzwez2Kx9u7dGxAQAP/hLwUAALiTgEgIAMDwwWAwVCp1SIIMSNGvB7vLojZLOlUVDbJjcHLepijq1tT2m0UaS6/BLtfbZVqrVGuRqMw9Un2H1CCQG4Uas8TusqKQaDQKB//rXxAAAMBVgSum8NFCq9X29vbCTwMDAwfLAQAA7hwgEgIAMKyGKsiAFH1Yed0el8HWL9Y1N8tP1PYdaFMW9psFTkhHwKGYFDqNRGJR6QwyjUokkvB4Ag7j9Bj1tj6FsUthFKotfU6XHYFAYpA4DAoL/+FfKnDH8UCQQVpR3dSh7HPhAphEFGhcAVw5DAYTHx/f0tKiUChwOBy4ggTcTrxup0PZVFXTKNa5UWQWBesvB4C/AJEQGAoet9OobD5Z02DQubFkFhGEHOCMIQkyIEUfLoMt2/VWJZycl3Rvrpbs1Vi6GSR6JCciLSwlIyI1gR8Tw4uK4oRFBIZGccIjB/7gs3gMMhODRtucFpG6UWoQGO1qFBJNwbEwKBzSl6WD1OxO4/V6bHZ96c5XP/phj6CeGD45NwQPtgPgaiUlJQmFwtLS0sTERCwWi/DdTQMAtziPy2WUd+z79J0vfilXETmJI+OY/ikAcEEgEgLXwuMyGuWVe//39Ipf9CpiSMJIPgg5wF9cY5ABKfpwcbkdGoukpHtbUddmpbEzgMrOik7Pi8mC0/JAWgAJR8KgMSgUCon0/YdAIlBIFFxCwpPgOUPZ/BB2MAaF1lt1fXqh3NDp9DiYpGAsmgjP6H8D4E7hsOu7Cj5+4jvKrNyHHv9gfjIDiwINKoBrERYWhkQif/zxx/z8fDwe7y8FgFuXoae/cuvdb/RmPfHG44/MG83HYUCUBC4FRELgqhm6T1ZsffrfkieWvr74kbsS+ThQMQMu4FqCDMLrPa//8L179y5btqyysvJWHEDyo48+ioyMXLhwof/5jeNwWcX6lrLu7S2KUxBkj+CExPFiAmgsODOHU/FLnkeBV4rL7TJYDTKtokPeJVHJ0AhyevD07JDZQdQYDAocSO4odpddKSxtkdCjQ0J4sSyCvxgAroFOp+vp6UlMTMRgMP4iALhlOc06Ta+grhsZkhzND6JTb9b+W7wej8ms1mp6dNo+q1Xn9XrsNiMSiUajcUgUGv6DyQqn03lkSgAOR/a/BhhOIBICV8Vm0fZJ2jq6MPHJMVwuDQ+6jAL+CRxkmpqaysvL586dGxMT4y+9DCBFH3pOt12ia6np218l3oPHIqM4ETFBkVxGIBZ9xTeqWB1WqUbeJhUIpB04FDM/7J403hQ4S0chwbHkihl6TjRVnzzSiociJ84bF5fAw9ukre0ndx3vgmwu/zx+ISNG5EUkYfpbNx2phCCHv5SMJ8VMfGBKXCDBX//zOiGTsGjXyfouuTckNmfGooxACHumlYPbASlrNx2oFIjVA8/htZ8zZVFGciyLalMbe2tX7640WQaXzSKSc+YuzQjUVFSW1wtMzLOLsiukrTXHdxa0mAkoPBKNCQ+JzZ6+KIkDQfDEv30jKhbeZHyL3lNpig4dlzlyfBh74A0AALizuAxWZfuR3493RI7JykoezTSp2go2HO822xIz/JEBPvRbeor/KK83aClJI6fHQ6UbSjrMcpN/AX4BCZFpqbNTEe2r91SZLIOxDEL7Y06ws0YAh6DGwVIfMjcyZtzdU6KIBMzgmegzEcmCSBiRljd2dNi5p5jPTvVHSTgU3rU0I5TCwjsM58dn35LHzp3C7aveV1jvCWJmjVyU7A9vcCSsKz+2r8JOIBGQSCT73Dey9DQXlpeVtSrPLhlyGaWDvwYjc3Z+WkJS4PW4h9RkUmnU3Rp1r9GgMBoVdhv8Q3uQyMEDBrwufJUxj8eDxRKJRAacotMZfHZgFJ3OPz0PANx03A6jomb1wSqTGAkHiry7R4URfXfhqXpOlNSc7O0cqNiEomRdA/ugxP8iCArPiD27/9oUzafqy0tLxQPPYL6Yc2ZRp+s5p4PMeXv3gDO7s/l0pCDFjXtoUhQk3F5RrZEh08bNGx1FhgYCkkEtaKodqNcFjpz3t33/7FR/zQyu1027N4MsrNhz8vyYA3/BExVHqyptBAIJQiL5Cfn5eWOSfJ8Y/j49RafK60tbvYP1ulAKlgANRrN9x7vCM2ZNSEvgcXADizk983m1vr9/I1/EJYVPfGhCPJtH8dU+/+Fn9zs71R+vz6l8+uqtVovwyB8nO7oGYz2WCGXPXZQZCi7/DCur1Xr48GH43+QB/tJLAQ3dhxh8lFWZe+r7DtdLD9lcmozwzMTQuEA6C4O6mqQafhWFQIZTQ4fLKdV1mxx6PIbMJPIImFtv7dxopp7ja/745sP/bqg4IWImZ8REhVC8/R3tp/44XCfrrD9VcPTg/sLaDo3LplMoUcG8MDxVUrL36fe+bOnvN2j1SmF7Ve2J/e2mxKwoHpVNQiPhde2yOkR7v/9g5ep124rkZmfynFF8LAHti5Mem87YW3Vy34ZVf9bWtYtNGoVUouyug3gjozlMq6n51KHdm7/+s00hl2n75X0inUKEiZ6bROzctnnNzxuLpNzRi1IDIJxVKqg/uXP3n+t31usdGmW/uL1a2NWhc3NC+cEUAhqprl93YON7b/1QdkLkjklKiOAHUNFwVbd272Ov/bDXaY2ISgcpOgDcmRwqY9ex7559f509jB0VM4ok7zn+zdPvr/vzoNTB4kVkx4YT4Uilr9/03pqfjx3rosROSoSqthTXixrqqquLDm7dV9Dc7zRoVVo3GRvATg3sOwxHleL2WqXGCoezfo0MG5Uez8OKtx3Z+PF7qzv6HTatqk9YU1Bb19LuTMpKDqLi0b4o6dQYuk+sfPKdn/cdKDZSUSHp4+LpcC3UFyVdBl1fS9Wh3RtW7q9VyMXafoVEpJR3QTFzowO9HnFD9a7d29fvKOk3yeUKhaxLaXFZKRn59IYdH371c61BGpq+KJkFf091Z1X5/t/27T94qter75fLO6obxdpeByU0JJhFQKGM9QVr1/zwyQ9bq+r1YTMSwxgcKtqtah/8NbppuZHRscmcYUzRfV2J2AxaTY+4t1bUVSLprTEblfDXJ5MZdFoQlRpAobBIcE5OYpBIDDyOZLcbTaZ+je8yu9huN3k8bhQKg0ZjQaIO3IRcFrVw72OffL/3txNSFUTPy89gYyEUordh3a8b39uxrok7ekkqz9NaCu+D327Z3mdCmNT9cL0HzSLwY8aFkiC7srOq5PiBvYdPFTdKdAoZrLdd5rahA0flwWmnQzOwd+/Zt/9oh12nlP1170YirGqBqGrn/u2/bShVyWVylULW22+WWGmj8yINpe+u/+XQn430xFljIomQ784XW097wR9f/uu/v5w40YJNDg6PSg0h+fcrh1raVn7qjz2bfznaZtPJlHJ5b7vO4cZETkxClW17/0t/zEliDHzmowfW799/qK7Hq1PKZR1Vlb0au4MSHBLMJKAgc8PGtWt+/viH41X1jrAZuWEMIhVtUwlOHvvm1ffXmahZ2TGxgym6F37XvpPfr9m8Z28HMm389GjawIeEo+bpAFXfa1BpDf2iuubKXZW6wGBeCJdFJaKdDkN31conP/9538YSgwbFHzfWF1WRvqhqNSt6BYeOHdy+5kiLrKNP1S+T9YkVbaW24NEx/AgW0axQth04uu2nTae6mrqUOrmoR9R0pN1GYARwWTQWEVz8Gy5X13scuHViKHnhrM3jEPSXN8mP6+x9kZyYxNAYJpmOvoZR0+AsncvgjIjNCQ+MkBvbmmTHe7VNHq/bPxm4TC5Rb51CUIQmY7GIqpL2zv4+I44VPWHWO3s2bd/z+8cPzxsZwoxKn/rm+t+3797z6WOPjQrztTLEkqGcJ1/88tetW7//6uXJaa7iX389XitSWXxL9Hqc1v7GojqLRUnAqY2G7eUtBofL45vitEgb67d/sPjjPd6Mxf9ZtW3Pnj27d2z4/b9pudEoY+uRfeu/evLnuown/vfNbzvgSTt++/ibF0ICKX+5kcnjEB7+bdVPb+yS6J//9udtO/fs2bzqncRU97b/LPm9UGrSuU+3f3GYoMpVJcXNTb2Ov7QGAIDL5HQ6dTqdx+PbfoHbWkFj+6njZUqb21dDPA2DJUeMeOa3r9bu2frNqy/Oj8eS6dnLVq74dcee7/7933uSaYNJdcK8ea9/8zscs7Zv2vPOrAnRrIErWfAhbuqTX/7+647N379132SypPj7n453m1UD16E8Bo2hpWq7E6smoJVSSV29oN/tG6ACnuLUtjbuXf/Bk7/syXp88be/+aLkjt82fP1CWgAFa2+pWvvdL2/s22948Y2ft22GJ+1Z9/W7S0fjkTjf5zjN64Gc8rKNb/3wc1WF+6n/rt+zY9eePT+9M4XVe+yXjz8/JFfbzm7QVqttx+6DNSKpznnO9x5mcIJtsxklvbUVpevrqrdpVCI2KzQpadKIEQ/m5S9MS5+VkDgxIDAqiBcfFT0yNW1GZta8kaMeysicGxaWDnndrU0HTxV8J+woMhoUbrfTv1BgOIFIeJV6S2TF2/+sNBsc8G55IcGJzCe+XLvlD9/e/OG/3hkT7HVbbL0Hf/v38q92mjQT/wcHlt2+aZtXPX//wlAs6nL2bpe1t3Lt5p//vXy/6a43fv55IFJs/uq9/47C03EXuKHULe/tFgn+QJBRZERnS3trV5/O/1k9DnnZke9Xf/VTTd39//3f5h2+mtnWVR+/dH8IBkKdsyCv2+aUHlz/5hc/VrndT/k/8+q3g1jibb98sv6g1Gk7UzGDJBbb1p2HBCKp5cIhZ+ALNtXVypCRYWPunxAF4f6WKIx/9O2Pf92zefV7b892dfz2ws4TNY1KLxxVHYaWih1Oq4aAU0h1NfW1Co9j4Iu4Hb1dJ9evXvTSJ7vnTFj28zrf77Fn57bfvn0+ND0MjfI6daKikz899PTqqqCpL674zRdyN3/66LyKr1et3/NblWxwIcDwue+++wgEArxSLjPIgBR9KMGZs8YqbVUU6u2KqMCYUfHZVAIZhbzWHxnO8Gkken5MNo/B6zd3tyhOaS1ykKVfmZ7OSkVfS1j4ksX3k0h1DV0ikXwg0b5M5GB2dMzoXA+uQqFR2Yy+IofToagvKdTzc7InZc+k61zr61rNDt8kk1BYfvi7b1tM8z5+ZP6YKVG+xk9IHI4xfkIMVtKx58iOQgT1iS/fnhmRGOC7eoMNCAgcPyEJhzunaQS862qrT+zubIDSQu9f8UACnQgHb0pUyrjMcYlW+9odJySS/tMN8Afs//rIn7tru/3PAODKtLS0vP/++waDwf8cuH2JjhUf+2VHgQqyD/ExhBIcnhiTwvO4ixUqu83uKzJqu1trt7uc986cEZ7NFOkrGupVkNP3vkZh6Z+Hdxe2UJd+/OasMQkBviiJC8AFTYBDobls5Z81DV25s978bWEuizgQGDkBATETxjNxuHOOpy4b1HZ4Q5FCFD5q0uP3TGBDOBQEheVNzI+bjlOc/PRwvXEwVg+wG6HCz3YcriwWXknkvzYmo7KpYV9ZyVqDXhYRmTN23OP5IxZhscTOzpJjR7/7Y8fbO/9490TB6uPHftj/5yd//PHugf2fNjQcMpnU4WFZo8c8mpU1H4vB1dfsqKnaqlQI/AsFhhOIhFetu673lxc3V+ksZ3e6i3HYTT0Fqz851hWZOnnhK0uyGP6EhBKVmZI/NYvhsiEvuXf3HN2zv3ajKG/KWxsfzmGFDEQKSkBA0vgJgTjc368IK/oquwUtJNKSJYtJ4boGaaOoQwcXD1S3dq85UmZExC/58t8TIqg4X82MHBUQkjUh/rzM2WUzth75rFiBi8if8thd/s8cnvdQXlwETlH82ZFW4zm3TTqMpuJPvztcLhT+5e6hQafDl5Ecfdf4M1//AiiM8ISMJWgMSaI2qIwWyKgzt9X/5nImzpiZncVSGaqKmrV2py/fU9TsOXlk407WlGd/e3haXghn4OVoIjHhgYUpoSEck1DSULPjD7r17hVTxqZnBPpCLiF0wj2P4PgtJzpP1Vf7fg1geE2dOjUvL+8yg8y1Zo/AGV6vx+rQ10oOSHQtJDw6ghPCINFRQ9Q4DY1EcWiB0dwoLMbTpa5uUZywuyzec6+CABclERyW9rkJoXePfSBnEdGjaepo6f7rTZcXY1Xp+ySNHWjnlNigIIpvaA2HwS5rLDlpYvPyp06cOjKR6NBtru+06EyQTdnV1VFbbvXMysmJD2L778lEIJB4vF3c2NIjUOAoC/Lzgqh4zMDpWQQKhcLjMecOfO9xQtqm+nJ5F5HDmpSUS8JgfWeEkRheWGR07Cy7tqq4sVtlsPlmZZDJY5YtW8QLaKxuKSxsuoLvBABnhIWFzZ8//5dffuno6PAXAbejCfPnT8sMcItOfnWy02gf2mY3FpW8W9JlRaNnx0bgKSS4RKUTd9fvdjimZ0+Zencmj6JSVZe06e0uD2To6qoX1cpwnntzc7hU9ulQiECh8Rih6JBUpOQQ8rJGxpLI6MHACEdJDB6PPPfSmMth7qzdoFAQgoJSMpMC8aiBS/1oVlhUUmICwajeUNdh1pkHZg2OIt+/dFmeW3ewvOxk59l7YoeTQt7WWL9X2HGKSmGnZ8wODUnVaCTl5VsaGvZLJI0ej4vFCuPzk+MTxicmToqIyA0MiMITaGqVqL3tVHX1zs6OYjKFnZt7XzA/SaMWNdTtEglLXa7zzswCQw5EwqsSP3LkrDmzIvrla3eXSPvUl9HiY6AGVXRUJU2I4eVGJZGxp+s/SAwWiyNgPZexdzfV7O/tUmAJOWNyo5mkgTtr4NcPRIoLdcsskdZKO1sJxIVjF41fFErRiPpaGnpMvuqWpqm+VCrAB1CmJOfRT4cZBAaFxuIxcN1t8OUwk9MiqN+o7icl8NNik7n+z4xmJ8ck8xNI/eqN9QKLc7ASxo+KWrj0kVx35cHympNC1UDZeU6Hr4iAgKzEqDNf/wIsJnlPxyG3yxZAJdKIOJOut6N2l84xI3bqlNlZvBS1qrC0qd/udMJfsKq3tRzrGDEmL4XJIaMH0w/4l8CQSFg02qns6u6sr3JgZ+XmRnOYvvveESgMgZGWdy+d2N/V21wP/xrAMCMQCMnJyZcZZC6yVQBXxuVx6KzKFvlJl9cazOTxWTw06urbt/8FvI/hMLjwwFAOnW12qtuVJUab2u0B7ZovhxuCpMKiTqmFTh0xISshaepYDKavubutR3LJqylOKyTYv3P1io/eX7e92MV/4I1XnsjPCqUS4NVtUms6qov6QoNDE3JzcxNiI0Oc7QcaeqV6q8tiNBk1aiQykkUjY887k+s0anVWkxOLiWLR0BdpXuH1QDaNtt9hwhExfCrtzI6KJ5BJlEiPR63UmOyDzdrxGHx48ozF905FkpWFx3eVtpngTXFgZgC4bHQ6PSsrKzo6urq6uqmpyV8K3HaC0yZOmZWXGyqv2fxDUZdZM3Ce73KJS0u3/fDp8uXLP/58+ZF2gdo6UGq0mmv2r/5sxQcfrCvTuTIffuOVB/P5JCoc+QwyaY/wcB8ma2xSav6ELC6XpxUXVXZqHHCmaTBqLRoHFhnFhEPhOVESDl56Q5/TYidj2QwGfvAGywuDs1y9ptPpwJAJNAb5zDIwRDKNysB4PJ1avcsxmCyQ2YSUSQsemB/vaKkpO7Wz+QI15qGlVnfDGbVc1kKncWPjxuBwZKWyS9RVoVR0UmncyMhcOC1PSp6SkDgxLnZMTOzo+PhxiUkT4cLY2DFBQXEul723t667uxr+pcLDMzmBUUaDvK31iFLR7nBcv1YAdyAQCa8Kgxs/bvzsUfPTmko27K1oliv/HljUvcaDq1d8/AEcP77berioy+C2aJRyj51NIbAIeKNUXrnxf59+CE+Fp/+4vqjF4FKpLrF3a9R9VosNj2EFMnCoi0SKQSphc5e0zUEdNy0rPnvqCDhCibtrWyRmr8drv1B16wKcbjjkCD0OLIPAIFPPdGGBpZLhAqzDI9ToXf47Ushsfsrk+xfP5zpb95UXlvwt5Fidtt7Gve2UiKyUzOTIfxi9oeHIprUrln/wxU+/HlOkzX9+xojkWJZFL+1uPCxxZo6JSM0fk8VNClJLC8vb1Q6Ty2RRWw1qPJIbyCSisNrmE3vWDfyePjtLBEL5BaqmSCSaxorCYJ0mq05rBHfTXA+XH2RAij5kbC6zzNAh1bdT8KRgJp9JZvgnDJ0ACjuYwcNj0WJdi8oidroHa0jARXmckL65usbQqTIanKKGY81iutOmbBALOtuUl4pHXjekF3e3lh7/49iJAjkqdeqi3MhQui9Dt+pk3TUlrQ68RtrW2dHZJnXibM7S483dSsP1XisoHBScN39WTiZW1nbw4PYOq5flBQPzAVeKQCDcddddSCQSPmaAK0i3LVJYwrgxU0Zwg05s3HJS0mNxQKf7Fr40k0LR1VIPVyvq6qslep2/obzT7VSJW+tK/1x7rK5Lzk2f+mB6JBEDR0mrvLO7q6bU7WQomhtaRTK5EafStBZWdRsc1ut9GhGDwfPipz8xMcto6jmx72CbBqJ4hqf+4/V6zGY1nJ/LpE04LAFOvwkEmlhc391T43TaQkJSU1KmpabNiIsfFxaWERQUz2DyGQxeQGAkn58Cp+7JvqkzY2JHkSlsuVwgEBRCXiiYnwxn6WpVV0f7CZ1WAu5LH1YgEl4NWmhU5sgnZ0e6C7YfKu9osTlxvtaG57CZnJLWhroaOH40d0lkpvOuMHkdFmt/Z0Nd7ck9P6z59rvVvxW2GiHXkLYTNXVVt8o7BXYDXdJwvF7sNNjsInF7XZvEDp29f3wIYagEXvqMJ2Zkm+p7ThQfajdAFOhMr+sem9rQU3G8kB6UlZaWFfJP3fpqJML2xuqWbpOFc/eDT785Mzc2DCtX9ogKytw2hlzU0CKQyTVYlaOlqKrLoLGcH1XtWllPR2XxseM7vv/4w//+UdLeA+7euGlcZpABKfpQ8Zrsmk5VpdVlZFIoDBJ1qJq4nwuDxjApdBqRoLH0yQwCm3OwDR9wEV6v02ZrqDimMwpEVcL1Hzz74r//txeSqIRiWWt95+m+Qv6Jv7u4jz98Iiuu68hXz32+o1ktt3kgt1Et7ywtLXdg209u+uzjtz7+bNNJEcrh2lnZ3a1RelEIJNrrhTcJp+v8DiGQSDQSiYIL4UkXvU8BAaGwWBwS7XF7LE64Ouaf1e12uVwmCMLhsfCCzt17+Rn35yfF0k31Px7rdMS4kDR/OQBckfvuuw/+d9u2bYNPgdsPPiwpOWPCAgL24N7ydqPGdvlD7ZzpLm7Lhj2P5ubyBi/9+LuL+/iNyVn2Q0d+ON2Tk8chE1V3thbZXdCpn/69/OUPVh6tqnUYnGVFtb1WrQOJgqOhy+M1OeBQeE6UhOuwKCQWgYRcHrvDcV6fdn/la8CJJSOQXpfbOdhT5wCP2+V0OrwIBBmLQZy9tIbEQYz8MXMjsrBC69GyUj3b4RmW+o/vAnh3lUhYDHndoWHpVEpAXe2enu4aAp6Skjpj1OglHE4MxncG4x9RKAEJCRPz8x+Ac3i1ure55ZjLaY+OGRkYGNnRXiDprTWbNf5ZgWEDIuGVIgfEJk14Zkpgd3F1c7lehYnyl/ud013c9288tiCZgkD6GpoirC63w41gRUfMfPe3Tdu/fy13Sopv9svZuwdGOoDcHofd4blolg2HGFtn0zGpVNAvEe79/NkXnv3fb12SLqXY39cahEIjECj7+dWtC0D6P5TH4Xa4zvlQLhdc4EEOfKizdywicARa/ty7IqKxXbIjZU16OnQ65Hjt/ZLeU/u3ITIZkWHhgf94RWWwu7iBiLt2SQ6TR/Y4pT1dnW077S5s4c+rl7/y9tdH99U5Ec6K4kZpv96JQCNRKDdksztcXg9v9KJ/fbDj1xUrl2XTyb4r/ki0b2wI3PlVU7gi6vSNHIFAw3XOwVsFgOvlkkEGrI+h4fK4zHatytyLQqB5TC6DPFwZEpVAZVHZbo+zV9tocmi8/9B3JnCaw26VFOxcq+yjTXzgo9VHKivLiyoPfPZ0bjzULa1q7NDC0dU/50WEZ9w1a8rzOUbbyc+O1LfJjZCyva26/LMauvG+FSt2HK+srDy+Y8WKxWY6aV1HT7fOyqay+Gana11ta7f2vJ5TKMxgAoXVrTX8Vttqvkj/60gMxE5LzaVFaPoMBztb4Q1ssFwp7e7p2ILDpo9Mj2D7ruafRc8aNXfKPWNwxp8/++yQsW3YG3ICAHCL4oSkj1v48Xxi47cb1rcdr/aXXqPwqc/Nyrwrp+10T0666vpTnSeq4ll3f7bxeFFJZeXJzR8tf4hndxYWNStUCDKbROH3nNPLph9cJ+Gw0nAU6Ny+5S4MjSUlZDxMZehF8paGrjPLMPZ1t3Q06jHoh9PiSXSqv3TQwIdMjWzb+9mn64zGoT/H7fG4LRZdS+N+yOuBk2pOYFRz8xE4zQ4Ly8zInBsRke2f7zJQqYHp6bOzsuc77Oa29pNabV9a2mwajdMhgLP0Gv9MAHDzwAWQI6c98+bEaNHB41uPb6j3F18YDo8O4EajUOQDHYoq6d97usVgSAmZl9i7oyJSKFTo3P7SLsxth1QFBbuVDZqJec+uPgxXA+E6249PPzRp4LUtejstMBiHZ1WfX926AAocctIXo+lnu5oboOsQNUobdHT04vQEEnag07pBaAhKmPz8/RmpxrbdGz5bD50OORadSlRXVeXIzY6JZgf/Qyv3CzEKG0/WnKyksO567bdj+4t9UXXduw9l2x1VJXUiFQodCdcxVY6TRXV9dt1Ah53nInAjIiJT052uLedUTV0Oc2vtbwYtLYKbmBp5zmcHbgIgRR8abo/D4jQY7SoyjkrGkTHoc+6tG1JEHJFJYhGxJIWxy2hTuzygwdtFDXZJclyrYieGZ6VlxfJ4waG8hNF5ecwQp0hV2dCkgS4S2E9DY0OTk0blL03Subftrm3qq+6oErUecniw83NzU2OieTxedExqbt7dWKz7iKC71sFLGjHurel65O7/bD5YVtTjuyvL43Doy0p7SClZk1IXRzbLf3tn5fHezoFeVZxqtbqsVOBwnO2pA4GEkAGZ46ZHx7ibO//4z+5OvRU+aph6mkvqilrduAV3jQvlB5w3/BCExNITMjKzR8w36h1Wz0XqtQBwcWPHjl2wYIH/CXAbQqGZIZxRM57KtnOwzsGu168dmpCYPGFU/myCrv+33SVSQU1Vc29XN4mZP2Z0YkhoKI8XkZSWkpic4jBVljb2aOkx0yaPWxypl6/7z7fHyzrVvijpUDuUFaUd5ODx94/NDEJVHFzx/N5anXUgMKrUalFpmd5xzrhACDQBkzjr7jx2UE9JwcY/SzWQb2JfTWFl21ETe8RTs9IZBOr5N6gOfMi8nNmher3Jc/ELb1fFYtH2dFcajcpgfjIOR+rpqe3ra+HzkyOjctnsCDT68m8qgJBIFIFAhXP70NA0p9PW21vncFiiY0YhIIRC0a5SdfnnA4YNiIRXCIUiMvnT5s+k0WLNNtPFezZEUAj09LvfuZ8f0Xqw5shPhX/rwxFDwCRcYu/mp981eVz2GEz50RXPbq/TSgcihUmtFpSVqh3+bihgHpdd31pUqVA5eOE5uQPVQLjOlpmXERLCVqsKy9r7XRGjHpuTOs7d3Lj5ne9Ke00Dr7X0qGVNpULonIspSDSekTjjqVymWVResPFQk37gGo+kdmtlu8jMzH1qRiIDf+6VaDj6YAgJo8bnRcwON+lNkD/kqDo76it/roamzRifHBJIOj9GXYyhq6uhp76biB0xbkRKaAwcVSOTY9OSR6U5vOUlHV0OfPLk8TPGxGsKVm04Wds7EFTPgaBE8VMz75qud+/+z4myJt/t8Q61VVK653e1NHJk9KjUTCZICa+rrVu3wv9eJMig3nvvPf+fAwQCwb59+5YuXUqh3HpnUwoLCxkMRnJysv/5deRwWfv0bfXSw2Q8OYYXySDREH/vTnJoIEw2U7cSDmeomIBcFikEjTzTZwXwVy69WFG3e+WGKmHC9LGT8mfFs9DwekEToP7q5rbONi2WkzsxMxDjkRQVljc06qix4+6eEk0c6IPdoBE01W4vqoycOGt8fEJoANFtxCnK/jzRraaxLK018lM1jdaUe59YkhtGpePgOq8HibA3bi7sVIeHJiSPHhUdz8ZTNJ31HfLGutrWqqITBSXHD2jQaSkx8UFxJDdG3lZQLxU1lteUFRYcrSsrs7PHx1OU5ZXlDR1mZvaMBzIC0XQaDUf2us2StuPVio7q4qKCQ9W9fei4GfMWzp0aEURCW3pONtVUF3XFTnxwSnwggU4i4BEImr73UJfS4kzKHJ81cnzYP93jBAD/BA7+LBbL/wS4RbmM1v62o78XdESOyc5KHs00q9pPbDguihqzICs5LoyBRuJJQRi5qFEuVeBpkWlj54+JJkEYJORQNrfVl++t1UZMXDwhns2joiHI5jD21v60u8pkVevF4paq4pOlJ0/asTwawlTRcTYE0QKIJqOuq+xwSbc+gNB/vKG1qQ8dPvm+JyaE4whoBBID2XVyRUVBmSQwJS8jKSWSzyfiUbLOE/Xy7sbamrKigqMlZWUa9sTEaH4IF4cxKkV/FnZYBTWlRcUnj5Y1S2SYuAyOtGJfYYM3iJk9clFKIISnMslEnE2i6iktbhY1lpwsPPJns57GGXHPg/eOTg/E4ew9zYXl5R1mffb0pZkcCo6Ap2AglEHRUiHWQ0H58/PTEpI5Q3MM9XjcGnVPa/NBFBIRFT3CZjX29tbCB5zklOkcTgycsfvnu2xwLQKLJWBxJJNJpVb1wMl5eHiWTi81m9RoNJbDjffPBwwPEAkvye0wKmt/OlhFJ8Xk541JDicj0WQGTSfrVsjrZGgiJfuupRmhKJkQ3gfLWiUWvUMI782nTrYoxQ5abAQvICQQSzYZ+nq6SqtFrZUnYSdOVKg4pIQJ989J59KoAZSL7d1EMoNKoTHQBlPXn2Ud1raa0orik8fLm8vk2OT0KEfH9opqjRyZNGJ6jOvYyj9KhaiYsZOnzcrjoeEaHgoL6bubuxvbGlTc0VNHxkRymGyv29jbdqRSKmksLy4sPH6orlNu5+bHEzvL95wajDkPpAbiKUFkstcuEfeWljeL6otPnjy6X6inZoxYMP/eUbGBBISj11efHKjILcoIhHAEEhllHgg5MgMUkT9vQiS2sfPU4U0VCY+8+qCvAgmH2PO5jdLzwvXppkC2rmMH9xfsFqKgSfc9PyE8gIBGIjEIh86lKN9X0kdOGZWUmpwawaYRTJLjVX3dDZVwUD1x4lRZc7UgZtx9c/Mzo/l0IouNJ2k6W0XK2qqaupKjhcWlbcjROfPmzRkdn8i6gnOIwLWwWq379+93Op1wxpqQkOAv/RuQog8Nu8si0bXU9R1gUwOjuOHUwZFch4fBauru7/V6ETEB+QHkUAwK7FT/yG3RGWQdtSZK0KjJk7LiMwKJA+c1sXikzeCB3LTAsMT8jCAsyqJQmiAUOzYjf0x2MA7rGwDIadcbDUo7lDV2YnZ4GJMCZ794nEdi9SLZQWwbmo3kU5InT52TG8XCElEQhEYi8FiKUIPBxcamxyTkJoSH5WfyIalY1tfTK5PJ5AqtypmcPiY2KSklOiQhKdDR0iRUyaXwJIXGa8WljZkWxXapdCYIGxiXO3JcNAPCkAPDI/gJdKSjqqpNKZfI+g201ISp9730eCYPBx9fIKdJZjR77eSMsdOyw+nwx4CPWBRONF2kR4WGZ48cn5KWEnh+M08AAO4MHqfbbpJJLIT00Xkp0UkMyG7WiM20jDHTUqKCA4lIFArP5nPdGohIC4nMzsofnRRMgODI57HpDCarDsHJHDc9N5zG9EU3t8dp1XaqnTSUy2Xoh2OWTC2TcaNzwzg0k/ucEETBIxFupKff5UVQOQF2PD0gLD5vwsTJMQwEnPxDaBwC4cFBGps7LDk/PSIyMio0JD8xAGptlqnkviip0GhtuOSx02L5QVGJYREhJFJvY4ta6XtDmcaOZoTljc4IdGhkJoifEJeRNi6MBgdzemhaWJCb4GyvrJEp5DKZ3h098q4Fix6cEon1DeXmMun6TVZcADdn5KwYBgGDRJEYJDI5CKlx0ONSRk3LiQ8L/Xsd+ao47Ba5rKWzvSAsLIPJ5CuVnWp1b2hoepyvR/crzs/PIJEYLpdDq5VoNOLIiFynw6rV9Tmd9tDQLCQSPWwXAwDg0rwep03T2e9OiEzPSU8NDcTB+zklkE+y4AgONCcpOXfSrGguxmaB90Gzk4wyqZXwLiqT2UnYgPD8pCAshZ8az+NZtYbmpsaB/VzvZlMTJoyYPG52OoeAwDIuvndDaHJgVHBESDixt6lVrRhYQr8d5Q3Ln5QejDOLDHY2JSQ9Jy/E21WrRwUl5EwamZMROlgrwuCRHgPS64ZQYWljM4K5/MRofgIb7WhpFPYrfDWzfoOXFJQ2ckwU2aiSGk/HHAaEY4emRfJcRmdbUxVctfN9qDEj592z8MHsSJwvhLqNcrg+ebYih0STaTQyiQ5pEYy4zJHjo5C9x+tLWmXsZU88mhRGw/z9BKHXaTk/XPvLbYp2odqsC4hNHjdxfiyT5IuqvrvoB6um/NSRidFxSfFh8ZlhjNpqYb9M6IupJiOCFxF135x7MpMjKTQiizlQNRUKxV3CLl/IdZKTHn7jsYlJmUGn3wYYZjqdrr6+vrGxccKECRfJz2EIr/e8tl579+5dtmxZZWUlj8fzF906Pvroo8jIyIULF/qfX0dGu7pKvGdL7X/ig1LHJuUHMQL8E4YavL56VZJjTSd1RuPdqW+n8qaQsHT/NAAAgCtntVrdbjeZfAW3xAEA8BcadU9767H21sPjxv+fxaLrElZ4PK4RIx9ksULhXNo/01UxmdTCztKamj0ZGbOJREZ3d7XVZh49bhmTFXaNSwbOBSIhMOw0pXu+WbO31ER74du3xzPoeNC2/M4CB5nq6uqdO3e+8847dPol0jewcQwd/7kO+H9Df4fbuZC+M+cou9vm9oAbjgEAuFaHDx9es2aN/wkAAFfFaFBotb1YLJHNCtPr5Dabic4Ivvb8HEYiMRhMPg5HVCg7iSQGhRLgsJvVKpHH/c89WwFXDkRCYNjRs6a8+Omn6335OdXX6AC4s8BBpry8HM7PqdRLN3IF28fQQPjuGhv8MREDj+HiGyDB7bQ57VQcG4cmIM+O7wAAAHDFtm7darVaZ8yY4X8OAMBVsTvMLqeVQmE7XXaDQYFGY1jMkCG5yg3XLvB4Co0epNX0QV4vnLEjkEiFvM3tASn6kAGRELgekFgClckMYNHxyLNDQgJ3hsEgM3fuXDqdfv64yRcGEryhAR9BcWgiBce2OmxOl8MzbGOheTwet9vt8ngwKDwahT1nCEYAAIArAB8qdu/eDYeU5OTkmJgYfykAAFfFZtU77GY6PchuN9nsJjyBCv/tn3bNMBg8jcqx2Yxw/o9CY9EojNWiA6OuDgkQCQEAGFZXF2RAgjc0UEg0EUOlE7gGq97qsMCrwT9hqLk9brvT7nQ50UgsBolHIcB9aAAAXDGdTlddXd3Z2ZmVlXVDutgEgNuM3W52Oq0kEtPptHs8bhyWSCDS/NOuGZyiU6iBHq8Hzv8hrxeNxrjcDvgP/2TgaoFICADAsLrqIANS9KGBQmDwGAoBSzM5DGb4OD1sd4jZnDatWauzaKj4QCKWhkIO1wDsAADcrqxWa1NT086dOx9//HFw1QgAbn5oNJZCYSERKKtF7/G4UGiczWr4S3e/wJUCkRAAgGF1LUEGpOhDA43CUnBsLjnS43GrjRqTzeSfMNS0Jp1cJ0cjsRHMDCqODR+w/RMAAAAuzxV1WAIAwE0FiUIjkUinw+od5r5pb3sgEgIAMKyuJciAFH1oICAEBc+MZGehEJg+jUJl0A7H7eguj0tn0evNJgqeFUJPImDBQQUAgCuWk5Nz+R2WAABww7lcDqNR7fG6sTiix+N2Om1kCht0RnONQCQEAGD4XGn/cH8BotKQwaFJQdQY+KEzG6Va6XBcSNeatFKtzOpw8mnxgeQwLIrgnwAAAHDZeDweaNUJAEMLg8Gj0DirzQj/gUSi3HAe7bT5p10zOEU3mzVejweHI6OQaI/bjcEQEAjQJfQ1AZEQAIDhcHX9w/0FSNGHDBqJpeE5idxxKAQOTqSlGsXQjlvu8rgkaqlcq8AgKfGBo6n4ADS4ER0AAAAAbgJ4PBWLIxmN/Xg8GYsl2h0Ws0njn3bNXC67yaTGDSzZ4/W43E4MlogYzhFeAQAAgKswVJ1QghR9yCARKDKOkRo0iUOO1BqMHTKRyWYequbucLavM+u7lD1mmyOYFp/Mm4jHUkAjNwAALofVajWZhquDDAAAYHgCFY+jmIwqDAZPIjLsdrNa0zsk46LBC7HZTHqdPCAgHIlEG40qu81EpwcjkKAzmisDIiEAAMPqWvqH+wuQ4w0lFALNoUbFBOTj0fTu/q7m3k6rw3btfa7Ceb7JZioXVHYru2g4XgJnNJPAAx3FAQBwmQ4fPrxmzRr/EwAAhgGJxCRR2GazVqeTU6gBcEm/UmSx6K89Sx/Mz00mNYPBt9kMFrMWT6Byg+JRKNCS7sqASAgAwLAawk4oQYo+lBAIJB5NSg6akBQ0Ho2g1PVUt4oFeovRcw1Zusfj0Zq0jb3NArmAhuMnBU2MCchDI3GghRsAAJdjsMOSGTNm+J8DADAMKBQOkxnmctml0hY6PYhB5xmMSlFXhcvl8M9xtfqVXWJxPQaLDw5OhhN1o1FFIDBY7CgkEu2fA7gMIBICADCsrrF/uL8AKfoQQyJQHEpkStCkWPYoo9Va31PfLu1QGzUuz9WMlO50O+U6RZO4pVncioIoidwJiZwxLCIfdBIDAMAlwYeKa++wBACAy4HFkWj0YCotSCxu8Hq9LHYYHkfu6qrUqMXX0m+cwaCUyVqNxn5eUDwGg1Orez1eLzsgEocng5rAZQKREACAYTUcQQak6EMPhyaGMVIy+TNi2SN0ZluLuL1F0i7TKCx2y+Xfmu72eOD5+9RSOD9vkQhsdkQSd2Iab2owLR6DwvtnAgAA+AdD1WEJAACXA4lEUSiBoWHZep0cTsvJJCaXG6vTybpEFXq93O12+ue7bHCeb7ebxb11/f0iApEWEZkD5+dajYRMCeDxU/wzAZcCIiEAAMNqmIIMSNGHBR5DiWLnzEp6ISVoot5iqxbWlgkqu/t7jFaT3elwe9wXvEEdLoLL4ak2h01v0XcpRSXtFQ09zS4nJpU3ZUL0klBGCg5N8s8NAADwzzo6On799ddHH30UXDUCgOuDRGZHxYyBU2iJpNFqMwbxEmk0jqD9lFjcaDSqPFfSmM7r9TgcFrm8vV1QZLOb+PwUFiu0W1TlcjkDA2M53Hj/fMClgEgIAMCwGqYgA1L04YJFE3jUmCmxS0eE3UPD8Trknfuq9x+uO9HY26TQKaxO61+avsP5ucvtsjisEo20uqvuYO2xP2sOdPd3c8jxE6IfmRTzOIccgUHh/HMDAAAAAHAzQaMxFConMnq03W6ViBvcbmd+/gNYLKm56TD8UKvF/vkug8Wi7xKWFxf9ZrMaIyPyAgIiamv2yuWC0PDckLBMFArrnw8AAAC4HaHee+89/58DBALBvn37li5dSqFQ/EW3jsLCQgaDcZM0ZEJACCQSRcCQGQReADmcgmPbnFaZvlumk0o0MrFK2qeWy7X9Ek2fWC0Rq6W9/ZIOmbCxt7lV0tKrEhutlgBSTEbwjJyQObGBI5gkHnxIBl3EAQBwmUgkUnx8PJ/PR6HA6A8AcH34jvsUSoDNZtRqJWaTik7n8YITrVa9St2t1YgdDiseT0ajcRfpSWjg4jlcFyvs7CyDl5aQMIHFDlWruru6ytkB0bEJE9kBkaAv98sHIiEAAMNKKpVWVVVNnTqVQCD4i4YC4i8trvfu3bts2bLKykoej+cvunV89NFHkZGRCxcu9D+/Obg9LqvToDKLezT1PdrGfnO3xaF3e+1er9MN2bwDzdt9ncFDSCyK7HJ7MUg8Hc/lUqODaXF8ehKLxCdgKP80xJpD2dyv0UpoozMCIUPrphI1ycwauSiZ7Z9s6JGqdVX26ClRRHN7sRbLwPKTwoi+KbaeolPl9aWtqoH5oNQpizJjaBibtqqPOiWTQ8Ci4NcKmmo2HWkYnAEKz4jNOmfJAAAAAABciLSvqa3lsELeGsAOj44ZBafocNatUffCh3q4hMUKpdK4RCIdg8GjUGiP7943j9vtghN7i1kLH9I1aonFosViiWFhGXgCVauRKBQdLrcnJW0Oj59CIND9bwMAAADcaHDWvGrVqs8//5zJZPqLhgK4ij7skAgkFk2g4NkcSmQwPZ5F5NOJQRQcG4emIiGsoFXsseO4rHAihh1EiefTEqPZucm8CWnBU0MZKQxiEA5NRCD+8XS7taugq7O+DDkmNQBSnPp+b011rZ2UHpZAwcLvC0H9De1Cwe99oeMjif1FvwsNTgs3ORRrM3QXFNeVF5Q3NTQKZQPoMbmhDIdW1vF7OXJ8agDBqRBUVu8/ULy/vkktk8llsi69Wul1k+ghwRQs2rdoAAAAAAAugEhiIBAoON9W9Xc5HBY6PYhG46AxOKtFp1b36vUyo7EffhgMCp1Oplb1wNm7ql8kk7bJZO39/V1uj4vJCg0NTWMy+ZK+xj5JEwKJiUuYGBE1Cocj+98DAAAAuAkM01V0cC/6dYJCoIlYWhA1Jitk9qSYx2YlPn9P2luLcz43VUYwFeMezv58cfZnc5NfmZnwr/HRS1KCJjGJwXgM+Z8unv+DMekobbxx845Ks8HxT33Hu50mef2O577qoLDv+WDPaS/Nz006e4Hc4xAe3rKt+aB43Ld79uwcmGHdI2E56rXP7aiXm5zu8xpeAAAAAABwFgqFCQvPzsxeEBySJpY0NjYeNBn7IyNzR4x8KDZuDA5P7ld2tbWeqK/bV131R13d3vr6/c3NR8XiBpfLERycnJExNzV1JonEaGg8IOqqRGNIsfETEpKmYzBgPBcAAIA7AkjRbwA0CkfCMugELosU4jLg0A5aADmcTeLTCRw4jUdffTcwfRR+KtYytu3FzY06i9FfeD57v1VRtaPr+f8bNe2hTI6/8Dxwaq+tPrGbHum6//nJCfCnHSjlZD40bdT/Pd+1o0ph7bcPFAEAAAAAcCEoFJrFjszKXZSUMsvhtNfU7CkqWiuTtQUFxY8e/cjUaS9MnPTUmLGPjRj54Ogxj44d99jEicumz3hp8pRn4RzeYtFVVGw5evQ7aV9rSHhudt4D0bHj/csFAAAA7gAgRb8BEBACgUAiESgUAg15fXeho5BoJAJ+oODya+gTzoWgxISnJ86cU//JkdYmqclffA6noV/bWWlKzAwK4rCxF7xE74YghbI2jepITUogYHyf1geFZdMZ+PDAU3KN3eIYKAIA4CbW0dGxcuVKk+kCcQAAgOEHH+PRRCIzLn5i/shH4hOnIBDo1pbjFRVbK8q3tLcXqtW9Vqve4bDA/8I5uVYn7RJWlJX+Dj8aGw/ptLLgkLQRY/4vKXlmQGA0uH5+1UAkBADgVgRS9NsLmsKIjM69KzW4qVAuUSj+drnb47Q7DP1eNg2Dww5eHv8bLwRZ7ZogjItFPe+WNzQK7caTlDaH2w1n8QAA3Nx0Ol19fb3DAc6oAcANg0SiqLQgfmhmXMKUhKTpoRH5RBLbYjUqlUJxbwOck3eLqkRdlfAfPd21CkWn3qBCIDEcbkJc4pTE5BkRkflMVigWO9DLK3BVQCQEAOBWBFL02w2aEhSYOPVxjlLXJRFIjE5/sR8ShUbjKf1Wm/0f82wEBBFwTBuEt9vPO6K53C6UzRyIx4KBSwAAAADgcmEweHZAZFzCpKyc+1PS74qKGcsNSiRTOB4v9uSpco3OisVR4dSdzYmNjB4NZ+bpmfekpM0N5qfByflF+osFAAAAblcg9N9+MFhi4IgHx5pFvYIqgdLm8hcPwOCpJE60UN4l0+utzoFu37xeyGm2OlwOf84O59+cwAyji9ov7rXCGf5g33Buh0qntXUrx3KZOOJV3ywPAAAAAHckONnG4cg8XnJy6uwRo5+YNO3VvFH/2rJDxObMmDHn3Skz3hg1Zml65t0RUSPpDD4Y+RwAAOBOBlL02xEKB7En3JMtg4yVO05I/IWDqFxKdN5rfW+WFhYeEVp8JS4L1Lb5aJO4Vjkwg2+TYGSNj+xtFH//36Ot8PSBUkXNhkPFP30deU82hxCAGygCAAAAAAAAAAAAhhRI0W9LCAiFD8ycGhtKD7U1+8sGIfB4Ruz0J/+bbT545KMFc2EPPD73GNmNI0Yz/LPAWwU2avx998ZNDT757Ny5830zzX17h8oY88LKe9K4ZAwKDIsOAAAAAAAAAAAwDECKfmvDcpKD48bkB0E4FMROGhMTlxx+ulsZDCs+Nm/erBmz5sSTCGjE6alIFIbGTZ05cuSEMfl5WbDMrKyk9EQulUUL5PHj5+QHEeBlkXmx2Rkz54yalJWV45sJ/t/E0ZnjpkTS8GiwzQAAAAAAAAAAAAwLkG7d2rCBScHxo/OCICycoiePjolNCjvb8yuekzR1xIzFc+EUHYM4ZyoCgkhhoxbf9/S7Pv9+9d0pcbEsAoTj8ELi5+bzCIODsVHDYkfOH5jD55n7po4OA4O+AAAAAMANZVMrhLV7B9UKBWqrvxwAAAC4XYAUHQAA4DaExWLpdDoSCYI8ANxOPE5lW9WfPy0b8MR3m7c29FrP6xYWOA+IhAAA3IpAzAIAALgNJSYmvvPOO1Qq1f8cAIDbgVFopJMSH6scsG1Mbahiz9Ee/zTg70AkBADgVgRSdAAAgNsQBoMB144A4LZD5IWGpWTE8wbEBkXSiUxwFf0iQCQEAOBWBGIWAAAAAADALQFDpZBZLDIEuSFI2lfDcymDOCz/NAAAAOD2AFJ0AAAAAACAW4jTZVOKjpS0d3GxuLAotr8UAAAAuD2AFB0AAOA25HQ6dTqdx+PxPwcA4PbgdTot/fL2ugOvnvJMSoiel8T3TwAuAERCAABuRSBFBwAAuA21tLS8//77BoPB/xwAgNuDSdiy9/hnS0QR616bOCcxiuwvBi4IREIAAG5FIEUHAAC4DTkcDnDtCABuO5LmalmXjHn35zOy4rgBRAwG4Z8AXBCIhAAA3IpAig4AAAAAAHArsCh6aktO/Lltf8lv33364UfLly9ft2dTk8o/FQAAALgtILxer//PAXv37l22bFllZSWPx/MX3To++uijyMjIhQsX+p/fCubOnZuVlfXuu+/6nwPAdWGyO9Vmu9pkM9gcNqfb7Tk/EAA3AgKCUEgEHoOi4rEsMp5FwpFxGP+0KweH8VWrVn3++edMJtNfBADAzUQqlebk5MD76Zw5c/xFl2RoKtq2d8/u0jb/cwhKmZIzff47Y8AN6RcGIiEAAMNqmIIMSNFvMJCiA9cTvLe73B6Lw9Ui0xZ1yos75a1yndxgtTpcIEm/4ZAIBAGL5lIJCVz6qGju6GhuYhCDiEWj4cTdP8sVABVTALjJXU2KDlwhEAkBABhWwxRkQEN3ALiDwPm5sN/w2aH657eUfHKw7lhbX4/aBGfsID+/GcBrAV4X8BqB1wu8duB1BK8peH3Ba80/BwAAAAAAAHC7A1fRbzBwFR24bnQWe1Wv6ruC5sY+jdHmZJMJOaGc2EAGh0IgYNAIBOh06AaDo7HV6VIYrQKltrJXoTJZKXhMSjDzmQlJ2aFsOhHnn+/ygGtHAHCTA1fRrwMQCQEAGFbDFGTuwBTd5bSqhMc2nMSNjItNHh9G9D9tN8tNbG5k2rh5o6PI0HXrIhWk6MD1Aefkld3KH062HG7pC6QQcsO4+RHcOA6DTyPTCTgsGglS9BsOjsYOl0dntUv0pnaFtkwkr+iRK43WqYnBT41LzAkPhDN2/6yXAVRMAeAmB1L06wBEQgAAhtUwBZk7sKG7w2nurvn58z0n65v6HR6bVic8sXX1J59/9N577336+Xdbt1bLdQ7QrhS43YhUxgNN4n2NvVQ8dkp86JK8hIVZsVkhgRwqEYdBgfz8ZgCvBXhdwGsEXi/w2oHXEbym4PUFrzV43cFr0D/f5aHT6WlpaVgs1v8cAADgzgMiIQAAt6I7MEW3ux39/ZWeXGpwciDdJhd07v3lu1OIfigwMMCkVpV//2uR2Oxw+GcGgNuB0+0pEykONIvxGPTUhNDFufFZoYFIkJbfxOC1A68jeE3B6wtea/C6g9cgvB79ky9DTEzMc889RyaT/c8BAADuPCASAgBwK7pzu4vrUxtUxm55W/XhT+tsxvufW/HHts0fLZ8e6y6Sy+1um38uALgdNEu15SKlRGsOY1D+b2RyBIvmnwDc3OA1Ba8veK3B6w5eg/B69E8AAAAAAAAAblN3YIqOQ2EDAnKQHQUrPnlm6f+9++MWN5S4dObonKTMiCh+UAhkc7v/coM+ANzi6iXqDqWeQcRNiOUHUggY1NkdH4mE4GdX/QBX4ocVvKbg9QWvNXjdwWsQXo/+CQAAAAAAAMBt6g5M0bEYIj/z/jl8h7znZMHxVq0s/a4Fi1ITQmzqxjZBTS8ylkZDI6+gUyYAuOkJFLo+rZlFIoyMCMJh0P7SAUgEhMVCeNzVPHBY38uBYQWvL3itwesOXoPwevSXAgBwq9FqtRUVFa2trSaTyV90IRKJpK6urr293f8cAAAAuPPckYOueRyQrnrbl1sK6rskzEh6zv3Ll2TxyUrBpp2HDgnr/E+x1ydLBz26A9fBo+tO7KztzuAHrlwwjkMhos5JrNEoiEiANBarwmj1F10GwkCvZgQ02mJDuFz+QmA4uD1ehdHy3LaTtRLl/IzwX5eM90+4FJ1O19PTk5iYiMHcFKccdRa7ymTXWGxGm9PuG4kfNFYaMvD+DO/UeAyKiseyyHgWCUfGgfPMNx2xWHzw4MG+vr7Y2NjQ0FAWi+VwOKZNm/bTTz9NmDBBfVpjYyO8c6SlpU2ePNn/SuAa3GyREACA28ww9eh+B6boHq/bYVHpPCQ6joBHe20Oq04H0ekELB7hslntOjOSziZiUYjr08AApOjAdXD3qiP7GnomxYWsWzwFhTxv0x5M0U929B1sFlscLrPDefHMCYnwZQIxgbSZyaERbKrdjgQp+nBzezxL1h851i6enRr2x7Ip/tJLGaZjxpWCc3Gn22O2uyq6lYUd8spuZbtC3w+n6R5flu6fCbg28F5JwKK5VEIClz4qmjs6mpsYxCBi0ehzz8YBN5pWqy0qKnrmmWfgpDEmJmbkyJFwjeW///3v119/HRERUVJSUjrAbDYvXrz4+eefj4+P978SuAY3SSQEAOB2NUxB5g5s6G60qAo3z5iyZkNhrRIy9hYW/jJlyi+Fhb1GSFlbuGHNlBmbC1WWKxvdCABubnAyBD8GLrVdeJeH6/SL82OYRNzRlr5ddd0XeRQL5XA+kBnKjg6kov9hacDQgtcavO4GV6K/6NZhsruqe1SvbC97cWvp9yebi4UKucHiBD1+DCl4w7A4XD1q07G2vk8O1j2/peSzQ/XCfoMLjB96M6HRaLm5uTNmzKBSqU1NTWvXroXzc4PB8NZbbz344IMff/zx4cOHVSpVRkbGuHHjoqKi/C8DAAAA7jx34FV0rVFatCbnMdOLa8YsnJNi2Vu05bHHoDVr7h89h9i4d3PhY1+S11Q+NppHYfjnH17gKjpwHcz7/tC+xt6pCaHrH57mLzpt8Cq6F+Ex2ZxyvQXOwP9s7K3s6VcY/trunYBBTYoPnpcRkRXK5tKIJCwag0JbrBC4in4dLP7t0OHW3tkpobue/usa/Cc3w7WjPp35WGvfL8Xtnf16l9sbyaZl8AOiAugBJPzABV5wiXdowMdxq9OlMFoFSm1lr0JlslLwmJRg5jMTkrJD2XQizj8fcKM5HI76+vo33nijsLDQ6XQOFqJQKHgNejweBAKBx+Pff//9BQsWhIaGDk4FrhG4ig4AwLAapiADUnSQogO3v0um6D1aQ5tc53R5koMZHUp9Qbu0oE1ad7r/cCYJF8uh5UUETooLhv+AMwG1yZ7IY/DpZNDQ/fq4FVN0rdm+t7FnXamgtEsZzaaNiQ7ODAmIDqDzaCQqDosCbbCHDnwcd7g8Oqtdoje1K7RlInlFj1xptE5NDH5qXGJOeCCcsftnBW4o35pyOD777LONGzf+vUM4OD8fN27cO++8k5eXh0af168ncNVAig4AwLACKfqlXVGK3jbtqbCxOWH2ypbCr1dCzz0/JjEH11N5queHQ/G3d4ru8XrVZrvKaIPrcya7y+Fyg/amQwjOOjAoJAGLpuExbAqBRcLh4CT4Rrtkil7SJd1eLRIo9Q/mxeSEsc1216kO2a667i61kYbHpoewJsbzxkQHuTyeeon6SIvE4fY8Mz45LZjldKJAin4d3Iop+ol26XcnWw41S/h08n0ZMXNSIsKYFMTQDdPnsenMyvbqDrXd6YYgNiMwLD6TR76ht2+5TVKTxaLDR/PJviEJbwg4wteK+3c1CPc2ilRm67Pjkxbnx6byQXJyEykvL//hhx+2bdtmsVj8RXAoRqODg4OXL18+bdo0LpfrLwWuGUjRAQAYViBFv7QrStFXSVVt/pJzxbN5y27XFN3t8cIJucZiL+qUF3bI68SqLpURTtfdHnC/4pBBIhA0ApbPICXzGGNigkZHc0OZZDwGjb6hlwwvJ0X/qbBtS3UXGYt+Ykz83RkR4SxKj9r0S0lbCo85LjYI/hbw0/Vlgp113b0a04hIzmf35IMU/bq5tVJ0+KACh5q3dlXuqBFhkKgFmTH/NzKJgsf6Jw8Jr9MsqW7e/8VLv1RpjQ4ENCpjwuI3vp8TC0E38HqxuWVLe3dXVfC/H0iEyDf0urVAqf25pPmPemEwnfjcxORHR8ZhbtQ5A+BCfv311y+++KK5udn/HIJYLNbYsWNXr17NZrP9RcBQACk6AADDapiCDDhm30HUZtv+JvHTvxe9vK1sQ3lHjVilMtlAfj60PF6v3upok+t21/fAKcqzm4rXlgj6tBcbBffm4fV6TQ7Xz0Vtr+0o31TRGcOhfTI/97FRcTg0an15xxPrT60tFfTpzP65AeAfwPl5uUhZ2dNvsDnT+ezH8hNJQz4GmFkoEvX+IZy3YuPxAwWVRwt++PrDyXB+DhoHD4pg0f5vZHIYgyLRmuF10SzV+icAN4eRI0fOmzfP/2RAZGTkk08+SSaT/c8BAACAOxi4iv4Xt+1VdIFCv6NGtLNO1KP2pYvp/IDkIFY4i8og4AbuCQW3hQ4NOEU32hx9elOrXFvRI7e73IEUwrjYoCdGxyfxGDfqQtZlXkXfXCUcLCTjMCFMcnYo+57MiM5+Q0W3sl6i6VUbbS73YMAAV9Gvs1vrKrrB5vi2oHldqYCCwy3Min0kL2EI27f7KUtPlNb+50TQj+9Oj6QTzu0Pzdy6bffBgj8rJAQKc/KyFePjmFzS4BQPBBlb99Ro7YJuh/DPY1Jo8nMv53gcZQUH97dJadkLXn80mw+ZOiU6nStsRLKvzbyxqazDrrRz5o7gQlB32ec/Ha9pbWZE0jLvf31RFo+kFG7fWbDjSBGWBCU/tCRJ3FN9cPeJdh09K3j+c6/neRxGe1urMFh1ZBv00MMTyK76khP7SzsgAgTNXPTqlBGZPNbg5xoeeqv9m5P1uxqEIUzS46Pil4yI9U8AbgIWi6WoqOj999+H91O73R4REXHvvff++9//ptFoSDBSxpACV9EBABhWwxRkQIr+F7dhiu72eNVm2y9F7duqhT0ac1wgY2IsP5nHCmdSAylECh6DHPLa8x0M3qEsDhf8g4u1xlaF9lRnX31fPxqFnJUS+tzEpDAm/HvfgFvTrzRFh8FbBfxZ4VRcqjf3qk06q8M/YQBI0a+zq0jRpVIpHMmnTp1KIMA54XWlNtmW/V54SiAbHRW8dFRKdmigf8IQMvY015/4ed8RMm3KuNlT0mJ5AXCa7nZAqtoTzd2tQqlRrUEivXTSuOxZmVHhLIrvNXCKrir5+vMmi1MTHOOVKfqRCjojKcCBwPbLFGaPaNSSZ0bQsR3dCoUj5e5x8JEWqTm5q8LcbQl7diZHdPJUV2dXr9GsxWBRdG5A1qx050Z5rbixk+bm4KGwiZPD+mV1+46WC6SsaSlT5y4MEzUdby+tUWeOIfURJ05Lx7tFrY0VrX3wp+hH46fOHZEdlxMwpI3/z2dzuUuE0k+PVmst1oU5UR/Oy/VPAG4O8B66e/fut956y2Qy3X333U8//fTYsWP904ChcwMjIQAAdwKQol/a5aXoJqum5ehLK/drDH2DBR4XZOytaOpRaEw4WkZM/pur1s9KCyBcn9Zm1yFFtzpc+5vEnx6qE/YbU4JY92bEzE4OJ+OwIDEfbm6P91i7+I/6zkKhFN7R3pmVOS89nM/wX9G7ni6ZotdKlNuquv5s6vWXXko6n/XqtPR4DsPhAD26Xw9XkaLfQAqDdeY3B9rkuiV5Cc+PT2eTh6VmbJZVtBd8svpoeGxKWnhmenhsVDrTaSp999O6cCwpJD8E5TDrGjZ1Jjz/UNaIxDBfC/jBFP2NemQiffKyBaFm4bbpK2QPp468+5FsyNp17NET0a/P5DPlir+m6KaA/xvp3v7qOtPodEYEj2WWmuX1v5OffNC7wmgPVgc99uC0aBYWQiHOvxfdeHLX2upaEWPO+4+mUiEsErJpBDJJu6DXBomP7MHNH5mV/2DaMJ4KhuOPwmh5bttJeO+enxH+65Lx/gl3pJuwn1S3yyWTiN987D4rhLp78RPzFz2Ex+P9024QuFKAQiLwGBQVj2WR8SwSjjzkt6gAlwf07Hs5wBYL3AxAin5pl5ein8fjsjn0Yl315off2VbcKoscOXnaC9++PZ5Bx1+nlmbDnaLDUV6mtzz9e1FZlzKKTX8gO25RNmjueF2d6JD8Vt52TNCbGMT49O68MTFc9HVvx3jJFF1hNDf0qdvlOn/ppQTRiGNjglhkos2GACn6dXBrpehwzBn56W6JzvzShIyXJ2UO5/BqTghqPfj0fzbrOOh7Hv/fRL5oU86HO2wNEjycEkMQDoJGPfLRK3dNSYvxnXMdTNEPWcLCwuaNjbJpNMdeP059MiQqewRPazK1/b4emjyVY/t7iq7BPZIkeG/xZxUWqx4DZ+IQRGJCC1d8my1vOdZ6rIf+yDsPpzEpAVS8u2O74NwU3XcFPvKFu+N97+0w9ZR/+eeO71cdQkAeu3nqO/9aeM9Lo0LgScPH7fEsWX/kWLt4dmrYH8um+EvvMDd1P6kWg2f/SkRwPCI6BwoI8xfeOEgEgoBFc6mEBC59VDR3dDQXPmwRsWg0GCLxOgI9+14+sMUCN4NhStHv9FuejL2Fhd+Pm7Lsi8K6xLuWrl613pefU3G3z88Ch3U4ylf3qOC/J8byZyeHD5YD101eGPee9CgqHtci05Z2KQb7ArjZwCn3xLjgJ0YnXOZjblo4h0pEgZYYwIV44Vqm1+P1euENZJhrSmgIShj/4c+vLeHMMq7c2QFZXdDkZSu+3FJ51NeHXPHRgq+fnJ4Yce0tV3AUaMRrr/+4f69vsZVH/zxy9MkxI0bc8/Arz77/f4Hqbyfe/8G2I4J+q3/uCzA1/Fqt4rpmHz96tOjo9s8ez4oP9U8ZRiik79eH1wT88BfdeW7qflIJZOTM5xBZMyEW319yQ8HbicXhgg9Sx9r6PjlY9/yWks8O1Qv7DS43SA6vH9Cz7+UDWyxwG7uDr6Ibmoq27d2xcVelRuAds/ze7PyJI6KiYlnXuTfV4b6K3irTfXeiGY7yeeHcR/MTJ8eFgqzqOoN3sFaZ5oeihn1NommJ/CfHJk5OCPZPu14uchXdl0ShoKtIo1xWU8/xX/sjZwQER4fcqFv8nGqzpOH3T9UJS0cmXEnnWzZxUZ9C1sFaMD4Ewl9pJ+Ca5i6Z8pg184FUCmngWu11cGtdRZfqLfkf74T/fWVS5quTs/ylw6mveHmToFqYsGai6LFvJLMSc6c/Mi7sb4k5XGm7jKvogiqhUMN6aFkWFVIXvvBLG0XOmvZJXv/qB1fSly3Pnz426byz5C6bQSxpPPXHJl3GE3OisZXaf7iK3vPnknJrojvhpfujLaaqz15pzkhLyntmmK+iw26tLWfIXZd+UuHtyti69wsJOp6S/kB+kL/0wrx2SF+z53slKi46456ky69mObUdWsHBasYjGcGU090fDj24Qmh1uhRGq0CprexVqExWCh6TEsx8ZkJSdiibTjy3W0ZgWICefa8I2GKBmwFo6H5pl5miux1GRc3qg6eaDuzq6lFgYhdNnzL3oSkJbB7lBozXM9wpemmX4tXtZTVi1VOjUxdkxMQE0v0TgOtIabQcbRcv318ezCC+NDn1+netfJEU/ao5TZrm9a9Ls58Mj89OHOiM6wZwGWwq0YltxpAZCaHRg12CXZZrGr9aeqpO2LPWMO29SezrdkfMrdVd3PVI0Y09na01fxxv8D9D6in8iIljn4g2Hdl85IhI5SYROHiMrxe3WaPjYrjUgW7ZLidFD6NoKsoKT+3R0iKIEJ/WXe9ORgVP+mAKpvH7L04pGHoClUiBsERyxsylwcZ9nW2Chh4XvGS3N2figpHRhKbe8hNbyym0qXPvDRM1dXrOpOjqmo9PFotrxRw62x1A1x20jJ2Uk/c4SNGHzXXsJxWuRFnEZX+oUCGEqPHxF6+heZ2QWVj2pxYVzIscHXb5ZxXtsip5+Y/7gz6dFseMHLbDOFwhdLg8Oqtdoje1K7RlInlFj1xptE5NDH5qXGJOeCD8u/lnvXXcKt3FXcct9vZxW26xwC1nmFJ01Hvvvef/c4BAINi3b9/SpUsplBtV6b56hYWFDAYjOTnZ//zCnA5Dd9XKJz9fV3SkxUMISx01e2yYU6rs6YS/u0Ag7e6FKMEUHBp5ffrd3rRpE4/HGz9+uDryaZPrfy1pN9ld92fFZvADb0h34sBAa1PEnsYuvdWRFcYeEcnxT7heNlcKBUp9VADt7rRof9E18zis/Q1HjbxsOnugM+0BZllFR2tNbaNA1NOjRweQcBicS2MwyNv69aaqshZBa6vGZkCSOQSPsbegvrGlqVUg7PTPjLV0i4VN1XWNwu5uoZNCI+BISLPBoGqXaFzisubWVrkZgUCjoP760qqG9n6nG42jUQloPAEXFBjMoZCxKI9NZ5IOTBW0aW0IFIlBQFhVbWKDpUfY3VZf19ErNqFYLJRRJGw4WVovaNcRvUQKi4TDOxRyUUNJVT38YYRqt2/JZNy5u8p5S1b09tvQnVD0+EgiHm3WdrZ2VlTWiURCPZpIwhPh2OF/0VDaWS8UqvSxHNrCnMtdg21tbRs3bpwwYcL1r5ga7c6fi9rgf0dGBo2KHJ6zvea+7raqnUdKFQoZ/NCysoIz59+bxMKz43ieanVPW3WjTKHSKLBRybG8IAZx4PwrnEq5TUozjhPA4AeSPW63WWahprAYTDbB7fE4tVpCSGgAJwBltvSfOlnar5AFpU4LDs2PYwUmRoTyUoL6mxuF7S0d8NvpjYEpU8iaQ22NVeWNCo3JwZ26MDuaE0zBWLXa7pKyVk56Og9HwFCxBGZcCBV+byKZoe+Wd1VXCPR6Yvy4UFZ0ZmggP4Do+1zD6Sq2nNuD3ek+1ib9ubhNpDalBLHgI+DCrNh4DpNFRkNWhazlVHWTQNBhsUNYEhOPchpVbScbmlta2jUaA4oSRIHr9S5tZ2d7AxyRerq7XE6XzIbxIBFop1Ut1aLJBCQc1l0Gg0HbKfcwyCQsJpAawGNQvAhDb5veomuo62oW9WpdGDrRKS1ohGOdwhf6gig4CItFs1iBQTQmAeX+6/uSMZBDJ5Lr1D3S/s7qqiZhp8ZNIKM9GnVn6ani4kYNxYElkkkEOsJ8JiIJ5UadG8dmEOHIczaH8/WD21NTV9fQ1CSUqSReWhAZ69ULB7+R8Ey8QllM58TYlj6jESKEc2l8Gik5iMWhEJ1uT4/GWCdRM4m4UCaFQ72ps9wLuoGR8Ir88xaLh2tuQz9u5W0B/lnQKCQZh+HRSEm3yxYL3HKkUmlVVdWQnwcEg679xe026Nqfjb13rzoCVz/XPjRlWmIYOAt7Q8B7mVRvnvH97n6T9T+zMt+elemfcL1ct6voov2P/Lr1yB/lXiyFlf74L8/OTk5DVNW3VX3ViEvf8O0xk06YNn/U3Uu/nhHU/ceMT7coakVuuO4LYdhj39n+CO1QyeG9aw93eIl019z3Vj4wfhJH3tRct2q/eoxx1R81WmLWk9Mnj4/p/+WVH0qV/LkPLX5w6exoom3w4md8ZDjJLK1pPvYNPFVjsGbN/tfdS56eyFefWv67MUZ6srml8JiGRBv94DfLJ1k379+68ecDbU5qKOHBFd/dnZJoLDiwa92nWxrhOq4rccGiBxctnZ0TdKYRu9dp7qlq3v358xtq9SZHbkZq9Kh5qvD5701iEN1tVat+2vnzjgM4KpTz7FtPzZmWGsJED/1edhXXQofptO7luP4N3YF/cmdeRff8cz+pXpdKUr93/3dv/lqDNNnvufvZB5c8mRTY33Dqu2VrTqnblXkpoxc99/VdmTi35vjXq7fs3lTSSyMS7pk7Uxq5cHxWZB5OVXW4I2Px9AAyAWdsrGsTrq0KeW9xSv/hXToOl54UxG7d8WYHN2jrhq5Oqy5z5sIXZvNqlqzaraih+ULfd/cm4pCNu/9wcDj8vDyG+a/vOyeTaKheuVNsaWrzdG/b0AS5Mu567/WZ0VL1idWvrzplQ1Fx8/7z3IIZi7nSuoNfvvFLlc7o8ISOyZ65+P0nZ/BxSH/s8bo9Vo2x4veXvt1a0tyNisgJuH/5lnlh1pof12zes+1UNwJLdqU/9p9/LZgRZeptqz8dY40thDG5sxZ/+NSsILRvhAKYQKn9uaT5j3phMJ343MTkR0fGYVDXqenQULmBkfDyXWSLBa7IbbDFArecYQoyYMO9zfkuGw30MoJCIkB+fqMgEAhfv02IgX6b/GW3p5CJK15eUXm0oGTnxl9mCqvMank/BKk7bLUb3LG/7ltZcPynuakTxQVlVnb43Qe+XgfPuW/dj98/Pv6Nf00IS5209MnlW48WVB7ctuN71im3XiIyQ5BYDe1thxbsen/jtocDFKJV3+9ivbtmW+Gv83ujXcerxf739VHVisSiwalHC44/nZOELjoigMwuaF0zlDVuydqje1b/8p+wjTUdsqC7H16y9NsPnn76yyN7Hx8zwlu+rVp/lPbM9oLKwwWV8JKZuj/3Nhj9i4WZhaJqwfYN+W/8emRXQeVrSzIioQNwnQqCtA2bmq1hsx4oqDy6b9/RR9yq/v5ykcX/KgAAbpCL9JNqFRX3SCSdMw+v311+tGD5y0syGBKh4MBW133b3t8I78gvPfUgeu/WOpvkyN71WGbEm78WVO7Ytn0saz8V6vEv4qIcJnfFV3L6Ix+9tu/jFyfpi/61pCZk3avf+kNfsRqynz4GmP7+vjvabBYnBB3ogXCUkV8dPXzk6I/5Eoe6yp027p5X1r9711Mrj617bvHDPGl1fe0bwnmfbDx+oKBy0wvRU9BrfinWms8s2tFvFJ1Y8YZt/KIVm+DotO5nOD9nS7Z/Ws6AJnwMB7GDO7d+n7lG1FHpi1dnY6xvUXeRNhzvgGynx+mIYNH+b2RyGIMi0ZrLRcpmqdY/ARhSoGffoQK2WOC2cQem6GQCM3fu2g3f77mg7zesnZvLvE6Dol9fID+/OdzWXSujndLWP9etevHZ1//97o8Hy+t6DEYrROWzU+4bmxQWGsqNTogJi42g270oNJHDDKA6u212GTb72enhbCIRr+87umXni8tee/2FrzbuqWhT6eFsNzAAO2VydnRYZHAsJzQvMil/RF5YcDAvNXE0JzDW7va/L0wtrWw4+vn+L//15ivLXn7xpQ9/WL+rSiTX4d2eaakJqSmJIdyIyJCMlIluiIMikclkFp1KZXIDKXh190EKXpufOzKaywvi8lLzZgcwYywKjX+5EGTr79J7ZPb7pqaHhUVweZFROWHheb57SrXNTWXbN3z33+UvLnv55X+9/NHq34vru3Tn5PYAANwIKqOtsENusjt9vW3xWGTcQF8EA3C0QJzVbNzwUXU/AaIwaGSDWVxTsXrnT28//w4cOv799mc/bSlqFYlaTqqzwwNGZaZyebzgsMTkmRTKZd2ghCbgEu4dlZwSGxkeEhSbwY+6JzcxIjLUH/pscBLtPwKo9X9732KBVOVyO6G8yJC83PRQbjCfm52RTyRFezF4Ei2ATqKwuAFUsl1VY9dXjRk7KZ4fyufy4lPHRsWOMYoVXrc/IDqN/XpxpW5OfmRyXDyXxw1gMzGOnsb1EeHMzNR0OIgFh0TkjHsI5yHb4Xh1Nsby4mOyYiJybM7TnxGCMChkIIUwIZbPIOI6lPp6ido/ARhSF9ligSsCtljgtnEHpugYNJ4TMWXahDkXNGHalAgOHg36l7gd2BVyUeOBQ20am/OcVA4YJvBvLG3b1S4VoZlpOWlpWSmxdhzG14wdRyUEJvIYGBQGwhBIJArd3x+xTVwq1aj0zJiEJA4RY+srK+tVmhCxWelp6VmJbAIOA78WIpGQkeEcEgqPxKHJXHpQaEggDo1CkKh8PPG8vpZsFvhIbI5LG5manp2Wlj962oTRUzJD0PC80RwGg05GQxgsisqMQCL/0h2y2dBHxDqCOSy4ToSA35AVhcezILvdPxn+YlajE2lDJPJovq8Awe8Lvzvk9UB2jY7ApYanZaZlpWXkpY1ZMD8nPp077HcXAwBwcTqrvU6scrjdvt6wmdRzG5ChaJEhSROnj47HdH67fc3Og0XtcjNk6kuMS81My8hKy5owdtSEBSNDcFa1l0/Bc2hwuEAi0VRGFAZ7WafuURgUOzGYSSXg0Wg0JZDGSQ5mYPCY80LfAKvzb+9735gwX0c4EJ9O5nAYGPiNISozCIP9S9NJX6xzqSNDuAS0rwkvnhpEoodDVuuZ878ep91hVnnjuST4YwyUeD0uvbYzgI4LpFPhIIZEYqhByRgEHnI4z4mxp4Pb+XAY9MiIIBaJ0Kc1CxQ6fykwpC6yxQJXCmyxwO3hDm7obpIK6kv3nlVc1SxVO/wT70Buk1TaXnzo4N6BR21zp9rsn3IDeN1Oh7JeqtFpbf6SS3Oq5W3dghqpYaAJsu9eaWlPd31Ts1hrdV9N83KPTWeV1/donb6Gh3/jsZltCpHC4vJdFQFgXhdk76ot0rlYo+96482X/vX43EhS4GD18O+8bsgu72zv1BJIARlJXMiDgtSdBzuMmMTsV955+cV/PTQ2GK7X+me+PHAFmspLj5j05JMvvv3KG+++9sYzS+4fE0uGLnljOIkabHFg+xS+vR+u4ZrVQptNDeHODtaCwuA9ELpfBW9IvptG4Pqx2SDxjVaHIxCpvLTR8x78F/x2A485I0cN9A0G3AyuJoz4uGwGibTxiEg90Oj4XGapXKXs0l4oIgA3E5Pd1aUyutzecJavN2x/6SAch5sydfaz/8qkinpLj9Q0dimRNGpYdO7C55944R3fXvzMk8/MSAxmMM1Gq97s2wQ8HpdBK3Q6fINgQS67x6TU2txOD2QzyDQqoWrg9OSVwyBxf3vfaQmBePQl+3T1nZ1Es7rEcuvA6M/wxzDruiECwReUBiAxOCyJjWiTmw3WwW0fgUTTGNH9OrtSZxj4Rk6DrMnptUHYS4dZDBIZz2VScFi12S71NW0Cht7FtljgCoEtFrg93JEputcDZ1/qpj9Xf/rq3LOef3flnuIejdl5e7dE/gceh15YeGLT+y++uOxl3+PXLYc6lf5pN4DXaTRUflvU3Nl2trnxpZgFdbtP7P3Zd3vyQIXJJG0zmpTkGU+MCCRdRjXkb5zaTmXZt/sFRvmFzlU4tVJVxZ4KpVV7B5/WgSuHZl2/WiGVy6UKudzYr1dHQxaG1S7vlopbWo86TRfehryQ22KTHNzXxZKbGOEIqRxeglGu76Y6FUinWSLtEzXV1xn0ev/sl4dMj3Ej+CeO/9km7pHI4VRKc86tmX+FQGHgOGDXyJVGGyt8ut5CLik92SmXyuTShqr9Kp2QxDl74QpP5SLQNGF9UWdfL7zkLmFlT3c5vAiIwQtVFxkbT5U3+H4B+KE32xygwcZN42rCiI/dIC6r3vz6sQ59v9Vf5CcrKqur2tM6kKoBNzGHyw3Xzj1eL4OA+8uoS16X1WpUqXQ2QuZH8+eEZEQhIZKLPfJIUXFTR3svvBcrVWqjE0XmJKqlvZ0dTSK5VNrX09K032hU+CKHQ4/sr64WSLrE0q6WU00tR1rhtN2/7CtCIQb+9X31NrfnH6ofCCQSgUK7tEqNwYRjZ2KpmWdiXVtTUZewmBbCQaD82T2GEkDjZ1N3FQkbW9vg0NSv0jixYSmLhV3yqroq+Bv1iUWVRZucaDOefumxe1BIBIdCwGNQFodLbwXnp4bFRbZY4EqBLRa4PdyJKbrHbtCe+ODZt79YvbvKX+TTePz3Nz965aXNbZDlqo63tzZDdXmbW3a6x6zBTnSGfcTeoUXNGv/0gqUfTo6FoMEB7rk5GWkzzz4Fhpodgoq3fbbk/2bnTJ6QM/eeeT8JkiMYh5v3LJw34bH7l9SrJzuhC29DDru5p3jdJ6d+fvqDF2bDr508a8bkH1WOUZJO0UePTph776KfW0lp9vPbsV8SIWJK/ogRL5Fee3XR6BnwMh99/fVNNTp4f/dPPw+BE4E06qtenHLvL4WliLwZsbpM0dJ7J+RMnZDzaGmGNWLhA6nn1FzZGUlxIWeW/Nm62i5oBlwNhqD48a8/zSd2/rHE9wvAj0+2Fjb6uvsBbmlEVuzMya8dWJTJ5t+OvZLcCeA895/6SbWKjhxZ9djgDvtoKbqNmDcpe8y4/3sr/pdnPr5vJFx435PPriizGcPuXxp9yuSLZjn3LLj3lHqmAQrzbRs8Xtoo+o8vzLl/Ws5nf3TqWA/lQtBV3TdMYMX+7X2LtcZ/OK+IobDJvLied+e9uHL9b1LeuRFp0TrFCfYrL41iUHCna3TYAFL4mMdfEh9Zu3QR/E2XPHH/rh4V/94z32j6gkVPq/+dkjpmfMRlXbD1dXcKx1KvF374i4AhdZEtFrgKYIsFbgN34KBrTrteVPa/BW9s5FHyx81flHT6vitJ86adxZVm3aP/W/NsVjj1aq67XoW5wzzo2r7G3nnfH4L/WP/wtKkJoYOFF9Cz+7tDilpr3CfPj2OePXPjdJglDZve3Vmj69amxmZOf/jV0XDOhTY2le3ae3B/aQeBAE2eOdoUNCI1jhfm1Fbs1LKC9+4v7HaGpoyZ8NgYZPVbK49rDYwJiybOWZQfBB9+jK17vjhUWFcpCaYwZsLpdBxa2NihbmsVBkt3bWuCzBHzZk2fNCvOqStf+/73W4S2IELugklTxi4Llfz+6YY6vVkHnfMxIEnb9p0FO44UQQQImrno1QQmgYrUkfNHwJsu/Eaf7C+oL+9FExn0pPuX35PNj/QKumSd+6XooC0bysxmadKUzEnzXx5x3n13LptGfPyl345pBFI+l0nJTtcokz6dk8iM9DTXlBz6YuMJeJ6Y2S9OHzsiAy3ur9pfm/JYNpcS9E/Nuc8hN1imfbcT/vc/szL/M/t6D0M1HIOueVw2k6SwTWzTDrQyQGPxISljGLYGpUwh0ZDRaF5IiInIiaKj3R6HVewKiGVhMSiE26S22qxGPBXqLuvutxsG7/hGY6GQ9BSS2qhSdsudaDQjJARCM6IZRCTKZRHrCLF8CgbtNsm1FqsLH8GD8yakWap14uwYagDOJJFAAQFkIgnjNCu0kopmMeRwQRA5iBUclswn6QVydAiHRCXhIafbdXpmnNWgkHS2itUh6el8JsUukknaBdKBD8NLjOLzopnnDW557pKZTDYtMMRJHPhGHo1cKOrplg3e7saLy+UHcRiXsT1cqasYOkun0/X09CQmJmIw1/uazJANugav5fYj76zarzVaocEdNocFiY9+sW5/TXsfBJ0OIwy3pqxd3N5g5vVu29JoNkfmzJw7aRyX2nJOGJk1/8Usuqnh1+//qGoUaXlxOZOWvDU+xCjaX6O1C7odwj/3dUFQyqxlD47JjWbqpNLaamjiZB6egBIXVZ3a88M+3xidozNi9fyJ+PARL4ykQPAW/PlPx2tam+Fki8KcvGzF+Dgm99x7jS8cJzH600smQSq5qK/2mCVrURaD5JCXbS08uOvP9sFoNmVEJu/KzlH9gztz0LWLHPjcJqmiT9QoGmhZ4d/Z0W67RlJSJ7Y74GCGowYERGfAe7dDWdkthqMZfGAwQJ0r2yLfT0ubOJ5nt+t6Sxu77Q4XkxtEY/OdLl+AcvTLnTgchoLHmhQCOzeEjqfi7RaDuV/sCowNwGFQXl/os1soXBbW2C/34HB4xoXfFzL19rsJBAKXRfKdYDTKZQMz0xFOk1xQ3dbPiuHzeWE4w9lYxwwNCInKDDrvfJLX7XSqWxo6lWqDDSIxcSHJI/gUV3+V/xsNhNxMPjMAjoSmMzEWCdnUFpu9H8njk+Ekx7+oQbfuhnQDI+Hlu9yqGnDZ7szQB9wQwzToGuq9997z/zlAIBDs27dv6dKlFMqlmz/dbAoLCxkMRnJysv/5hVntho7iFb92ceaNW3T/4rtHZMQNiuC4NaoexSEBd8b8+EAS9vr0p7lp0yYejzd+/Hj/86EmUOo3VwrhP+5Oi44KoA0WXoDHrVE2SYWlbc0uUlgoBY/BwgdrTZ+s/ojQhvMQgpgUCp6MVSJpcQGQonxdQ1ufEhMTGh7ApZkaWtxoRkAoUyEuWbnJkERCk7g4s10prau2k2gYLM1mdNPsHm5MGE5Ts0+ks5owgTQqk0mG5BgmH93dWdxcWy6jxwfjSDyUtQFPJhBZUUyPqk/UYmcmB8XlpseGxtEQ2n4rmhnIJGHwJJSSHRFHcygq1jc39yiQEYERwVxufFIGyqCyaeWomCicsmZlUadFhwoODmazqF5dkYkWEkTFyLrr61fvMsVHUAg8usfuQtk9QbHxNAzkO90Ks6mN4orvDzU5CSE8XkQA0YbQ1Tki7omjqhR9PQ3dFiKJwuXyKJCZQCJgcFh0f4eck8Ej4yiXcZneZHduqGyD/x0XGzQu9nqf/4K3AXhLgDcAeDPwF10zBBKNo0cFh8VFR/sekRFRLHjd04IDg+GnEZGRbBabR8XjsVgijkANJKFRA78yEkvEEqkULI4SGBUS4X9tdGR0NJtMoQawueHR0VGRkTz4tQwSnoCFq6bkQDp+4LUoLJlEYlBw8FvDC8JSCHgiGYtCIgl0OgGD9bXw9M3BjouIHFhmKA9eBBqFIQcyiPDK8n3kc2ZG4uAKcVBkdBSbTMKi0AQWg3P6w3CYTMJfa3LnLjk4OIRFP/2NUEQym8cffGF0HIdBJgxPm42d9UKhSh/LoS3Mudw1iMfjuVwu6nTb1+vJaHf+XNQG/zsyMmhU5NVu7XaFvKn5+MZWVTCLF8TjR8RH8tmR3u6jq2t6UDhqcFAwGYO19FbRwiMZSEfzkca6onZ6MhtL5qItchxFgadnUixnw0gYLdLVdlhos7oJbCaNQaAi+hH0OILk+IY2hUJOjgwiELlIbTMhGE9nhrq00poKW0oa3S3vOlpdUSR3xEZEcHksRIceTccEJGYH6IXHvmnsRlmpoZxgMgNj6alisCOZjEDiQB8GXgiyiEvWXihOetWDS8bi8JBa2SOuPqKOGBNlF5VI+sT9CBaZwuFSEEYinUwmB9POdohw1a5iy7kNXOTAh8RSKOzQ83d2FBJNpkdEhw4UhofwA4lelKWj5mhZbW2HSC5TqlQGSnBs4ti4YA6NgEWTAsIjYuA5g+FNguoPUPBS8QQiFoVFERiBZAzO1wcGBoMj0uEnA/FrIPRRSGgEEoEnU+AU/ELv64sqaAKDSiQTB2og8OtOz4xAo3D0wIjo8IHPfF6sC+YGUf5aYUEgUSgSlxcS5ZshLDScjkf7PuRgfPaHXDj0+SLh2RgLp+5EDJ5Cx50+Jp7j1t2QbmAkvHyXW1UDLtudGfqAG0IqlVZVVU2dOhUO1v6ioXAHNnT3QF6HQ+8lMqlUBvGcy114IoNKZRK9eofDe+HGsbczZlJOAn98kFpQU1Gzf39BnbBTozVKWhu3bW+wRbMiM9NSCES88MgJgcHQXV8rsgekTXvx3ddeePW1vFAWDTtwa6bTjbD0EZNn3L/slXuycsmqQ5XEiCdefvSV50bHhLglHQaLrHXb7w19WERQZlpqUFSY6ESRQNJvdpvceExE1F3vPvvyu8+Px4filGInLyB1/qMzU2ctWvrA7Ln3pERg2Skj52TmjMpMS8IQiV1H6xQ2Y09jSZOGFpcHf4w3/v3aG5Nzo5kDZ5WcLouibdthDW1c/oP/ee2Nt59f9ugIXXm/QimzQC4r2qoLil/2yqNvvP3MmPhcd6/ADLlOr2ynoVfVtqsau3Dc/W++8sZTi+/NDkXoUZDX2V9bXltX0uVKS8+EHxRFhbSjRnhlN0oDAHBl3PousbCtsDdu4dLXXn7j3dcWzZ0f7jF0Fx1sZGdNeeyFN9595eWHHr0PI6gUKftNbsjoxWGxUfc99dxbr704NS4cL1dhzw0jc4PN8saN2+sdGHZMWnoGl0joOXxUqLeZ3Wo3mR+Ws+S119547bkcPMKuUpzdt+F9v6PHrqPN+dcb7776xruTM9kcohHyWOx6UcmBOihn5oyX333ttTefefQBdlupUqnQDN4k5esNUdJ44Tj5d3AA0nUf39/YINfQM9PSEtOS5O0dHS2danAP5Q3j9UIurVLY2l5fXV9f3SwQWSOeig2LCbn1rlwAAAAAt6Q7MEXHoXDckPG0nqKK4kMVNdIzaioOFVcU9dDGh3DhWfwz30FYCYtmP/PDt5+Ow6977/vfNu9urunvban7vXz7Jy//97VlL7/58Xcbj0kMWoOmucU5CcMcmRIEQWg0FJE4ikRN8i2AQcLmPzIiIZxFxpMYwempWY+NjSPjSJRwHocTwza5bK3te5v2f/nJF28ue/m1t/7z5R9tcqXG5bInxjMmjMimQ1gkxAufwOKkDnycs7xup13f03To5S8/fPLl/674akdRq0Lm0jQJznyM85ictj7B3rviafExIXgIIuPIUSMfQ2PYkNkK0SMC/J8KIgfwgkJjuP4XDTAbJXLRvhlj02ICWXgIT6aHxKVno7EYs6S1t3zr/g3/HehIb9kXW4+Wdujsf+lHCrgmXl8X+Zp+g95odbjdNpvTezWd8AO3E5uq14xRoR8bG+nbYX2cJq1B1uh5OJ8XEcCCIAwjKDBj2l39RprVboNSA5lTJ2XT8HAcCQpPYnJGDbzkDHjv7qhZ27b1na+X/+vlF1/4YOXP+3p1Kq3X7ZoQE5KbnUA+P5r5WSSttigMaXZ6BBztoIEAFZgKOQxObW+t53F+UFQ4E/4cLHxQzqS7ZHiKBQ4yPh4npGs5G6AutORzwGm9UFzUfPyHNav+s+zll597efnakw2d/Q4QY24cJBaij5j75lefbdqzcdOetT//9uqUiMgrHGMCAAAAAK7aHZiiY3EE/oT5jwQGt+xevXRBzhkLlq7e3RIc+Mj8CXwC7vq0cr/5UAjsMXdvO7J8RC2/f/cJcTiN/fL7207u8nUgV3l024ZtL02IouCutp4CV7OXLP3wj02DSzt4/OiHC6bEBlyyUYhT3SIv/WEPc9VTX5Qc3bf5+9euunueqxc69qHHvz7u+9gDj89fWTruFutM7+bmsUPqgt9ffeib/60+UtuvKi5os9tBr9nA0CLS2Pd/dGDdnsG9+OCuHW/fFUv1jYZ/U5gxY8nqX09HmKNfP//kuCjQVx0AAAAA3JnuwBQdgcCQ8akPvPvu/z07MZbpv4QOU/JG3LXgxXcfSMWTMXdsf5pIBBJPDOQycA6UG+ml2qlph+tkEIQL4HJ53MCAQDoRzQzkdnU5O8S9RghyuSBRS7HZ0Ox/+UXgkBgKO+uIyK7ROZm+pXG4XAaJgEFd8qe2W5Rq6QkGi88NCqWjbDaTuBWJdtITYzHHnJqSRvjjnYeMwQfHztndpm/rENt894CbhCVrXE4VRLrUyQAcjkmip+0X9EqNcHpoM+nE7XVVLoeTROPqOx2dJXIrl8eGPzmXx6RR8KCb+CHk9kJqW/D8ZZExJnnFe2+W27wO79BesVK3FjWf3FalgxznXp33OCBdaVlDT5vYZpZVNO5+eFWR6AKjXlt7uk4eXvX03kat1SwrKquvvuxht0zisjUFm94/KIJs132ciI6OjpUrV5pMt+q5Djw7lORku9ac6jLZB8c9xJAZ1KAU5G9lUlG/GoKcWpmy9tDuAIqegLtkD33w3k2mpZ+sl+ggHN23F3MC4XCGQVw8ABFpXLXO2dLRbRhojy7tLlArGyAsFcMIzUD+IpEJuzW+k4g2WeWx3UE2I9EfZJBIiB7AuXCclLhcfwhEVqMZsonbOtpK90EoK8SmxdVpScJuLdUXG+EHi0rBY+7Aw/MtTiUX1R/4uVRpdlzZTQqyoh3793+yp2lwMzvN6TDLq37e3SySwlv7FRkYMfSbA+2mC44Yeqe51SOh7wDUUfbT/k7z1R9F4Bd2lpW2tbVenxFHJG1l1UV/3Z4v5mLHXwC4U92BdQCrwyws/3l7RUFNl3KwL2o/o0rWUFix/edyodlxx7Uw1DQXH1j32SfLBx8/d4ZpKaPzMiJS7k5w/7Fq6xf/hQu/W7v+YKfdhorIyCKblCdW/2/5Z199/ll5r1rvuIyrPVgMKShlcT6h9diJr31LW/H1/7bXyuXGCx9yEEgMkRdjLN17aN+evb1uKifefnD11m/e/3XviTo5REWgkTh+SkYErr/+0JfwB/74s0+OVnRq4MowXI1HEwPiF+Thmgff6INvVq/tDJ3A5/OCLjW4DJYeEpg0N7bnt8NrP/jskx/Wb6/q9dLcEAITlJsSQeLp937zyfLPfb/PzoNFPVc20DJwcUg0xEhIGTUpb+S49OSMzKwELhY9tFc3bZo+dV+nwg6dN+yw755huVxl1BpdKBydEpgawiDAaZt/6hlIPJHJDkkKpGBQKLNU3q+47GoEGk/ns3jRAcQLdL803HQ6XX19vcNxqw7cj6JF8kLDs+mnNq36+At4v9u0Z2c3khI6cmxYc8X+77/6ZPn/ftyyroaYPSKKF0C+YE9Q54URGYWTuijLueXklo/+By/tux+/O9SqtLkuPow9vO/HMozUjpUrBvb9ozUqhYUCIYk4avjIMRG60t3bvlj+2Wcrf1hb6cgaE8zjMAfP3CHQEC7ygnEST6GwQoOE61eu+9/yXw8WNmowgb6Enh01PT0A0d3yLRx5fBF4Y0F9W/+tuuLuYFaLXtXdLLc63Vd2nw6OwQ0IiAz0dTx6TpzweJwWRXOXWm+2+Usul8ems8obunUOC8h3bv1ICLkMBp28uUfvPNNxzhWDX6iXy7RazfWp25q0coVUpL78X/xix1/gH3i9XpfValOrzVKpqbfX2NMD/2uRyexardvh8A6M4Qfc0u7AHt1NFnXt3sde++FgySmJyuAv9NHJulsqRLVN3NFLUnkU3FD2yvfPbpYe3XWCysqKE2V1CoUMfhii52dmjJucyGMGh7gKjrdKezsVMqMHS4wckRzI4oW4xSpRTXWdQqNSsFg4c2ByREhUCBGyGdGh2VwyluAxWdwoEy4knYvDojw2sxOuKgdEhAdFx3jr6nsFLY0KmUqrx0SOjmEjEAgSlsCMC6H6PoZda0Yx0aTAECoCQ8RIyquFJqQ3NHlibET38ZOdfT1mGo8VkZfM5mVGcdhctrlP3lVd0aJQKxTcyGwOjUqnYMih4UxycLSravCN+g1WdNrj/8pOCOSgz/1UCI/N5EJiIFYoFw8NXklDYok4WiCn93BLh7i92wVhAuJHptP5uRHB/BiuneTpOFHYqPT9PnRmaGh4LJVotzkDojlEDOEyeoq9lXp0N0s7BU2VNXXC7m6hk0JDm4zdbc1V1c2dXcJOF4pKJJCQcJ2hv73H5OppampukZkMEJoNKdtKylraFToXGkej4LxOY2+T3mGWiro6a6qbBxdFwJGQZoNM2FxS1tQp6Oy02CEsiY5E2FRtehxa3apXGVQeflBQcGgAGYuy6DpbOysq6zqFwk6Nm0DGE303Gp/mNMnVOqnU7FFWlFcJ2tvkJrcLR6dhvMbeHisGC2GxaMjpdurFbVoEHmNVtuu0Mgs7wlZfJhC0tmtsBiQ5iISELJ1t/SwymR4WSCUQw1icIDoBjbar+8XtReVVwk6B0IKGCGR2AIPMY4RglE2VJ041SsQ6L4lIYjGc6vqatvr6ps7eXrEJBe8LGJRLK9UrhCqDtrqqyoRg4sl8NovP5hDxTqWotqa5saG1UyoWQyQeBYtGXn4Xw1fROa10eLoYvRxD06M7mkwgI9nMzoLi5j6xRIFmEfhJo2NC+dyu2pb29rYupYPojpj9r+mJoTS0U2eDsARGXCgc45CQzWxGoTHkkFDamTDiDs+cmJoc5TjS3NrX3ilTGN0GUnReUgBCayNwAhj8QIqvG3abTodjMGgMCsppteGjoukUHgfqRasqTlb6AmNQ9Bhm5Ggeh5vAobKCufLaRmF7S4fSbvJETnluTko4neZfo/BmSmHzXP44qdMoIqIjlORUflBYaiidwPJHs4CIoOgRIwn0yLQIbmQ4Tt6vrimvHIjAUFA6P5jPpw1BWx3Qo/uV9I8NR5V2UXNZddOZmIP2mKTS5pPVTQJBh2AwyDBwXsjY06U3yjs65HXVdf7g5nT0NjWfLC2tkzhJBByNRiR6XapeUWFxXaegQ+12w3ER5/IYetv0Fl1DXVdzQ5NMJfHSgshYNBZNobD4LBaDgEBABnlNdSscVcQSkcaqqxeTMuNZXBbZpjNJ60urGtoFbUK5UefGsRlEeDs7k9B4XDZjb0F9Y0tTq0wq7rVZRFL6lBg2gQGdjWZqNwntGwjjaq7N3Lob0g2MhJfvYlusQylXaeuktPFpHLdaZND2ieXS6tp6oR5NJLns4g5hRWVTb6+LHEzAojFOte/grLG7uoubW1pb2jUaA4oSRMRAyvZWN5lMDQmluJ1GVdvJhuYW/1QuEeNQihR6lUSg6qquF/gWhTZ393Q0VLf2Siw4eLscGJXAalFecnumBJFtqrqSqlP1rT1aF5FIZLHcqmpRW01to0DU06NHB5BwvvEOPOdsz/Bu5cFzecwI//EXcc4bdQq0NgSKxCIiB2oUJk1HV2d9XV3Pme/7zwfR2zX0eZxOOAm3SKUGoVDb3KxpaNC2tGibmnQtLfqODqNIZOrpsSkUTqPRbbfD8QEJ/6LIO/By7HU1TEHmDhwXXW9WVGye8dJvCk2nv+Rc0UzOwysOLMzlkK7PqBc3y7joV8DjMGstVruvyZXLCvX8+ZYoNjMu9ZmcW2+DuZ5ukXHRvZDHbq7b+f36Lb8crESTmNDCFd9OdtsO7diwdn8dRIJc9y77ZsnsyTxcU2Pxjzsdo7Vbt1e1E/Lyp09/K0ax5pWvS/pDYh54/L4n7xlPMTSvf76Dl9pR1Ny073A9kWqf+dbKB6dO5mk7jm379s1VFRBkd8+cueyhxU9EhihOvfeHPVa5Ac68jmtjaCMe+e6NBQlMWcsPq7Z/u2kvhIU82QveffXu6VkpzDMHZG3LrpOC2hpHHvKr93836PT8kY/MuP+5x/Kpwo1rnFNn8qJigiGtSdf8+/K+7CWjyeYT4paTnZxMwcdfV+t08rQ5I+9+4tu7Ugjag7tbYjjc8EyGzD/QfSCO0Vd0ZO+mV37a77uoNeftpxdkTWe6j/7pfCC/+Y0Vvx6sELo5WaHTnl39Irf93x/tLqgs97LIjLGPfv2f2UlsqG5TW+2hZkLkxh9/n/jUdyNouCBIjpk3N0ldsPaNr/aWNHV5w2mM+17b8sjoYCrr0vd5+F3FEK/DNFDn5RiycdFvEw4Iatz1tZgcFpUzL+X6HFnOAOOiX/6Bz2UTNe3/bvfmjdsa4WrWqEc+emX2OA6hc/fBVe/9WoM02V2DQebJsVRc+5r/CQj9B4u9JUf2E2n2mf/9djGfcWjr9q/Xb7di8ZSJj338yqwxNHTZrl2v/m8HBJnTlix84L7H8wl44c43O7hBWzd0CVvK+Wn0uf/e8nBesKusohOrcMffNYLgshTueuZ/u4ob64MiCamzZ2ndeS/fl5oWRpVU1R388o1fqnRGhyd0TPbMxe8/OYOPQ/oGd4N5XHZ9T+n62d/t1bZI4sL4/GkzkO68r+clkHnG0mN/bnn9m93wXMkPfLho3uwZSeyrSNJv3Q3pBkbCy3exLdbYWNcmXFsV8t7ilP7DH7erlKUK7+4dxz2Zy15/JJZVcvDk2q0nqIxZbx14cHRItL24tq3xG0HgpI73dlbq2mSZiaMWPvPdvBHE1gM7nRwOPy+PYe5vOPXdsjWn1O3KvJTRi577clqm6dgPB/SW9qOQ+NiuLsbclzZNwB0qOPzn73WI04djAsbR03X0ktvzK1sepja9sXzTwdISNzcgbMbzq96OELywf/eRP8q9WAor/fFfnp2dnMZFW87ZnqOmLps2ecZdULHv+MslBUCCziM7tr/0/R40ZPHY02Y8P+/hV2bFWgVwjYIQfLi8o7SgmHDm+/7zQfT2C31wcu622awKhbq+XlVTo6qtNXV3O81mBArlm+RwoDAYFA7n9XgwFAo9Pp6dlRWQmUmLjcWz2Sg8Hp7NvyBgqA1TkLkDz6xQiOwxCw8c2Qb/ohew7ciBhWPYRDC0yj/wwKlRw6Znlz+aM3lCzuTZsyevRY2Li1+QxvFPB25pg922fd1PCFjq67nqzyNHnxwzImn8+Kc//Rp+enj/0R8DXB5js8gCQT0O6I9y6JEXP9yzaQknpXvlY/vY89Ye2LBuUUSce1tNN5yAQ1DxtiKVI2fpRwUlf276brn5w772ukZzVOz05z8qqNwPL3DdmKwEa3GDEbLaoS3FUMqbS76t3PXV0rd5n1V3GZWm8JQlb78Bz3b0+NHt8yiQuadT4f+cfpXN+pKvJJNX/370aMG2FyNY2PU7itVw5u+ffL7uTlnDLyXs+347sKHg+E9zKSM7V/4hgKx/v9PCUH1iW2dj/ZjvCyoPwu/+5uKHBzdvNBGKWfj+q0++/enXj7/z/bYXp0RR0qd8+PPn8DyHflv/dW5nXZe63+h7I1vvRufkX7YcfeO+MakBA8tE4iDWhAc+37AGnnnPirXveUqbtNIraAYIAMCwEx9/t0oHUR4/frSg+GjB109OTyR3bqirP9A58/D63eVng4wGsnug5i1qR8TCB3zB7efl5gKLDE1esHTxj98/NfuD9bs/fWw6H6rs7O7hji2o3AHv9a8mxREUexuMDpO74is5/ZGPXis4ueWt/3uye0e90nomErgsOsGOlwSj5s/65eTRjd//vohraECZ1RCkqq2ur31DOO+TjccPFFRueiF6CnrNL8VaM/w5BpnE+tY/3+l6dtZb+/cWrP38rXGBvcUot90XzTqtooDHBrshfCVWSVQUN5zbehC4xTQWGh2S2McO7961fWb70S9KC6FZDxza//tXzxuKq+TSfisEqTsk5T+dctyz4/2NlXt/uXvWqJZ3drTqLf5DnUkiFBzY6rpvGzz16L6XnnoQvXd7q83qhI42QOgpI94/vuXnf7NWLNrbGBi3ZO05h2Oj6OTlbM976pVhSe++/fC7X7++9MO1O96eE0vNnL7i5RXw5leyc+MvM4VVZrW8//ztec3y5xelnql0w2+0uaGplvVj5ZbDlUd3rZ5FpAtWHRVAdhdco1AzIu5+7+j53/fOoe/oaF+zpvTFF8tff735+++lBQX6zk5zX59JLPa1b1epLHK5qbfXJJHo2tp6//yz6auvyl57rfTll8UHDlgUCq/74vd1ATedOzBFRyJQeBKHG8i7oEAuh4RHIUCjkH+AgCBy1KTnl7y+6osvV33x+ZdfPDVrchyXhQUn524HHqfdICjSZfLZI9JSuQNd+lHwOAzeLDlUumPZy6889/IXv2wpa+jWwYkoB4edOTo7JiaSH84NS4tKGTlidAQ/hJealMbhZMAHUwgDQcnjR44anZMczA3lB8fnpcUaXZDS5Hbo2kTHl7375rKXP165+mBxo1ID4fDQhAnxyfEJfF5EWEJG8mQ3hHN70B5tU+Oxr15++dmX3/1qW0GlQG04v/Oj+PDAKf83NSUihM/lZkalObiJ1X1q6B9uA+UGc3MXzBkdHRrC40YnxMTxeQHtcv3fbxo199bruAjM1PwcLi8Y/hHoZH+7UAQCwpAYNAqdwSTTWYE0AhqJ9cgLDm764OXXXnvrs1+O1HeITVY7/EbMjAX5KWF8Po10pssvBITE69tX7fx52ctvvvnWqm0HW7vVFvvgNOB2h4ag6Py5+en5YZfqEAO4UeCQ1dl1LJqoy8vNjeZyg7hcJoWgUNXTDHWjx46N5fOD4SCTOooTN8o8GGTCJ6SmjEqN9QW32Ly0IDKFhCCRySwWhcgI4DDJLrG0af+u37748MVlr7647OXlX67aV1Sv1KAJuIR7RyWnxEZyIyLDo7KSAjwopNvfltHktEiaN4+J4mSmZUZwgyN4EclpqRgaFdJIK+36qjFjJ8XzQ/lcXnzq2KjYMUbx2Tq3Wd/dJ9iaP3JMalxiGDckLDwmITkZjcHA0azl2M8bv3ttcMTQD374dX95Z//Zgf+BW05kamj6tMz4oCBedEhwxOTs2Lzk2JAYHrwNBnipWN+mROXz0+5fMCI2IjKYFxYfHx0cEiKQWlzugRxdrRfXVKze+dPbz7/zyrKX//32Zz9tKe6QqlxuZ1ZWaHZGemgYNyg1MHp8RlZiYmLI2cOxoaun4TK3ZzyWTifTmXQKg+3rkhOJdUlb/1y36sVnX//3uz8eLK/rMXQLz9ue2XQq6Uy7DmNXj4Yjw8C1Cx4/GD5Wj0vLoSckiOQ6jNuTPD4xfURiNPf873vbczsccNbdsXFj45dfCtatkxcXw3m4Q6+HPB7MwK0E5MBAWkgIIyKCxueTAgOJTCaGQPA4HNb+fn17u+zUqaaVKxu++KJ3/36r4i/XOYCb2h2YirqcVnnbvv/9uO3w4WbFOb2w2BTNhw9v+/F/+9rkVuffL60BA+AUHceIyE8fPWfa9DnTpkyflhnOo+JBgn6b8ML5s9LDp+A5tMGRqGE2cVFbr7wLkZiWDlcck4PwWLyvu2IyChkdwiES8UgMhsxgBEWGcAloFJJEZeKIA2PVw7GFE87n8dhUDIREogh0NscJIY2yenFXXYkpPio+Iy0jJYxNJ9nsEBoFRYQzGSQyGsJgyVRmFBKJhjTNpV2S43pWWnpWWm5mAh5Ps/9lx2QxSBEZ4TQsGn4vMoHpJnK1cIr8D8dsMpUcBB/cSfCHhDAEEg1PoRlt9vNv9PFxmbRuGhITEUC9eHx0OyBF+e4OQxcqJC0jMzU9Oc7hwvmqQWQqPjAhiIY55+4vr8tq6dhTJUOYqclpGenJyTFMlxMNTmnfKeAtgcaN4LK58L4A3Jw8EKQ3SjlYB4dzdvxzk1VNcmtCQwJxaF9zWjKVg6eHQnDEguMGPSKA5YuTcHDD0+Eo95fRSJ0GE5rs5aVkpWWlp2WljZwzLT9nYgQFhUGxE4OZVAIeQmNwcDZPQZ7tSdLpcZt0okgGlkGHQyESiyIy2YFIHA6yWdSQS+2PsdD/s3ce8E1VXQB/2XvPpknbdO9FWyi7UPaUKQiiqIgLBAQRB/K5EAXFiagoCrKRPQsFSxlt6Z7pSNOkafbe83tpAzIVsUVG/r/8Cnn3vftuknPPPefde88B0MQgHDkMsFp97ei60mGyGIShwXQyBhyOwZpB94gFhUKdJi0cTw5KyEoB25DSq+/Ix3un9+IHVgk+wFBYBHoYDQ+BQJBoAjUiyCeEoKigqXQ8FNUZvAJFJLISYoPwCDQUgGHweDSRbra6vN7Op9FWpxkwtcfHJKenpIGymTOwX860/qEEFBwaxMYzKRQEDAIjoBlRQUE+IfxzOHbchTyDgGOctH5fg1QIp6ZkghKYFG1HIVwmw3XyfB1gx3GRbIiIICLgK0PQyEwknWW22aFeLyuMTmMRMb6ucc3nfbhxmkzamprmbdsaNm0SHz2qra11Go0oPJ4aGcnNzo7IzY0eMyZm/PjosWOjxowB//r+M3o0f8iQoF69QL8dCofbVCplSUnr7783/fab+Ngx0L0PTKc/KNzYOx4BHE5za+kPn2w/dLGozXSNxe8ytRVdPLT9kx9KW83OwArUe0ln+NkKkdZ5t+FnQTPFrhVKVDL1DSlmnGa5uuVEldRgsN1yatXpdmpENVK9weYGXDaDRFp1Uqi2PbpRcCEwJJkJlRhtcv3Vb9LQdKDNhERnvbV06fJXZ+UkBlP/NsFVJ+AXLteZjKBt0Pk96ztqPWgPAqopkUrq5JFvzlu4ctEzEwYl8W43r+jsKKpSOuWh05YtW7HsxSmZoeybDEu1wynRGQBf4FKnWqdAapXBFKILCmk2mk1WGyhXZqu8tcXj7vwsJrtTrdLZ3T6j1mSQ20wSKIOEujmKChxPgek9TqHyrxPGeN02R+vJAn0QJfvpZUsWvfLkiHAcGuUvvBGP06yu+KEFmhkz6p3XFrz43MSMIAwy4K3dc8DfUy8TylQyQzd2cVDMbHKh3OK6tY75h3hcLkOrUGf+x0G8A/w7QEVAInDkDqRc/me+BjyGZoZR28QKu8s3XefTG7o2AOznf5+XFYFC4Rnh8QMmv7hy8bKVy5avXDZj/OQ4ur/01sAgUASa2Wxx+dQX4HG4LRqVwmO3A2gsDYDTWsQyq8u37Mdm6DDrWgEM5mo7YDA0HEVv1Rk70725nHajViX3eDwIFA5HT4/rO3f+8pWvgW1YvvLxUYNj798d2QG6AbvdoVRprW7fwOgTFZMYwqAioV1jHQKKIhFDI7MeX/jsq2/7xPKl518aEcdEw/9mogV5F/LsezgN2FvKzulctP4Tlq9Y/Moz48NxTPSN8nwdCCIerkc7mzsMnQvifCO7QyX3Da6PYDJkl8UC+ueifft8k+cFBVa5HI5CkcPCOJmZ/JyciGHDIoYPD8/NBR3y0IEDQ/r3Dx00iD90KHikqwg8yE5OJgT5Jk1MIlF7Xl7z9u2SEyfMUqnnwU1w8CjxCLrodrdDqSz2BNNC+MGMa7KF4RnB/BBasKdYqXS4AytQ7yWdSVy/OiIw3m0SV9B40tcdyC+/WCP1H/FjVVYK8pZtKxGLb22Tm6zm2uM/FDS3qG2A3SC+eHn766ca9Y/W9qZrgCJQxOj+pJJWZWFppUwqk8tkRpva0IZ0dOCdBlm7RFx3ud6ou7OVUuAXXt0samwUimWyJomo5NwebBCUwiKa3BYREzCrFbJ2QVWjQtrqP/9GrFYd023me20yqURWV11oNDT6S65SbzKerauTgsiazleVUIQtoxPC7Rh8nqiprrleKm2pbynJP+mwKXwny/TG6oo6kbRdKpOVVl9QSkspfaK7ZuCvAxeSQupw248VFsuk7eCXoDOZrs2lDkNAnTaXTi3XmXUGRSTERrEaZW2t4obaPKer80a3wOtxGYxNJI8aatZI21pEDeXVLmdPbwhFIpFkMtlvmAXw4fIlBz5wsfyiyOI/0g04tVJV0YEihVXbHTaP22ZtOXqgUfaPU2EH+Hf4NiOEDxWY8RcvFjbJZB0ymcZoZdFTdITks/knBRJxe5feaLqAD6Z1zu/dAhgU4oVDtGqFxgQnUa3N2PpDZ0qkYp/OkWr0RtvfzF2hYShS8MB8mdanvmTtQqmwuqLSqTcAVE4mkph+5vTherFIIpPWV59raS4k8VhX4z+hsEwSu9+52kqBCGy8WNTaWFcN6hgnjsa3CY2Cq9pMptWbHI/aIsFHTRMa9PrqinJRu1jaJSrSEnLvRBIS0TnlTMAyXfS+J88VVjc2tIFiqVCp9XbPdblIbwmezrTduTzDYTCn26lVybUWtUETBVgoVrusVSqurctzmhQ3yrNKZzBfHWQJ4aHkDpb9yo18I7u5oYHPJt+u0z20eN1uQ0tLK+if//or6KiDb9FkMjMxMWLEiPjJk0G3nBYdjaZQoIjrnvZDIBAYEollMFhJSeCZcZMngx47OSQEgcXa1WpZYWH9jz9KT5+2KhSBufT7n0fXeqtSaVr1nYm0r2DUt2pUVf43AR4K8NwB6TOPvT4sOpr2t2m2sbTo0bnLjs5Ip3PvIM/7w0lnVLNxsx0a4YdP52TmjhmW+11BO2s8rKFp75zMsZPHrakmY2z4O4uPjAKAfhz12cNfPpWbM2T6s++qF7+U3D8+K2UIDRlS8nzmlOGZKw4JO4y0BP/5N4JPzuGKK0ULh+ROHJ17WonXA2n+kqtkAnqC+nTm9ImZuRO/PguQ+ryem4AiJOQsM+7d+Nn0zFlvfrgN6DcOQHU2OAxnwxKrV82cPCA3Z+ovSgt94dP9aADqZhVI7NV7JInP2/ZiTuZI8Ev48NdfKq55KMGLpNWdFr334vSvL6lTxgad+v7wM4NyX178dCWQ6wRu983AUYToq61a8s4WWWSCG07zF/YU8fHxb7/9NpHYmc4wQIAAfwdvyIIYndGnc3L65eYs/O5YrSlyfBy3N/Ht4TNH9v5Tb1BvpTd8sIg4Gwf31kszXt90zIIfPSNjtF/X5eZkLv104xmx/7zbgEDhQvvNWe446lMUuU+8OHObjJjsxoGagp6WEMNbjFu2dEb/UTmZMzbLz9BfW9yPQrjSDgQtgtvniYXydza/Cjb+qaUfnFWE9HPDUAAvd+pk3pir2ixn5drNZX/TioeOR00T0rC2BFz1lhkjZt1CVDC06AGDnnsz9seXPprWFxTLac+/vO6cxng17uBtCUuaeufyHMYm12iFbz415ZOD6vRY1omaA49PzJk7fU6FGhwmeTfK89yV67dVXrXGCfzMMRG8Kze6MrJHdz5Fe3QA/WerStWya5fo0CGTWAyBQjFUakj//lGjR3P79EGRSHeSRw0Gh+ODgsIGD054/HFGXBzopbtMJk1VVd3333cUFNhUKv95Ae5X7kXSNVP1rp2H8vedl/jfAwC378ScsdOmJnazJ3RnSdecNm1TwTtD3iqmhoxasvDZuf2DOw+3n9v0w/q1expV4cv2/zAxmY69N3F97qOka1ZRi6T1WLkpXr7lZK0ZlzpjYL9MnnTrxzuq9NzRY0YOndAnFOeyAuK8tZuPlDa0k/mpqZOWzEwm4NTnLyoMldUy4qnTebkLXswhYgtP5u85eQ7AAMDoGUuHxWDONpzetu2c7yZRYxeNHJjdh4d22TTi04t/OaURSLlsKiEjVaNI+HhcPDXcU1N6/vjarWc62zR48OQRY6YkXCeLZqm24eTbG45ojVYASI5OH/nk0r48QFW0/riFYFIzrQc6r+26US+8Rt94uSUsN4qCoRj/rLmzNCpMWZj34ZebBTYUt2/OjGmD+oSTGi8BQyLbvmzH8Hlhvvu6AKD14gEVmhkUlYRw3Hjf/uBYc4fDxgOSdM2HU9vUIpK0yowAHAnwUtNZXrdMImrtMMDhNF4YFE5lU3BkuEsn1qKieXgEHGqSmiwWHTqSiwdgUJNW47TbETSCo+bX14VhQ71YNs5qhCPRvKQBXDIaCzEY5JKmqmY16AtzuCgck4hG8cgOgRLNYxCIOATgNLvNCgnAY+BsdlGzpKlNCocDvDCOExdEJ5P+3M2rrd13QVDbjJkcBoCGgovKCuOHRnAocDfgULZUCqRqvYtIooRG4NQAI4wGd2ksWqnW5RaL1S6Xm8qN4fGj2VjfyTIjDoXGkOB2h16hJ/BIaDjCIpW3C6uEGt99OPERXCoHBSiVUC6XAINbtE3NErFezYzsFY02VtW1KzQaHB4exOOZ0Sw+HbyRzWpx0yNpSF++fZtGbbPboWwW3qFs7WoVDk/mgD2RHM4m+j7vnfFg5Y/prqRr5o6ihvz3N+YBYJ8LzprYf+S08VEwUAUdULPswkvOmpOHG/xKJjudQ7u1ZjA2HijV2gWtDsXJQ/pEoOxCi9GIjUkdNn7qi5OTicbmQ2uPF5QXS4IJlNHzPsiNoWA6ozA4HWZF5bY9jqzRvKhIHgZ8q67cdgkzNEh/+VKFT7khASBpzPwnBmRFMnWN/nR9bEKQ5Wb1FU3vvNbBERU1mJXWyMdenJpMBHzRkUCVW3Rqz4Z9Nb41J35dxzAZa369mjWwGwgkXfubge86TL7eDeocAAZ6OmFJMcEsFFQjlZTW+nQMAPj1BsYFmMQtNgoWi2fj4V63y6kWGzFMFAaHssu1kss1YhonLiaYBvWo/boOdIB813KDaV65wM7mkdFENNRjM/t1DlRvtUHtXjybDL2qvswoPJzCBYcYSjgH1IwwM1hzUY0Y8E2CU0MYvIj0oGstKI/baVILLjYr7AY7AYfDc7gIgBTPJiBQ9mu0GcDlRoaERdKuhhq5cx5NQbpn/JXEugwGk0Wsw0RzCaB0WGFYGIVDgV0rhFC3y66W6LAMCkZfVCWo/749eQZF44K67X5RAe1Zo6zDg0KhKVS4266RnC8X2x1m38Z1BiMiJZoAjucILAbHpqLcTptaIIPxWDgiDv3ncAy/duz+G3lGwwGdoEMiEvqGyXicsUzWLpdo8HA4h8czYVkRZDy5s6f45RnHjmCzOFyotutatOfaG/lHdhLEaZLU2sihWDwZD/f8+Xlxt42F9EBLrMtsbt65s/6HH9Tl5V6nE8tggJ42KyWFEBQER9/ZXsMrgF6ey2rVNDW1FRZ2lJY6jEY4Hs8dNix6zhzwL+wf1hbgloBec08kXetRF93qMLaVbTxQUH3890sV5+v+fGBDj+ubkjtt5PARs4ZG0DFdy2+6gTtz0QG3TSMveP2ttw5Xu2JC+w5O7NpNo6o+c/5ytT1k8IINa5+I4OC6rVV/zX3kohurygsvbPhJPCAXprOorQoEBskixFKVYplC1xKaPqpv/5Gx0KYzF5qbW0VmsxmGRJNYIRnDJkRqDu04Jc6vhY6LdEhSh6fbjhnrlY0dJDcVtGIzB09JC0ZVtZefPVMDanWrx5uU3L9P70wqXFy09rftLigdi+DinSq8q9CUu3N8pNVRVFxYWF9DdTNAs1WsN8dkRQ7Lfe7qlie7XFZZdfa3S5cZLjwUgKrMFiwHPm7KkhR4zbdrL5q98uAYWgdoTcmN4qj4gUMzM/Homk7rmaTRtzZerhS2d/jWwqOJ9Mi0BC7eLd+z9ZezRnpqv77jhsUykbaCQ8DsMcrPv7MwkzlT5vQlWQHVsZ9PEplB5Hii9tKN9522JIVFurNo9g+Qi94tOE0a0EWXZjwfFpsR3yPRiXwueqvIxFk4LQHwhY9/uHk0XXSbRiCp2Ha0HLDarR6AFxzRZ9jEaEbtpjd+d7ghrhSOo0Putgp1ptxJuZnBqVrR7TRDtcWpCU5GSl2hQPnZSxoHOTpt5PBBw9LxTfsFkrZmmU2rRUI8TEy/QWNTg8OooNvvcppktT+tLAp/OjY1awDLbFLU/PRje9bkWIJGJDxXVgOOmxa3J25kv6ykLJzc76KDSuaPm9XXgNlBhlOr3m6OSrYg+EFEft8x/fk4wJfOGtRmgopzhy+0gffTwJCJfaJz+g+jOAMu+r/nbl30ALcl4KL3KN0msdI/yptFPxtGvDuUTkb//UTrQ8yDK7Eui0XX0FD+0UfSM2ccWi2exQrq1Qt00XFMJgz5twtCb43TalXV1YnPn5devgzWj+NyI2fOBL10clyc/4wA/4IectF7sAM7zVJpxZZf17y//kCrHJswctxVRiZg5a1Hv1y9ceeZZp22W2Ls/BNgSDyn19xRw0eHm1oufvWun692V6sQ/QYPfXJoLAN1j/zz+w67B6pHsQYvnvni4sEcnLOuURkxbd6CNxcORoegFC3tSm1L/q/5Iig+OCU1nU9BOi5vq5RZdHbApkfBSalZry5Z2BdrrWvSkGJ6L1q5bPkby5bnZkXSgoPSY9On5qb2SktNRotbFS2tYnWbqn7fZeTjg6aveG35C7OnZIRA9DDA61SW1TSoZPB+ryxfuXT5yiUvJ4WQ9fWl7Y7O7eYgbn2LuLm+oC3m8XnLlixf+drCYYPSnaVnm812lwdQa6AEbPSoZcvfWbZ86WB0i1NU2nwluwxY86Wy8vMtLl9Y8tR0grxI2tisZqRnvzp3QOqU2XOmjh6SwAMtc1+PCAob4IYydKJWk8flNNTVuNhEKF6vvMV9WzrvG+AWQOBIUmgyk0wm9FRfQhDYLCafQwLv5T8S4GEDTQ4J7TVnSGrvrNRUut2qq6pstQNuL2BWWBDM7MzHVy5dumTxXIJB2V5XWiS8vWZw47mhmdMWL39q8vJnhgx+fMqEqY9P782HdjTt/q2yHQkJSk9JDooIFZ45J5AozZ378+AwJJGfzXfoTHqpzm7VWOUVcn4sjhARk5qR9lhuSkpSSoJHLGlrEauv7uy9vfoClYTMRU3rM3LqnOn9o/Cd/jkIikULTxn4WHpaRnpKnFFvbytq0nUWBAgQIMBdgaYRqdwEFupKvs8ADx42lUp6+rSypMSh16OIRGp0NDc7G89m37V/DoLAYGhgPb17U/h8KBJpkcsVxcXK4mK3vTNBRYD7kp7rxG6DqPLybx9st3gMmU/MenfD9gNX2b7h3VlPRCghBd/8eLK1WWm/19IBRQLU7KnvLV80b+pjvlzonbBpfUZMnTD9+Uy8GQLpyk5xL+h64qLRdC1C+8c4HA6LxQL+vWE1xF3CYSMnjMoIQlMQZGxwdnT28KEZJDQSygnLobGSXSatpuZM7akvPl+9ZMmi+e+s+XTzRYlK43a7geCs8NSxqXyPE66rFTiHIqh9kzrzbnXicqiaGo5v+WbRC68ven3D0fwikUYqlciEh0YNTIli0tAAGk/mgYYvHIkwS+psEQgcWFXnAnJcXHY6kddbpTNccdFtqjYzQgWfOzAcj8KBgxEvNiosfUy7yul2O4GcwbE5M7O5nZdGhvSTYPkSvanzMgCwSOraLu08suV/Xelh1+7Mu9AIWt7+0hvgpExDYqLUzS1Wp62+ThlChrOhylvdV+l0e24Zhu5eAv70oAzYbDbfL3HfAEfj+aNfyfAtEvYf6W7wvD69Msb37xKVADfjdDp1Op3HF9a3mwElzWw22+32nqj8Gtxuk0x5+fCWNxetXLRk7S+78ppkai3g8QJRY0f1GZQRRwCgcCQxMiPeCsE31ylvrxmieFkZcTfsqzI5bXWCg9VHPlu9dsX8JcvefOezvfUyhcbl6ooVCkViiBnjw7QmtFSi1Ov0wrqIuBACDqZuKcjb+cGSJa8sWfX98fNVoIq5GuMSVDK3UV8YDzA5IzY2infdkkKvy6oTF17YNe+t5fOXrP7x19OlrdqAix4gQDfTc5rwfoSaEJ6Q81wG6c9M4wHuD+7QVPOC415bm2j/fotU6nW5CBwOKzmZGhEBhf9bSweJx1MiInjZ2SgCAbyLrq6u49w5q1zufUS6xgNIz/VhuU7UWvErzmmes2DOpMeHRlyz1pUQMfTxSXMWTLc7ys+XC1W6bgyu+08IS5v31qriK5zcOAnXtG3K1GGjtheoLNfFketJ1q1bB/5dvHhx19t/SnV19YEDByorK8FByH+oJ0HiaVmv/vbNzvN5+cXg68C+o89l/21wtdaqXc2CgoSnwPPzi396e8CoVH/BPSZk4Kxn1p/uajn4+uS1eYN5/qIbIUaF2oEQ+eUaQFQOjA8jcfn3JjLBXWG1Wvft2/fHH39IpTfEsw/wSFNbW/vee+8ZDN0fOb69vX3Xrl2XLl3S668sU+kR5JLL9UffdA/deOjH/OJtn8+bl+sv6CZAX37OvA/2buvSCcdO530wdVg048ozJdAeigtnCQFUTZkc2aTsPyACxdTl7Wpxn41+Jy//Ql7+L2/1Tb0phOE/wCo8KRDUXUg88fOeS3n7Nr41dcjtQicGCBDgruk5TRggwJ1zh6aaVSbTVFRo6+s9TieaQqHHxtJjYvxl/xo0ieTb0M7hwFEoq0IB3khVVuYOJGC7X+nBWXSPy+VwwL0ZYaEhFBbm2kU3UASGRQkJDUtxuy5JlSrrPfOHrweOhOnVdce+nz9/wfz5819b+/WBP0oUCpncZOvMJ3lv+Jez6AgEoqWl5fXXXwdd/bq6OkdP9jQ4EovBchr2CuRmOILNYbM5LCaLgIL9mQkDigDI8dGIU07N+aoO/zHAqFKgncpQRhibGcS2WGpcpiYAhaLiyClHBG1SowkAbCaduKG8xOVw4rhx6Gan+VC5EPDF5jHXXSg1iC/RycQri5nR9BCck+7a9EeLyW4GrxTXN7aWHg6mI2AwBJCv1FS2gff1OADdhZL8JJ0smXdlMh9LYuubHE3nZVY2h97ZeCqJgL7dQ0koOYhjZWCqq0/WWcLi4CQynnHL+zIQMPAz/8dAIBAMBrN582bQCvn9998tFkv3LKl4iOk4t+fIkdUHqm/MfN4pOQc+3H9kd43ULDU37P/+oqzlzyTJDxigNuihuSMYDOZ0OkF5W716dUFBgc3WMzm8rQaj29AUTg8KCgpmewCZXXvZX9LY2NoilYM90eUwCc9vMFM9pORMxm01wy1BwRAEWq+TQrtG56SCCoHNYrMpOAwCdmXfBPgvIiSCbrPKS+uFcloaDYV0aYRot4PHDGPTGWyrssZluzYRIPb26uuWA61J12jR1zOCotlBwQSnQmNV3i4BYYAHBqfapjh/rEgpe2D1xsNHz2nCBxpz3a7yinMXr5pq12OuO9coqKm7M+tceuFcY92NKW8D3MAdmmomsVhdWQmKLFgK+tKkkBA0mewv+9dAYDAkgcBOSwPr9LrdFplMdu6cxx5IM32f0nMuOgZBwBMjvVCzw+n03LSqw+1xOh0GiJcA+pjQe7tO1eowNlxa+8lXq1ateu/jNV/+uPXgwf0HDx48Lraw+k1Y9tKyxX2iCagHJcQhaLzS6fSioqKtW7d+8cUXO3fubGho8Jd1N1AcixQxeGxYXemRbz5fvWrN6q++/PpSk8nxp3kOgQEoblIaH6WsOP4ZeMJHa1bnFbUikUFqr2vbD6tXf7r6fLlab8EDSBKPmTA+WvTLiZ/fX7P62193l7R5SW4AgmCkRYWiyPqDX65e9cnqVWv3CRVwVq/0YGSnvQwCI4VzQsIyyH9s2/DR2tWrPt1acF5BHjwogoCCQwGaRVZafmLVmo8/XLP2iIiYzklID7sSuBYRlJXEx3Gu1Lxm9e/HzonUABoOpQTTjucf3HXkdI34z3XvCCKHgkbhW/ZqWWEEDBFxm/uGd973PwbsQklJSSqV6ujRoxs3bgTF4I8//tBqtf7iADeDorAZjHCmb5v8FX+sEwgEgFOYEUwGG49ymp26lhqZxXDPg2Xc/5BIpNjYWFDV7N2795tvvtm0aVNpaWn3Px+EUvAUGId7YPfGDz9ffTSvXGqk+Etw3g5Rwd7tYF/+4ssvm8LYUVHJqekht9UMV4GBKpNJLBOU7dq+o0joDYp7og+m7tSZ9f9bs3rVuvWf7i6TyUxXt5b7wIWFo5RuaKkYGcFFgd4+KyRII3Lv/nzN55+sudSm1juuXUL0F+rrlmAoPIwXrtq++utP/7f9nECk8U3rB3iwcdtclo42ucUS0BsB7m9c2iaVsl12daPO9bi0Up1WfYcPmswdUp1GfZuaAvi5E1PN6/GYJBJdQ4PH5YIhEOTQUDyb/e+XuF8LWC09JqYr8pzTZDI0Nto1GtAj8xcHuJ+Avfvuu/7/diIQCA4dOjRv3jwC4V9GYYY6TTKt5I/jhTACm8MMpjFp2CuWitMgLas6deTgXkH9oEmP58Yls/HdIoAFBQUUCiUxMdH//taYLOqyg3OXba/tqDO4IEg8PToyKpQENYb1Hj3z6eVzZ+Zy6ajbTbz0CB0dHQaDAey9wcHB8H/YFbFYLHjt6dOnm5ubKysrxWKxzWZDIpFgbeBfGAwmUOi3FzeDZ05KiYxgkLquujUem8UBmNzU1AgKEu616WwAEkOJCQGvgdq1ZhgVTgrlB7OSgoQ1tQ0N9S1yuU1v5CQO5lOhJgtARuKZMQwUAHrfdKq5XdZyuahWrpbL2eF9UiKYSq+q6GyxRi6PisjG83vHsLmxXAaT1XaitlHc0OoCbdvYvqlkbhafyQymmz2exjMFVQp5h5rcJzuz74Q0zp82LhyPwUPp1Kb8wpp2sUSF4AcnDJ0/JBwP85gVeAhMZTSXFxer5ZqgzOnDMvuEkPRKWW2LJTqNw+RGMuy4KzXL5WRqSEh4PIfghaNsx4rrPA5caHAYi+y2oSMiyXAEBgG1mrDKRmLGhEg2AYG89X0j8DDodT7e7THZnVuK68G/g6KDBkV3W0ZDECgUSqVSz58/DwpATU1NWVlZ14o+UJbQaDQKBf4oACgDoCSAAgCKQedF3YDH5TS2VesdZqmwpan0ck1ra7OTQMKgcFCzoaO55vzF6iZBU5PFDiBxZCjEIq+XGi2S8lapUmLykuAawfmLtQ11DU0ajQFGCCKAPe7qN+l1O52q6rKKqqqaWlmH1OH2iq0oLMLjNBiNOgucgAWdLohTLVObFAYvxedoG2Sll+sqKqrFcokFRaNgEP7fxem268QFHU4cCoZDwsG3Tr24XgvBoSkMFo9Go6C8EKOotLy8srpaotCa0SwKEY2i05lUt1tec/bcH4VCBwKOIhKwJJTLpWk+d6kEFH2Zye1CkcFrAaOoRW+UNTbKyi+XX/34dxbh/5/ye0Vzs0ofzSI9nnmnv6BUKi0pKRk+fDgG083xAEDdAtZ54sSJpqam6upq0Fc3m82gvIF0KR+j3fnDuXrwb9/woH7hdyvtcDwCYsJaT50tkUskHFo4PS4nmMmOZBvL6q0Ye7vUIqis11vMqS9MykhI4jBurxnMKBaDwmUSfI+kCTDbuWaRQqRjRvbOiEuIglRUtAlqq+QdKq0eEd4/ik2kYK75BTFwp9CBtWJ4w1ODMBAUGe8WitSll4p1Ojm/VzaemxURTGejoXabkxHJItHZlJvVFxvudpnlFmJcGJlCuHbHDAqDd5ndrWfy6xQd0JDkIE5yShA7Ohhv12qRIaHgENwt22vuQnIeAv7BwHcHdGkkoQHmgKDwSGjXW7kdbdK1qYTni8oEzU0CtRsHR2PxULPDJKlScMI5eArBaVG0CQsKy5sEjU0CrQ0Cw9Gw0E61adI0tjQ1iTq8xGBQ9/m0lQtU21pBuxmuLayuqauu61BqXSg6FQ0DrLKixrrSsiqBUCTSwxk4FALl0hgMsnql3lRysdYEsdq1Dlnd+ZIKsBnNFjiAwFAx3W/CPLiC1HOasBvpXom9HTaNQNwISmxzc5PGqChTIYIgtMRYsgscy/4cB1EMChrmbK9VQ/EeWuif0WRuL6La+hobHo8O4ZDtKnFBYXVDXV1TVylYk0PfKtOpRVJl0+WSavC+bgwejUXfg53y95vE3omp5rbZZAUFkpMnHTodkkDg9e1LDQ//p1nW/gYIBI5CaVtaLAqFx+1GEomsvn3RNNq/iUUXoIeUTA8mXbPLKhqPfjTlrYMt8lFTXn1i/uLeV3qJvv7QF7t++nFjSyjtpa+3zOo9PLx79NGdJV3TGqXnNmXOLR7/dv+po8bH4kDXFFDmf7mwyJsxZNSK6YOupPe6l/ybrx3s7Z9++umePXssFt+mftCwS0hIeP755/v37w/6/HkC+WMbToLHH7XcMx6HyWxRiipbao+0hL8xM5qEI/pL/ht6OunaN99889NPP4E6outtSEjIuHHjpk6dmpqaisfjJ32Xd7i7k651plVb2MhJbjxXU33oRAWWaB/95hdPDM/laBtP7fpqxYYiUAm4R4+eP2v2s+E8+R/v7rVHK7bUuiMcUaNXDNb/OH9NgUqv8mQmDZix4Kup6SgoqstH94IOjUJycNXbWwtLmjXhIdzcEWNruTNfGoBDtgjlckfSpEFUcLTTnN1XZG618BdODLMby0+89uHec6Ul9DjqgPmfLhyZQMfhfAuW9WZ51c4xeaz3pycOiwuBqE2ais2f6rNH2rWYUKM7ekIviPXCrwu+2llY08qKHzjoxXWL+0nyj7hYQLtde/rFj7Ya3Whsn5eee/Kxp7Pg2ks7nn3vN5XOHDp4zuiZLz2TSUQ1bPpUgFEeK/SeP3kES7KP/t9XswfnRjH88bq7lbvIHwPqk57IAtKFXq//6KOPtm/fLhKJwLegkREREfHkk0+OHDkyOjpa7wT6fLy/418nXbsFTiNQu+nz9uywsPiJ8X8TBiMASCDp2r8f+Dw2ra7g7R8046Li+0xIInqtGsXRtwqZzyJ1Z9R/rFt70HdK/PQ1T0weOybKYpNd/K0qIzeDGUIRNZ3cs3vxNwfggMVjTxm1cOKTr42JtgpAtYkJPnGpUWYkTF/x86QoAAs61Maq8uq6jSfsj5E++um4vrIlJLzXhBn/e3VcGEpx4umfd57ce8mLJNBSn/nx5bGJKZCSivqSz6tQqVu+OpWzICcVGt1+eMUm3z4Q17BXn582+aW+4d3uAj24gtSjmrC7uBdpAl3WpsJP9+9c/+NpIhTIHjHEyhs4OSz98fE8rbFq17K1vxVWtNBisvvO/fjVoaGI8r3NcLYzamDfq9/Z7UVUemCXnsUm90sJVhTtnbp4h0Ij9IZFZk588r1XRnENZV//LrZU13tad22pBlxpE959fcqojDRqjzzLvpb7U2L/2lSzKxR1GzbUfvedXaUicLnJs2Yx4+OhiO5/4la9fXvbuXM2g4EUGZnxwQdB/fuj7uPecf/TQ0qmBx9kIRkRoSNeWp6Lj6Uf2b9x3tTMqwx5fPmWLe2xtBErtj6V1SekR5Im/y1VW1aueHyQrzm9+2eOWvZNUf0Dug+QRqNlZ2d3PYEDMZlMpaWlS5YseeONN06cOGHtoW2i9z2myp++W/nUi2u/vZw1PAyJfuht+cTExNDQUP+bzoBemzdvXrhw4dq1a2Uymct13fLdbsIOAIW7zqkcmfM+zD9/eNvXq8wftDeUV5kjokcu/DC/+Eh+cd7mAb3irIWVRsBqB3YUAkkr5rz28cdzRnKjp7625/RO8IQd816Y4jhYqLXZr6wLdSjNrQU/ruMNe2rjtvziLz5YkAhsRgC3W0PntBsVhZ+VEue8swys7acPNw2X7itVCdVdi64JCGxI4uO/qYFWmQqUCZ1LVCtMj4fSyJ3POY1Wfd3eFc4xM9aBN9r53VeL+1EIqE6VyEjLHv3s718sHr1y3zfvvPB8JiAVNf8syf3ht7y8/OKPJ8XHduwp1ABgk2t2qB38x2f6Pv4Pq8z5lg6J8NFY7YdEIkG1AyqfrreggDU3N69Zs2bp0qVbtmwxmc2BgAgBHhqgCBQ5tj9CorWK2k2Aw+kwVheF03D45KHzpq0ozsu/lJd/4hkSgBU1iP1XgBiFZ7dXVpfRvivecaI4b9/GMViyYEOeALC7QLWppvAnvfvT+nWgf465unJOXO7c81F15LalX4GKccWcUcj1m/MlZjt7yLol68C7nP9964+jm0vMapkSANSNtrIt7uifDn2xYvbzE58YNn9TVxjUn7JdsZaKykBktAA3I847KiCX8jfuzi84kb9yNN+C17WCA65RVriuLHb2Mp8I/fj2i8OlX5cqTKpb7lu6jYheWSRNwNAHTNp18idQFA99tOhp/qX8eoev8KgIQBH6fp534mTed30kDnVBk9x/xaPHX5tqoM/sdjohMBgAgUCgUBgS2b2r3K+CJpGQOJzbbrfI5Y7AQvf7lR6cRQcAj9tpUtZdFJSe2rDt2LYTlf7DAMDr+1jOlGefGJreJ46BR/wZbuxfcmez6E6XTSMuKG+1OUyASlpccPK9n44AgBWgBIWH86My+ezRC9blxlMx99Kpk8vlZ86c6Qog4T90x9hsNoVCUVtbe0NQdzqdHhISAglLKWdmg28ftVl0p7apRSTpsKAZkWnRNOSfQaD+I67OokcZGqKMAv/R7kOr1ba0tNwQKRSDwbDZ7IiIiMoOgyooecS4Kd06i66q+XXuefaz0amDB/HxEHNH6+4XDuBfikseNBBf2ZD//sY8wKiSyvijYgeN+CCh7d2NnvEzBmelcvFwwNcHTy/+5ZRG0KLWk8JMg9/cOTWKifM9KnaqqjpKfl17ecy0KSm9YsgwRZn08g/rrAufzibeYhZdT5ibJvvymU+rCHgnCYd2mp1uq6D/h59PTh8c5ls24XEaTDXrf23qHR6RPpAuEZ7dfClh+VBqbYcMLXdHjIrXX/hw7m7itPTc8dP7hOIA0Cqp2rfXwWJxsxNsuoZD73ZMeKp3cKzt1Kkj29/c0hrNJSLgUJtGSgpJGLzgq8mOTZ9cjOTFpz6eE4Qyq1t3b2hJmsyNio/vgaeOXRMCTJs8Q13kP/R36HS61tbW+Ph40J32H+o+3G63Wq1uaGgA7+I/1AmRSORyuSxO8AWhypEyaumMSd08i+5xASZxi42CxeK7aYPUQ05gFr0bBj6vG/Rkzu3crqdFh/TJDDWVfrndOWJCZmKITVp0as+G32sAh6KFlj5l+sSnMmLNnbPoMR0tl8tq2lFD5s2NxQMIt7rm0JGGVi126kzK/rmXw0E9OTAn+Jolkcaq8svFPx6yP7tgdlQQHusWVOWVbv7EMHXXE/EYYc2+g8eOFNY73WoBc/wHi0bGGzT19etrsz6Yn8AlIBCASlb6x5lPfs4DAFVHI3/Ys8NnLRn1pxfQPQRm0XuUezCLLs17IU8eYgyb91w/KgJwtB95s8wZZ2dlpcm+mvuVgIBFk3AIp1nnthkHvHMsx3zWQb5pFv02Ioo4d9jtm0UfGOEwmSp/+mZvSVWjSI9gG8Of3LQ0UfLzViUtkj1mYn+SGzAVfHsUGcINH9Pvdgl1ug1QYo8f3M2UV2WGMf2H7gP+2lSDuVwpWm1iR4ddo6FERKTMnk2Ljvaf1K20nDrVevq0urERRaFkfvhh2Pjx2G5w+h5dekjJ9NxedBAIFIbCsyJCuRxaUCg/NnXwFYaPfWz0sME5MWTUHW/lvRPubC86DArHUyIi+TEgEfxgLpceEjl48IAsNlrdWnumtV4ZkTs3hUtA3ctNS3g8PjQ0VCaTgX61L0n7PwH0w0GbuL6+HvTVr33gAnr7ShAH1BvuM5F7dIPTfQgMQ6Wzw8J4XCYO3q1Sdpdc3YueSENlh9H8P173ER4eDv7iEonk2ri1LpdLr9e3t7ebPVCAERYZm9Cde9EdNmXlBVhsDi+Ez0ZBQN/JK79Q4krEenQYfcXZdigBz2PR0C58CJnIGBBiO6MKyU4KDqFj3CaptvHECaHNDQ9i0ogoEt2MipmYzMR27uJ26cXalrOX6CN7RzK4BDjMaQIsqrPm+FQuAqbVmc1uVlwY2DchVlF9u1NngaTQFUcKDNSYyDCwN3NCORHJSWkZvUOpXbsxIVAIikASlagRSKuX6G2udSVk9QpGyhQ6mNnLigslYmlmFwpnbqxpqxFIcHwuSdPU4MHjiTymy6YWnDHFpnKJFGNlq0hQ7orLig3hcoK5/JjolN7JMdFB1rIqeAyHy0tmoACPxyuvVdFj8SSaLyZDd9O1rY6Dgw8Pp/h/8r8DhUKB/nO/fv1AFeE/1H0EBwdHRUWB8qbRaK4VObvdDrru0g6ZE4EBguP6JcXf/V70WwKBAqBNgUPjA1l/74zAXvRuGPhAqYPjcaaKdjdGYsbxjDWNlIxEPsRRKqg/02bk0ihsHgFiYkSFBUWGsNyde9FJUnG7R+4IHTgoDAcBIDCsU1NvdymM7Ex84wVU9ABucOh1isKhkBlslbb4iX04BAwMgFvMLRrlXjlrDlt1pFYq1DuDmVQGC+9SsjP7cElOiMvcSEwbFYnHwe3K+tKm0kopwMRzOXS0lsBLovKzYrvbGw3sRe9R7sFedFn5Rg2URY4clUD1RUb1Ki8rICwLhMhQnTprjI4OD4sExzdeeHhCRlpaH6apyYK8fi/6rUVUyZqTChU3gVYsmolHtV/eWKZwe/FBLDIRT0OYmf0GcQwVWhQzODgtnAbxAChjuwBggCOsL8xRz+KTWEk7h4ganpHoH7fuA/7aVEMjEGEuF9No9DideCaTlZyM6ZnnSjqRSCcUWtVqOAbDGTyYHBuLJP63m0EfbB64vehWs1zaVlTbCgqf/8jNwAEgLD4rhMPCdctnurNZ9NtgqD636+CB/W1S6n8wi/5vAG3ihoaGiRMntrW1ud1/xs4HvX3fM7nwtEukdPDtPZtFN3cUKZ14DyEqnNL9+2duxmPT2XUiBSqegUf4dvT9DR63E/S8ZDAeC0fE/ZMQHC6bQaYR1dk5A1hE9B3c6EZ6ei+6Vqv95JNP1q1bB8qD/1Dno9mgoKCEhITLHqacEDo8O6vbZ9FrYxdFJQzIZHqdRkn9hvdPh80ORtRQ7U35jHdf60fAyg/8VuoQWmiv9la9ezT4qVEJqREUq6Sw5ezqLaTPn8gKiQNKLtTUbahPWT87iYb3TfY6FeXtlzatkD7x4oj47DCC59pZ9PoqicQcPm1iGBKwN23aXg6IPeGLMhSfvl2e8eysrL7xQbf4RcFR0Fi1eYcc49SFxWlaQmaOD8PbCi80IuXu2Il9O0OEG6sv7v7tRLFKM2TZu2PUZ456bpxFNx07X1T+g3TClTmrTq7fFO2xGTWnNlWFjWaFRPXcLPo/msJqbGw8evTo3Llz8fjuV2ageaFSqZ599tljx45du36HSCSGhobyImPP2Gh2RuRr4wZ38yz6HeM0m81KBcDl4bx6dbPRYEGy0zngF3Fnnv1dK4r7jsAsercNfB3HjlY6qkXIIeQ2U/8nEklNVT/UNDTgBn8zLgIwVn69vp0SQxvcP9nx17Posyj7X1dnPR8Wm3GdovBNUdb9dISyeMUADhkNNVVWnC7b9q1r5vfckvckpOT43i9lsHWSCx++rxv9QnSQxaEQ/WwY8e5QOhmtqNxyrK7OwFj6Sl+iQ3XMNzXqTnhmYnf70Q+uIPWoJuwu7sEsuujwnNOGKFvMqy+k40CHW9I1i07vlaH6cUXV5GenpvaNIV/VdfrzOwWwm2fRbxLRDdCZmydDCg45WWxiHB1XvmNW06h3h8cPZsuqLtf8utvz/MqMts1/uMFRYeLAqGvXqd2TWfT7UGL/2lTrHx8f1NDg+eMPp9FIi45OnjmTGhXlP6lbEZ4+Db7UAoFvFv2DD0InTMAFZtH/BQ/cXnSVtGjv5vHjp4//C8DCzXuLpCr/Jf8pxMT+zyz/aM8X338+JJWM7pZQuvcG0FAuLCzU6XRd/jkEAkEikaCUDB48+I033li4cGHXafcMRdk3Z87tOdX8j1fs3x1ObZPi4ldHBMbb5Q65HqfTLCv+YX9Ni1TtP3KH2A3ii5e3v36qUa/8MzfbfURVVZVAILiq9GEwGGiOREdHz5w585tvvkkd/hhAZncVdR+gY1bdLGpsFIplsiaJqOTcHmwQlMIimtwWERMwqxWydkFVo0J6Q5QHp8toMgrYEJNNp2wX1reIGuuueZCHQJOwtEhxXUlTa6NIJm1rqxXUHXe6bL4NoVapqaPqkkAqkUoFpaBJU9qKwCAI5Bjxruay8sp6qUwmlSvkRrvb/efjaVDFkULjjF5to+iyCpEcCUFcXR3t8XpsFoVMZaaGDRg5aMpwlFEH8Vx5ZAmFAjA43KDS6wxOJA2w4lp2nigWiYQy8C5qjdYKfvj7fLN1VFTUggULesgqBSXtwoUL7e3tV/1zOBxOIpF69er1wgsvrPviS0pSPwD7Xz6VN8ukjUcPNNqsZrOgfP+Zgz9cFgPATek/b8ddK4oADy9BkTSHDllffl4XzCfCCE6LmekyhLvdMolCVtVYaFA0+U/0QQgPJXew7IfOlEjF7VJZ0/mqEnNDA59NBm67tU9hcOZVC8SSNplUVFlWpW0umpYU7LK7owELxWqXtUrFtXV5TpPCf/oVTA410tZG8NqkSoWoobZaLpP5SwJ00qOa8AGCwuoltyIv1paCA6VM5hcVOIaEJUa0//5HWVVdve+4QqEw28Gx0X/R9dwsoo+nBGMRXdkiXS67w6xMR7oheo1M2NTQ1prfGbEmwLX8tan2zJNPxsTGwtBowOt1Wa2ea2bduheP0+lxuXwOA9gCFAoCGjwB7j8Cv8q1WJR1NSc/2l5usBj9Rx4A1Go1aCtf7fBgb09LS/v0008/+ugj36KL7s3WcAfwhqybOnHhzOQemEn8L8HSokfnLjs6I53OvS8H+urq6q7Y2l0EBwfPmTNn/fr1r732WlBQEOg++Qu6ExQA9OOozx7+8qncnCHTn31Xvfil5P7xWSlDaMiQkuczpwzPXHFI2GGkJfjP94NnxIanzxX/b9qi8Zkvfbm3UM3NAoA/d0vjeaS4Me+Ff3X4g9HjcjIXvPlFNTDH6csYTeAnhGAxwpVTMsfkZv4mCEEShiQABAwla9KGFdDijZ9Nz8zNyRw/cdT3F1QSk7+yLvBhyRYp33wJSIwC/vTQAaNVVbB36rCnczJzx77x2U/C3jlxSNSVYjwZHsTlfz3no/99+10NIWZo9iezLq57ethE8OScFxa+mSf4q/VBDz8OhwNUO6Dy6XoLClh4ePiyZctAzTN79mw8DgcO/V1F/z3EXoNfnDrvg9zozoVbAQLcLWFschsr9LyInYKHIRDEXgnBbWjhvCk5ucNz8i7gdECq/7xOCPzMMRE8vybMnfj1WYDU5/W/FEIe4MxVVs8ZvSAnc9x7J/MM/TZOS6Vyh/Xjnag58PjEnLnT51Soc53gadcTFjkQhuZtezFnwMicVUeEWBM5zF8SIMA14JMnDyerub9Pzc0ZkHtVVPA8avqUja9JS3+eN8M3uk2dPHX7BdVtbOCbRXRyHBXrl2gEjUtPyYn49tmPpvXN/XDjxiZgOgDcv1sL/iP+2lRDE4lQBMILeuZeL+hCu51O3/97AIfZ7LLZoHA4kkRCkEg9FJQuwL/kkVzo7rICorz3vj9SXNsOUMPJmdNXzekFlH186NiFgwUkl6nPsqNze7MInUtgHwDy8/Ofe+45sM/DYLDU1NRRo0YNGzYM/B6oVCoSifz71VPgtyHOO6Bm2YWXnDUnDzeAP8XoGUuHZcc59ZLWY+WmePmWk+5hCb2Hjolx6kq2fryjSm92JOTMGNgvM0J/5CAwOTeOGU5BOLVN2oajlylPRxvLPUSKKyghDuOree3mI6UN7aAiIlBGg1ZyDAXT+cDV6TArKrftcWSN5kVF8jA3vO1smA9J/e7f8/ecPIfEAYmzXpjSJ4Pv1V2Ji2ONmZibgAwy/rHx1+NyVBxz5LxZmbQ0su6IFB60Y8vFtKlpUdAQ5flvD9X7aur/1KQhWUPQ9UXbPvpmr9zOZGVNfHb0uCnpREnltpW/l+patcnR6SOfXNoftH/sdbv2H8s/XCTBYDC5uaMNQdnJkSFJcI207DIwJJfjbK7yBe+50OgbfTq/q3SOP7D17enphe4vvPDC7t27tVothUIZMWLE6NGj09LSuFxuV1AJUAZASQAFoFsXumtqfn1dGDbUi2XjrEY4Es1LGsAlo7EQg0EuaapqBr03IoeLwjGJaBSP7BAo0TwGgYhDAB6b0yQTXK5X2p1wKh1P4yBg5GguAQH3PzH0uGwmSUG92KY1g665geBV/GCd8Ex2cCrFpOxoK22QgOdw+BFwDB2FwIazMYBD2VIpkKr1ZlCnXG3GtZsRnGrZtUudnWqtGWr3ohhYo+R8udjuMAMEIo0bkRxOQxqVMg8KhaZQ4W67xleK5TFCuWFkj0PRcLlRbXeC4yWdwgyNTWXiTeLWK3HLvG6XUy02YpgoDK4nopjdb2v2FArFlClTysrK7HZ7WFjYyJEjQZGLjY1lMplYLFaqt/T56Hfwb/cnXbstNq3wQsnuz3ZVA2ZHbObo8b2TWPALR4DZc6PwelmdSafD98kGBzVj3YG1xwvKiyVXNBK8uapRXV/XHCzd57uWP3HMyL4DWZKa6xTFjCzalTBIQi0nJnPonLcH8wD01R+6U4t26ToyPzV10pKZyQSc+vxFhaGyWkY8tM+nr3wqaODkuHud1TOw0L0blw3bNAKNQaPF+kOQgm87JA0Cqc+S4XDsJDaTQKQSPVqJkcwgobBw01VN6AGorDB+aASHBHGaJLU2cigWT75OURiryuvrfizEPBsJGOGAGR9EC+Yn82mgGrN0FLWK5RINHg7n8HgmLCuCDHd7HFaxi9HVDLdJKm8XVgn1AEDjcGA4BgdL5LC7Zja7j0dTkO4Z92Chu2/QljW2i5pbtbBrRYWFdjrVtZVNCrXBBjrySFRYQl8ewaKwQ1BeHO3PDYt/JaJSJwqFoBLRXYMmOKRS6TgSi+fCMKPJFonaC9pSbBquc9+ZrKNrhO1x5/3+lNi/NtWcRmP9Dz9Uf/GFqa0NQ6UmzpgRlJaG7N4FIF6vy26v3r5dcvGi02ajxMf3+fRTGniXwF70f8EDFy4OgcRTGTExUb6obLcDLGRQ8chrbel/w52Fi3M5rfLG/Z98+euRE+fKBS1tLWKZUVJVeGz7oTKDDJcxbtLw/n24dBSsu1rVo3Stct+7d29ERMT48eNBoxns82CHx+PxoMcOnvD3MUjcNkBy+scDLWKVjRnMwmGpRLNQQGKiUWZEa93h32op0QwEKyGc4kHYJAUiLwqJZzLJeA8eND9ghPZjRbiIECqTCrO0tzbml+hj+lIU5QY3zIynMIx1eRtLRTAUMTgoGI9AWtpKSGHhFDzTF8fL63VarA2nyyBhUAIjFGu2auoO/qGgRkQHs6g4n+HiBdW++GKFpE1pIVLwLCboBVowbKe6yNx8pkYbSeFz2PyEaC6JCtOrOtpcQf2ik3qlU/TGpvqN+0yxfAImJjmcjaMjvQYXns3mIFwGCglLIJPhhg5hg5MSHxeTnhVKQDgFJ5ttKA8miEogoPFIBQQfg5EU7yyu63AhwkPD6ESSKa/WE0Wh8UK8GmlpkS0phQz3uPQWuxuBZTLYUJORHYInU4Jxf5Pk82q4uEHRQYOiu3PPj8vlamlp2bp1q0aj6dOnz4wZMyZOnNi/f38ej3c1FR8oA6AkgALQreHirMrKPGvk8MikvtkJMeH8CBoOjgC/BigKRWQERcZERMZwWUFsKpFCxMKQBCYZg+oMCAdA4DAUmcmPDIuMCQnmsalkJhl9bUg/CBSOIkcEh8ZEgifQMWiL4A+zL2wbm0LAUYLAg+CLRWcwSDgKAdkVyYkSHBrSefzPZlwLDIunk2lBBPDr8N0GhsWgMXgMAgrHk/mRnReG8YJBwYNAIWg8AbQmQBH1xZX0lXIZdDwKDkejSNyw8KjOu/OCwap8kej+jFvmy4+Co2BRyB6KYnZfxWoymUzV1dWbNm0ikUhDhw6dPn362LFje/fuTaPREJ1b9Y125w/n6sG/fcODujlc3G0wik/XVx4rlDHoDJ4vMm5cFJsAc7U1AilpNKRaLNDKZbCoCJyi9JBQZzUhmCQilYoHZAgqF97aVFhTdqmDHBuMwnFg1ko0Ho0ihxAsfyqKGBYBrys70WyzujF0KomCIUKUMHIME4OE+XSVy2DTCfJKlUYHlEql0whYtE2BDo7E6y7nn20+W+qIiaag2GS7xkTEEZg8HuneDi2BcHHdGHwLjqERyH+GIAXfUligQgDVAoPFYpNwBAwcDkUQyHgEAg65VhNGRoaw6b4YW74gumQ2Do2+UVE4FDKVoVLBnTihb3R8fGQIh0PBgmoMvA2SEMwMBmvgh4fTaXQOEbwWiUVhiFebAUUSCPSQzmZwWSwOhUDoDOvRzTyagnTPuAfh4sBBDYln0LldEvunqIAyCcOxObyIztGNz+dTcKAUYwhoNBaU2D/5KxEloDFY5NVBE6wnmBdCp5CZBAQMgQUtADxYCgKee3WE7XHuN4m9E1MN/CmMbW26ujqTWOz1ePBBQTgmE9WtzrPH47Eole3FxYb2dhgaTY6NDZ86FUOn+zK9BbhbeihcXM8tdHfZ9JLWoiPHjlyqFesMN8ykuww6ce2lo8eP1Mrl5j9DDd0THE6rtPTIHzhKeN/cceP6xWXDKn7+bM8fbVxaxuyZ8+csWtI7moDs8ed73URHRwfopWdlZT3xxBMLFy6cNm1aTEyMv+yfYFZYEMzszMdXLl26ZPFcgkHZLmhSO+0eqB7FGrx45vjh2RSJqPLkgUYMPzolJTUVbdCLK1vVrD7BqiqzQQOaqDqDtUYZG8lAEDtX1nusSkPruWNV9F7D5r66fOVrS2Y9PQ0hKBYqlObOVTtw0AmLGhjn1Fv1Up3dqrHKq+X8gUwmyx/k1usG7JKqI+eq283u1PSU+NgUaFVpo/ByVZ1Gp5YlTZw4f8WCmcOHDxiSnDHq+QnpObOWPTesbz8e0WWFW3VBsfNfe3pc35z0NH7C4Imp6b1S02PNtXZxsxyTkDR24ajEEdPnvDJ6VO9gS13Vrt2VtkhaeHpKEgaLbj5xqlbdcqpERKElPrFw+cqFr7yaxbMQkdfnlseEhqWm9h2dnpIcnxItauiQCKT/ZS5sp9NZVVVFp9NHjRo1b948UAwGDhxIofT4KhAIHEkKTWaSyYRr54K6HQQOQQ5PYGOJ6J5TVg8nOp2uoqLihlyM3YJer6+vrwdVzaRJk1588cW5c+emp6f3RGq3O8YkL68UluuQw958YfHKZcufmTgk4ZrFOF04XZaO+l2/VbYjIUFg5w2KCBWeOSeQgBrJ5EYj+BETVr68ZOXCwegQlE6FvFZRDI6At8mqtu6ucCDoUSmpaWwsRnTiZLPeZu7crwnqOm1L/q/5Iig+OCU1nU9BOi5vq5RZdHbApkfBSalZoCZZ/ua8KGSwUym+LyNZBPjvgROJZHZCKOnqYqIA3UXPacJHi4CI/jvuxFSDwOF4Ho8UFQWBQFw2m14kMiuVoK/uL+4OPC6XprnZolC47XY4FksID0fT6dD/cvgOcFt6rqdZVA15B96aMmPmx7+ebZHcYJdYJS1nf/34ySemfH3uvMjQU/EQbo3d7VAqiz1pOS++tnrDhnX/+/ilCST8hEkv/u+jN+fMz2Za5WaH+zahMu4/wD4fHh7+8ccfL1myJC4u7q6t5Kixo/oMyogjAFA4khiZEW+F0PQmM4eNnDAqIwhNQQBqeaWg8NvSza+//foLSxYt+Xz7oT+USDey14iwOrNT2y6T6p1qQUQKD47oWpHjNGkNHVWeJ/tw+Awa6GdRgphpIyYojSSr3e/vwhEAPyVYrkBLJUqdVt9YHRYXgiddWc/jcQK6WkHDqX0/r/tk0fwlS19d8sXhs/WtcFoiCh5X8ONP5xtaWpQGo815Q8guMp/Ra+7AGDwK51su3S6+tHfPwvlvLJr/yZZ9Z6pl+uu2KKuM0try3y7tXr3kf8vmL1nx0ddbT4l1mvbGItvgUFpWBMfXRgw/bhKOwPVf0YnHYeqo2XF407wlSxcu+XzPkbIGuen6rc/3Fq/Xa7Va58yZ884774AuExaLvTfbgOFoPH/0KxnXbUzoAXAcXMyE5/qw702CgIeJxsbGL774wmjs/sAabrcbgUC8/fbbb7zxBmhkoO95wIubkChrOLba4UMzSDfNTl7F5LTVCQ5WH/ls9doV85cse/Odz/bWyxQal8seH0vJyc4gA+ClnLAcGivZf8UVzEZJY+nP9TvfXr/qlSWLXn3/ix8OtelUWo+70+YHdZ2m5kztqS8+X71kyaL576z5dPNFiUrjC98ZnBWeOjaVD6pVgBQSFcLgPCjbpwLcczCh4VF9nhsdiftz+0SA7qHnNOGjRUBE/x13aKqBLjo1MRF0nsFSvVhsEIsdlm6Lvgy2wWWxdJSVWTrjyKAZDHqvXrCAf36/0nMuutGm0siLUJ6s/lGR9OAbdlLgg+mRUf3TnaidFa0indx/9J5yZP3ieWMyM4dMGrXoG5Xumy8WTxqbCTJ12KjtBbcLlXH/kZiYOH78+OTk5K71pT0KL2nAi98VHzxRnJcPvnZu+OTpwWx4Ylpkm9bTUCVHWlzXRdv6e8Az48JZQgBVUyb0NJRGxoTCiTfISeKsqSu37/PdrvO1YvaTQ0dmT5u/4+dptENT3/5o/Xdnm2/vHBuFZy81NLridhfvzivet/7FqYNuDqITRqIveW/XWf8tdm3ZtXgwn4D+66/SVPnTZRXbNfZ0Xt65vN1rnukV20P7xu4QDAYzceJE0FP61/EjAgS4I4KDg6dOndq7d28Sqcdz23YrOACYM++Dvdu6+vux03kfTB0WzbiTR0xYEn36h0c3H+jSRcf27XlrQjSRdsWwQeJpWa/+9s3O812a6sC+o89l36dxJQMECBAgwL3nDk010G0mx8biw8IgcLhFpVLV12saG/1l/xqnyQTWpheJnFYrikajJiaysrICU+j3LT3nonu8brfbAfGiUAgEDHbDoyIIDIZAoJBeiNnhcnnu7Sy6H6tBo5JLpTKFXGN0e4wGjQJ8J5UqZHKTzd2ty0p6EiQSicViwb//cuK0sbG1RSo3A4DLYRKe32CmetDBrGvDzeDwXDvAyy8XAWQ6jc1hs5k0Kh6NRCBjkmmSFmW1tNVESg4Cf2p/MxB4CjEoCfrLRalQqQb1grZDUXZ8P4Ogx6CuzLiBZyJCIug2q/xcfUspPZmPQhCuyiMUCpAZLMkfzrZGhRe8XeeLjMdjMCgcLTgsvvfMt8dQqSFWrdZ/wc1o9E0eQwObHQ1eirOrRRb1Dalo8EiKnZhyorwDAFAMX/1MBouCpzLCWkUK/7fhtArr9pqNvvhkV9HJSzxuDSsokkmnYQ0tbQ7Tf/KM6SrgTw/KABqN7oo+cN8A9iF93YF3Th7ZdhH8hrsLp9osOfv9xrPVQrV/OYbHAeguHPjw1WUzxj8BvubMeOKTw+eulv5zpBd2lZeeq/tXT+mcDrOs5If9NcKHM2UXKGk4HA6FQkHvl0wtXEaCFB1/4lSJ3ua4nfJGwRAEWq+TQrtG56T6+juLzabgMFd11u1Boah4UurZCokOQJF9uojFZJKxCGjXlQgUFoPlNOwVyM1wRKemYjFZBBTstrm1AgQIEOAhwCw1N+z//qKsRfv3mwg68+N+ebTBdGf5cR9C7tBUg6HRxIiI0NGjQV/dN5He1iavqDDL5f8+tLvLbte1tQnPnrWq1V6XixAWxuzdGx8aGgjnft/Sc0YEBkHAE/keaIveZHTeZC7bnEaTXuBbzvxfkTx8xtOL3n39lRkzcrDYnBkzXnn93UVPzxh+4xLHRwSct0NUsHf76lWffPHll01h7KiohDDytZPJWE6f0LCkaMX6n77636erV635YefOiyILFOElJoTCit1QqRQVwkEBV61dKIZBCOk7MLSm6Mg3n69e9el3OzaXYjOyIziM6+Kq4cLCUUo3olpGzkggI69ZCQCBA6jwtP4RWGPF8c9WrQHvuHrV4SJBbe2ZooPvrV372c8HixUIIp5GJ2HwoNWs/v2L306eLxQb/Jf7IFA5CAi8audnH6z9eGdho1HrRfucCziaG668dOynI0eLZQR+0qQ4994NO9f+D6z/659/Pd7i9gTnpmPL5QVr165etf7Lz4vEWIPjunW8+KBYeIeodvOHn61fu6/GaLIA//ky3/sSUBTgeGYUnRFE9kdC6QZsWmVH5TkzHgMgEH7l5QtbIGuxoL3UyJSUXinJqSl8JgVzpfSfY+5oUina78Dk+As8HqdFXtOi1pvv+klBgH8CnpUazY1EqL794Os1oK74cd/pmpt2faMQuKDk2X0wdafOrPf193XrP91dJpMZb5ly5FpFcabFzWclz+jl3HF2x4c+7ff1d18fr1fYfMH9QaBYFili8NiwutJOXbdm9Vdffn2pyeQI/PQBAgR4mHGanbqWGpnFYPv7WS2PTWeVVbbqHJZATIC/BAKFYjkc7siRlPh4OB5v02qVtbVthYVWjcaXyfxuAa/Vi0TSkhJ1QwPoqyMpFHpaGiMrC47DAfdPhtQA19NzEd2hTpNMK/njeCGMwOYwg2lMWldERxCTWnC5bP+xowfr60OHjZuSksInY/1F/4o7i+hucxjbyr7fT3nirQnPzZuUhiSZjxzhv/XW3JnzBnKQVvv+i8gJ89JCCKgHJWLcX/P3YUI9DkBZVmPB2NulFkFlvd5iTn1hUkZCEgNicQAmNzU1goKEQ2E4JgkHDbaeKiiRSyQdcicOSQ/rFcNGAgS4rchB5WB42YkMJNjR3SatE0tFUXgsEpnLbimrbWiob1E4sG7+2FdGxoeQ0Nc9P4TrxRdk5nZkrydzuFgo/E9FAXpYBHo4w66VtVwuqpV3yOUdpIgsMtCmajiRVyyTy1WkzBFJKQkxVAQECghP5TfhQxlMchiFYELxUtkoJAyHwessnsYzBfUKOTYkIYwTn8VmhfEIEByyqai8wQwNDk3pnxzLc+WfrpO2Nck7jB4kNqJfYnh4iKdILaq/XNWhUSvpVLKZ0ZfP5YXj3E6rDR0RGURmWFt9rRLo9djYQSG0yPQQJpfxNyLccxHd74R/HtHdZTMYVAKxE66pqqqsrq6WKLRmFIOChnn0zU0NlZfLq5pbW5udBBIGhUPCwNHXJK24UFLZIKjXajRmJ0TmQFPQaCSCQWRwKAQvxNAGipausrylprK6QyXxkoLwSLhbI2usrSm5XNPU0tzkghGxGBwSem1VNggMR7smOrFVKxPXlTSHjRgTwSLiuyTJ6wIsTRdN8ckDxj4zc3y/vv37xQdTnGLhTY0E7Qm7pvncpRJQIps1NgMUH4SDAkZRaXk5+AmvfkBdwzk9FG6Boo1lF6ubBE0WOIDAUDEIr9vpVFWXVVRV1dQ2i+USC4pGwSBgUIhNrRQ3gNU2Nwmamyx2AImjgp/CKDzbgEqNprKxcEWb6GKJGM7AohCoa0T8H3EXwWl7KMTonXDvI7qjSDSkE247m1eilEnkEBw7NDiMRXb7OiwZ7naYYXAEMYTPpkVGecor2gS1VfIOlVaPCO8fRYdAQJWAocbwOqPm2rVmGBWOY1+jKNjB8X2jQkIiHCdr6tobmjrkRrcBF9E7ARThztkQOBZBZCUFCWs6dZ1cbtMbOYmD+VSoyQKQkXhmDMMnwX7FSGL6I2LeKwIR3f95fGyn264SFxRWN9TVyTQyjc2jNngoBDgMCpikMmHl+ZIKsLNbYWQkBg2xGJQNIpNLVF1dU1sjVmpdKDoVHOSgEJO2qa6pqLhcKGzWw7E4NNarNxlk9Uq9qeRirQlitWsdsrquqpq7lAzK7bTI66VGi6S8VaqUWFF0ChYcCEGVYdNI9fJmlUF7uaREoHS64V6ERdZWUFjeJDD7moHHQG1Oo6T+/MXahrqGJo3GACME4RGAQycsaagpq6iVisUAjkPwDeX+z/iPeXAF6T/UhHdOD0Z099wsGwSET66uiOif46/boWgTdspVY5Ogc/ylYCBWVb3YYBE1t0qEYgsS7Aia6vJK3zgok7RYrebLzth0HpHsbBE3ni8qAwdBgdqNg6OxeCTU47IZ2/Irqmqr6zqk4jabRSglD4uiYyjAzYPmVQeh23hwJRaKQqFIJLtWa5FKbWq1Q6+3qtVIPB6Fx8PR6H8cet3rdbtcxvZ2aVFRe3GxTaOBY7HM3r1Dx49n9+0L++9DyTwM9JCS6bm86IBdVtF07ONpK/c3SUdNXvjE/MW9r/SSpkvrNmxdu+t3Io+8+NvfZvcZEd49+ujO8qJrjdJzmzLnmhZtGvD4uCTLwXM75s4FNm2a3n8cturg9oK5n+E3Fc/tz3lg8qL/NX+fbNNpBGo3fd6eHRYWPzH+nu2e9Ho9LrtRbZYXnyw0ypz8J+dlkzv98v8aL+Cxm3VGq8PpAv1Uq7L1+CxR1NrYxOG9WP4z7o6ezov+1/zzvOimjvLKC98fwkwk//TjwdqKRkpEn95PrF06LhRV9+0PW/b8fKLRiyW7xr/7xczBQ8PJdnFJzf5PFm4p05scWWnJkf0mqsIee3coXXlkt47FJicE0ev2rGhkB+3c0tJce4mbQh7/xo4newd7Sk9u3LTl5yPlAA5wTZn/5ZyxQ/gMeWnNkbWLfyzRGh19piyeOnfJSL6/TYC7talZfPwMYc7MBDxof/oPWgHVsc8PA3QGLzeTA4FAkQSap2rDT7/d2EivStB6dutT63Zr9WZo7xmDpz33xRCasWrXsrW/FVa00GKy+879+NWhodpjHzTZrY1qeP03P5UAHuOQl+ZNm/py3wi4Vdac99H7mwtKBWovNYqU/dT6pZMTaEiYsPDkwW2vfX8EDkqPY8SI55+YvaBPvE1+atV+wpzRobEw28nfD/9vq3Tx1qeHRiYw79I/u4sUrz2UqPNO+C/yoge4NYG86P80y7THJdeLT/w2/YODeoMkqg+XmzkSis34YG4iAe6pP3R8/y8fbCkFzxrx4neTx/fnaesvffe7o7925+6SplpMeObEGe8vnsCFwu21JRu+//2HPUdRRCDz5TdfGDeCLmxtuvx5FSp1y1enchbkpEKj2w+v2HQZvKNr2KvPT5v8UjrK0n7m3b32aMWWWneEI3Hu6mf9w2J74db6suM1mPCt3/1mDJs4dVL2EGTrpTc/2eOxZ7380/Txo/qy1camY+vmrzmr0qs8mUkDZrzy1WNpgPjSD0t3HL5Y0BpFYT753q7H05m4u07f9OAK0n+oCe+cHsyLbpfpr5eNBV9NTUcBEEvxpa837fnhUB4MNPyeXPLN48OynaaTe3Yv/uYAHLB47CmjFk588pWR4eo/Vv1mjJKerXGorMnPvj0t9PyqD7YVljRrwkO4uSPG1nJnvjSAy5Z8dXTXurUHwft54qeveWLy2DEJBLdedOHXsV8f1NZKYkK53BGjoO7e6yfG4TnqczcNmoPSuzsK3QOt+jygUy0U1n37rejQIUNLC3gEx2BEjhwZlJqKZTCgdxx8CnTx3Ha7WaEQnjrVUVpqUihgKBQlLi7u+ed5o0bhQ/7bSEoPDz2kZHrQJ0Iy4vmj3/rsWWJK6JH9G+dN9QVj62LqvI37jwBhZNwz62ZmpIb8y+n6AA8iDrtRUPjZyPnPfH1WBEsd3ev+8M9BvWgH1Pm/LZ01NyczNydz/PRZPyPWR0f1SaL7yx8lRHrnb29XRj6+bFNe/qHPnhrDWff1xVaTLfbp51ftzMsvPrZrzze0P9x6iVDVLLws2L2lz/KfTu7LL142Jy0cOOqv4woOk7vocxn5qQ+X5Z/d8eZzz7fuqVBY1eheg1/8eH1+cd6JI3nfMVweY01NlVDYtrd54rqtp4/mF3/y2rzBPH8NPlRSs1IsZLNcN2/zzfvil1fHgj/Z6PEjV+wXSINn3txIwbnLP65jLPvhiC864Lq33uuHM8oK15XFzvZ9wOIf335xuPTrUoVJ5agqqGkt8QxYln/pUP6JdfxLZMGBM7ViTc3v8wrTcpf8cjC/eN/n85azVu++KBI2Xzyzq6mqYsA34L3A4+v5eHLNxtOt/lZdiVkY8dOxpeOio6+GFwsQIMD9iklSXnv8g8bnv35j5/m8rxa/0ZsmvAC4HQAgzrukxKr6fp6Xfykv/8Roj8FaUyYGRA5g7yXgqUUfHMjbsWLOJOKX+TUmu6JyW401dMxMUNUcOpT3lFulVF4SWtWNtrIt7uifDn2xYvbzE58YNt+necDXT9muWEtFpQEArHZgRyGQtGLOax9/POPaYbG1yda21Zn74468fc+QgPzCbw+zB+ad27N7TajVLKlpNiEZhOipi/ec3glWuGPeC1McB06JZae+LGfOHvT22bz8XXt2PZ5NxwYiGD6K3CQbBwtVNruqctunQhwrezMogWfy8l+Z1pdsOru9srqM9l3xjhPFefs2jsGSBRtOCgCzC9hcA/QaNGfVhg9GpxkLtnzOG/bUxm35xV98sCAR2IwAfJvLGSnzpq0Aq/J1DVBCsaIGsUmsrzv8dsvLY948cjD/50/eHMRsK4S57YDh8l8OmgF8QOFwAp/PnzqVN3IkLjjY63ablcqWEyeaTpxQNzZ67jheltNkUtbUVG7ZIj5/3qxSwZBIPI8HVssZMgSs1n9SgPuVHnSLIDAEmhre+4lfPnv3lQnZHIUvGFsXClVYv6Sl7/y2eeZIHon6H6VYzP/p/TeeHj9z/vvvbTUYtr73/vyZ459+4/2f8v3Fjw4wDMAfPz4juk/IvVzugkBgeUlT1yz+39vPPz4ghXXbREn3GggCIKYNnf/mss82rP1sw8cfrX1xWEYME4+869WBDzAsHHrs3KHpaTFhbHZCaDQ9pn++wmy3Abr2vB2/L5q/7PVXP996oKheJW9t0Xs67NOGp4aG8tmc8IjM0LDe/jquAMeg4qb0S0yKDmfzw8MieiUwPDCoG4I0S45f2DN/yWsLlqz9ccfFylYbEo9xsIyb1hfLFF4ilUS47sG624WBQ4NY1FtE4uo1afjLH4E/2eoP1zzXjxdKN9/cSJ1Hap2c09VINpWMd2pV5UfO7Pzf6ncXLFk0f8Wqd7/am9/Qbrc6wpPj+ozKyeCxg9ns6NT4GBQOW9dS3d6wI6t3VlJUbCibw49KTe07za4w6Rsu6dgQxPA+mWxOMHi834AMMjteojIALi8gKjnwXkm7xJ05NTuKTcf9GUwxQIAA9ysqvdjRtG9Y3z6JUTEhbG50aGR4YgKAgAPS5iMl+977bfXLSxa9sGTRa2t/O5JfI1MbWSjk6P4ZUVHhXHZsTHRk+CCLBaWtrr64e8vX/1u1aP6SJa8s+XCjb6GOzkjk0pOmDUwIDQkh4wlYm77xjzOL5r+1aP7H3/1yorhFqQcAFBrIyYlNjI1jUym4a4dFdjA1bWqfpFAul8/lhGcnRgzpFc8J4UT3jw8isDFOLwTmcds1Jcu//WT+klUfrNl+7GKHGhEU6SnY03rxYquXyWTiUFDI/TLOBriX3CQb50XtdnVltTYDQu+fkcxhs4PYbCLO0SbRsDoQoDBzuMEcduSglExyXJxQpkO7PSOS45KT4tlEhM0mLTFO7B+RFBfL5oSExEfHjUDAfaYjzK2RVxz7ddELyxe9tn770bN18jZJa7tgZ5++A5Jj4kPZvNCwqLjERDgCYW6ruM2g6YsxG+AqoJdOTUgIe+wx/qRJhLAwAAIBvXRpSUn9vn01O3bIysrMnbnN/Wdfi9frstmMUinoltfu3Ss4eFDT1GQ3GhF4PD0tLWrWLP5jj+G43H+8YD7APadnNTYUjiaFD+s38sl5Ly1+91qWvPzqk6NGDOOz0PA7Xa7R3bTXFp3PO3gsv6i4weFoKC7KP3Yw73xRbbu/+NEBCgeI/HAmmY2/l0EdoTAEkZkwPDunX2os5z7KeA2BASh2eObA/iPHjRg5btjQ4ekhRCL60TRs8EhYVHoYjYIDfx4MAgcn8+V2l0F0/mKbwgSJ7pWaktorno5BIWxGoxNqg8RzSAgYeCoaS8MRr8skDwJDwOjxwVQiBg3AESgshUGAQiE28bn6NlkLJD4lNT0lPTEIjUR7sHRe0uAROb2Rjad3b9h+9Ey9xl9DF3AYlIBGQW6ObhIUH5mV2/mTDUsPgenLi/66kSAep91p1hIiUqOTM1JSemX0HTpg7Kw0NpaEoLDoQeFcGhIcEgEUgUyDotB6k85iEIYG08kYXzAFBJpEYidA7C6nXuUmQRF8BrFTmSIobCYSz7baHeAgCRjkwmKhXq8ncpnXRFK8ZwQHB48fP/5+3n4ZIMD9h9VpBoyiyGAaFgtqfjgWRSAyGOCIBZgN7TgiJi6lT0oKqDH6Dn5saEavSBYcD4NG8lidJ6MxOByR7/XA7Bodhk0MS0lP6ZWS1jtlwNTHMmNT2RgUEcOMB8c7UAXZlPXVzVWNpshescm90hOCGWS03elTcAA/DPTObxqN8UQ0My6IhIBCESgcictkgDoHAoWiKGQcEocEXCaptuHIGRUHH5ySkpYSHRZMdHjQnIF9+w+IxrcITjzSIQwfcU3ovlk2LGaoTa3z8KCoIPrVzD1Og8lFsiEigoiA7xk4gkZmIuksi80G93ojWRQKGQ8HB02HWeWNZYMdAfTLEUg8iRoJAW1IQCW+0Cg4rcekZCSk9E2KQ1FJNrPZdM2gCY77BAqdBYVCnSbtbQbNADeCIBJpqamglx4+bRolLg6GwVg1GlV9vbiwsOn48eYTJ4SnT7cVFnaUlsoqKuSVlbLyctCHFxUUCE+dAk9oOXWq/dIldVOTw2xGksnM3r3Dp08HHX5iRAQ8YBg8CNwT34OeMHj8nJXXMmf8jMT/aukwAo5mhQ8bMXjcLRk8Ylj4f/jg4BHAaZIpFELp7Z+YWi2KZsGxo6eO1QmFjTWtrSVCNai7rwuZ4AesqlYiKBIZAPc1dXndToeiQqrRaQMhlf8VJo+3WWtwOUHD0WWwaO3trXwCTt+W12hExGe89vaSRa/MGhgc7LM30R4ArlRprZ3ZCm0WtdlwXZq622FoOtBmQqKz3lq6dPmrs3ISg6loAByrU9LGLlnQiwJrO3e+rKKs47rwry63x2iz3xBB43rAJqibjt3USAwB4UF7a6V6p7urRigMjsaziLwJY2cvWbB85bLlK19dsGRQJIGC1ppsep0JPAusSq8SOj16OINKxhL5onaVzmpzg5Jn0+tlNV4UHEGiw/Qep1DZJc9OrUzhMMkwqE73nsjiZ1LgDkvrhRtE9N7A4XAmTJjwCBqmTm2TSiWVGW1Og6Qmv0mqMNt84Q8lbaVHTp+81NCuM919WNybsVoMKlGNzOq8979wgJ4AAUU5UfRmUEo6VZ/FbjQolYDHDaBQFErkwF4TXn51+cqlPo3xzMQhCbybu5fvyR4GS+Sk9J/4xCs+xeJ7jevbryseoR9dR0mrRIAJX/LOy68vnzsmNYn7r1axOXRCRfUOAfWZEbPeWTJ/9qRBsUQIAoKP7TP9+UEDoony8+cOnRTobOZHUkYfWU3Yxa1kAwpBUclQscfeobqaAg1BxMP1aGdzR9do5VTrFA6VHItG+yS6C3DQhCPxKpXOZHf4xkGHSa9p8npcgLO9uUohUoYPW/72ouWvTs/kR+EBGAwNR9FbdUazw9eRnHajViX3eDwIPOU2g2aAWwBqHUavXlFPPBExfTq7f398aCgEDjcrFKBbLszPbzx6tPHw4eZOd73r1XTsWOORI+Bx0dmzypoam04Hw2JJkZHBQ4eCfn7YhAmUxMQ738oe4L+l51x0t8tmMkilHf7F7bcELDSYbK5/m+zvn4HHUDPH/fjDJz/9+MMGkB82fr9t5+/79x3o4tstP4/LomICW7Z6DFPbxZKSA+daQBHxH7kOr6tDWrp35yuvvrFo75kzR3acPbPxlMB0axfd0lGx59KhbwokgP2aurxOo6H4q3M1TTdMwAb4h8hdziOCBlFbm1TWWt5YoblYPCuK40RoyU451GmWSNuF1RXlBr0eTWRD4KTminNN7W0SmbSluVjUeslfx19itoiRjg680yBrl4jrLtcbdXKvy2k1aFVaOabXE5Mm9UuL0Vst/rNBYHCry9Mh17j/yhsCi3Q2yU2NZISToEGonSfKRSKhTCrT6EwADkuMaP/9j7KqunrwiEyhUJjtHq8HaJEp6moFbTKZWCa7UHLC4ZVReiclBkdPu3i+oLKhViSTCpsqyov2YJgEckxvUofbfqywWCZtB48XFZaaFPVcOhGAQ4DQjPFv50YTGPXfHq+WtektRr3ZbnN0p3sY4FZY6naVlxdcbNNZxBd3vnPsco1C5zaqm/OPfvXiiqVfHSwSdXTnwzuVrKXiyA8XFJ12aIAHHwKW4WRmH2+oaRMJpTKJQNTUUl0DOF0AmZWhUHnOXzjbJJN2gBpDbTDanLfQRFAYQOaEqM8Zq/64VAkqFt9Lb7b5fJo/MTnUSFsbwWuTKhWihtpquUzmL7krnC6jyShgQ0w2nbJdWN8iaqzzehx2HegUOSmD4oc88/QYJeD0+B9PBniUuIVsQBEucmIiqcil7BLRDpnMYEaGcMkdLPuhMyVScbtU1nS+qsTc0MBnkzsn1TtBoElYWqS4rqSptREcB9vaagV1x50uGziWm5kuQ7jbLZMoZFWNhQZFE4DCMEnsfudqK8EuBA6motbGuupql9OJC0m5zaB5b+YMHzzgOBwlKSlxwYKkRYvCJ08GfWwkiQRDo112u0Wl0ra0dJSVSYuL24uKpCUl8qoqXWurVaNxu1wwDAYTFMTs3Ttm7tyUZcsipk0j8K9G3w3wANBzPUIuLvj1y8zMwf4QcbcELPzy1wKx3H/JvcJtB1T5P700a5qvDVOHjdpeoLIY/WUB/mOswgqTx0X77syOE69MmzZ3yZSp10fNuRYCf9DC0c+tmxQFYO7lIv1HhVDAORqonPLWy5m5Y9/47JS2/4bZiZReg6cbmoQfPp0zfsqMH+pwKXYsDaCnJcTwFuOWLZ3Rf1RO5prNZS3AKH8dfwmv1yxYQ9PeOZljJ49bU03G2PAhlibBsfUrcjJH52Tmzim4XIfpl3xNOEk6B8fg8WVy+F+56KAoxPW6uZG4CH6v6CmzLq5+ethEsPLF779d7KamT9n4mrT053kzfNEBp06euv2CymICkqjGdtGhV3NzsnNznryQksafOiw5mEeKG/Ne+FeHPxg9Lidz4pu/rEF99kx/fnREn94jSXzethdzMkeCx3/UA+Q+rw8J87fFJ6LzMgflwnYOnfnr4e8+2VF0tkzsLwrQw/iCJI1ZvOep3L48hqpBbQaaRh/6df+650fG86+u7QwQ4EawtLDMPhPnSj+Ytmh8Zu7L6z66pOZnAzAkgE9+elI6LF04b0pO5nBQYyxc/93ZZpP/qmvxqaDBr7/IxfqUW65Pt2Su3llQpfIXdxIWORCG9umNASNzVh0RYk3kq0rjbiAwYsPT54r/52vzS1/uLVRzM+wGy7kPXn9+JHj3iW+uex82OZGGCQSsfATB3yQbWQAUCVCSR88lKbpEdHBuzpc7z+vwmWMieCElz2dOGZ6ZO/HrswCpz+vDojsF2g/+unFwwZtfVANznAAOIKYnBLehfV0jd3hO3gWcDkgFEPQIbp8nFsrf2fzqkNycp5Z+cFYR0s8NQwHEXn85aAa4BRAIBI7Hs/v3T1iwIOvDD1PfeCN46FBqYiI+JARFBg3kP4HC4SgqFR8aSk9LC58yJXX58qwPPoh7/nlacrIvBXqAB4qeS7ombjy4/cfxy74BgNt7v6Dx/eKaA888Pi7q2rDNd82dJV1zOoyiy9+/+MF3RWcFehOARxITUl5e8d7T/QZF0h6+/IA9mMnjH6CSlf5x5pOf80APPKZfiB2XzGbGLZyWAACOul37j+UfLpJgCNTc+esGE2v/OLDpl8MXdMTU4OxZr4zE49Esm5uVHmKv3HbJwREVNdQXF5lxpIyprz+dwcV7mmo0Oi08uz8oP4oL7x0+VXymhoJGRgxKrTUlvZYWH8aXXbkvEJs5evyIif3j/qMEAg9g0rXaC5vOYOZGQY1wwEwg0rgRyZGghefRNbWIJK0yJxxO4fEAOCWSQiTj3XKtpKhGDPjmiBUntQ57e9IX89KQUHWHE4VCENBIk1xgZ/PIaCIa6rGZHXqFnsAjQfW6VqGotcMAh9N4YVA4lU2AYJ2qpqpmtW82nMuNDAmLpF0zqliVzS0VJ0qDZ08OwWP9x71uwKFsUcGxGByb6l/K6NTeopEkQGdWNFxuVNudboAawuBFpDFRTnVtZZNCbbD59t6jwhL68pCaVqtFpzLbpVLfMgxOTBY3iEVBAx6XzSQpqBfbtGYAwFFRvMRsLgEFh7pNUnm7sErYuWaDEhEWyg1n46FOm1ogg/FYOCIKMMgUwoomHE68syM4PiZ5YjrTd+o/48HKH3Pvk66p67ZdOL1t2znQBUnqHd+GTR5OTxgzkis5cxpIjdK1nt2zc+ep067QaPqEJ5cPzw7Tis4fX7v1DHhh1NhFIwdmJ8ElkqLftbTgg0cKcGEDh4wbl4quPfPmF6e0Bik3O2nAuBdHR+DFeYfUKE3BZWvRhXMYIpC7YEkOEVt44NCmfb9LIKzooZNeeXJQFhlRd1XXTRwzcuiEPjSY9vqqxifi7+F8USDp2j8e+Dw2p0kmuFyvtDvtMLO8w1RXhp21cmI4GQvRCDokDQJp52m+zh4UjIWYxFpUNA+PgCMAq8VsUyqhXC4B5tXKmn3KTdd5rk+NUOAwj1XsYkTTkAgY5Ire0AMAjcOB4RgcLJ5Kg2oESjSPQSD6IoD8iU0jNVstbrpPA8MsUpkVboFRwimg6+TQdhggKBSOjASutBlOpeNpHDgEy0dL6lpVPuV2jb7y1/jPeTQF6Z7Rg6baNfLcJRsIGDmaS0D8KaKgIIVFp4cEUd0OueTK+EtlhfFDI9hE4OpYhgMt5GvHQRwOzw4ONaPZfCoaaWnq7Bq+qjgcO4nNJFDAa01qwcVmhd1gJ4Anc7gIgBTPJiBQ9psHTWK3r71+KCXW43K5LBaHVmtVKq1yuVWhsKlUDp3O7fAFwIHAYDAMBkUioel0LIeDYTJBdx1Fofh2nt8cwSdA99FDSdd6zkU3qAXVZdtOFoNjiP/IzYDmVOawGWmJ0bRrN2ndNXfmopvMitJd06fuRPXDhccmEk3GjsaNlclvf/D040NjeXeZtPj+5X5w0Y3iAxXnjh7OI5D4GCiLbKnykFG8wasnJqjKCmta65qlRrUGCvWScYMyslFt1Yfy/yiVUoYlZQ55LFGuMtK0bv7IeO2pVW83RyVbEASoVOkye4T95ryUHcZoLJbKZYgJvqp+/n13U4cZhwnFejFk/RZr3zUZGemxlurK3SfLQCG0uj3B6REZ/aem/zdBEB5EF/3S5gvslXNjyYTrHtLejF0uE1ScO3yhDQBADx2JtdPDIuN6z02iA90eCd+maG0vzTtrT+vbOwoc1B+YOSGvHTAX7jsIp3D5vQfw7uJR4F1YG1KpFNTkw4cPv/ebMO+1i66pOXbmSF5pLR4fjgHYJNMBT9RITr+Zuez6334FcgegHc15h45fOGKPH8wfNHICDeLSCCqF7R0+TwtNpEem9eUR9Orjr+8izKWZjPFxyZGhEcjaQqGoTex0W1BYdHAMN6H3KNu2lQdBz8qRQjdIvA6hnjZ+6iCuvrH64MmD5e7IQcOGTB7A8WpNlaVCiVQCAG4skRCZxQ+GR6k2nTjBMmFh3uC4sMTeY/uEgr/HPTOXAi76Px34bBqBpGLb0XJfBjTAgYVheNTk1LGDIqhoxKMcAfnBFaT/UBPeOfeDqfaQ8dCrPpfZ7DSZQI/dbbOBrjt4BAKFQhEIGAoFx+EQRCIMGVg2c4/oIRe95x7lI9AkFq939vA5ixa+/rY/StyNvLFyZW7fbvLP7xinx6XXCzwRGdNmLXhn5YpXl84aHNHepleYdLdKXhDgX2OSlwskTU76C2++tGzlsscH9+dRATPgdZn1dVtPVrYrAG5KalpMRLg8P7/FDJrLvWZPGjp01uuvPpaZwCZcUTAe0Ml1UdP6jHxh2WvPz5sdLWtTmoz+HaVdVdU4kkOGvL5k+eJXXhoZT7RjIU4AIJK48ekzR6ZmZqYkYuw2eVVd+20izwW4ATiaRGYnhFN8U0N/h8dm0UiEFZcrKy5XVFyWuiOJUdN6sbrfPwdBUwjsxCi33OSy3moX6H2LFwK4MOyEUFYY454t1Wlvbz9w4IDVavW/f3gxtx5v0sJdCUsWL39z6fJp/aIIFMg1280xYbGZvXNnPJY8acGC14amkdpqy8rPt7h8eQRS0wnyImljaZPe6YZY2rGJo6bPf3xYKl1ddW77OXFYDAc8h+VGaCr3VqosTo9ZgSEnDs9d/s6Sl158migFbChU5qB+c57MSZ38/KvTBsTCzGUlxeebtKnpseCFBJmiveFUudDQWtkSMiBrxsIXn5o2rU8o9h765wHuArddZ+i4XFPl02YVdXoTwB08IpbyaPvnDzSPjiYM8EgB+uEYFovA55Pj4qhJSeCLkpBAio7Gh4ai6fSAf/4Q0HMuukpatPe3x2e9v+3Shdo2qVQqV6p1No/nvnGPSFC7x6yRqnVqNyIOsMN0SqUMbKZCJjfb3N4Hyfq/35Eoazi22uFDM0hoJBQghHGiWNExgMtpFdbtaTj4wdZPX12y6JU33np/W424ReW8TVoYDABMzoiNjeKhARwRzY8bB0dcXebRVVVqNDk9KhQHIBBIenRKFoFMAdwOs6Ku/ORnb7/x8pJ3Pt96sFCo0mQUtPgAAP/0SURBVBkCLvodgabwo/s8Oy4Gh/n73UuY0PBBc5duO/DztgNbtx1Ys2ju+Lgei7eIoOG4g56bNyiR/0BtS4EiAXJ2n+TQ2LuZQQ/wN0hbz7CJhsGZiUQACgVIIVFJDM6Naf+uYpHUtV3aeWTL/5Ysmg++1u7Mu9Cos1spOGSfp7Ljwmh4wCrXtV86d2HP928ufBs8570vvz5Q0m7WgcNC1NjUpKwIjk/JUKNT+Hjy9Z3D2NouLDh56McvFs1/HbxwzZZdhbVWFC04YkrJ1t2FRaV1Mo3W7AgMLvc5uKCs9JkHNmzyabOt295fubQ//9rtuAECBAgQIEDP07Mb4uxGdeHHT8wZ3TczM3Pk7JffP6M12O8X++TI+sXzxmRm9hs99Mn39quPfb5qzuODAtHj7jW589d9tqM4Lx98Feblr/dFcsL6i7oBVdnlxroVzvkbdpzJy9/12Zzxuf6CAAECPLqEDJz1zPrTnWrH9/rktXmDb4iGQo+ljl3z3f5zR7vO2fzDjilxdMwdbJYMHdJr3sbd+cUnui5c99Z74wfQs5/dsW9ptvabzZ++/vq2y7rORUEBAgQIECBAgAC3o+dcdDonddDktfMyIVaX3Jd5re7iqV3vzHx88oTx48e/uHrTrupbRUK9h1gNGpVcKu2Qy5Q6i8dq+HMW3WTrTO8coJsg47jNMG6+QOjLWwMYW6WNckEDAIUhaYxeVa22Vr2TwOaw2UFsNpWAQcD/+RrQrqqKZZYauQoAnE6HSlBRZNRpbQaZxygPpYez2cFsr6XDYbzsvyLAXeFxALoLB85WXKy7LjbxX2ISX7xccuCcsHOb+n+NyaYtOvbirKUzxj9xzevbQ/knj2zK3/besSarrenggRLBRXHXWg5QDejrDrzz+dLrzl/22aYDdTepL5cVEF57bScd5y5WXL7FyQG6FRIlVmRBF7ZKun6ytsYqpW8z+K3Bktj6JkfTeZmVzaH7NA+HSiKgr50kxeCxHgO7emezjgAn+E5gM+hMHAL6t6qJQCYbBNjGP5qsHAq980IqmYJFQ1FEJpOXOnb+iLiMXmaFMuCiP/KY63b99tmLL61Y8c3ZijPfzD5aWBRIERogQIAAAa6l51x0DC4oNnHa3OfffOvNd328+mRuP8SJglOHDh48uOuXH79b+/6qVR+tWpV3XqA2+C+5N6BRhOg+i5e91Nmqm3hp2eI+0QRUYDVq90EOSuazQm1lX6z6Ys2qNdvPnBNrABwAReBoKc8moavbTn+8dvWqNWs/XrO7uEZmuH1wwdsCRWBpKTPCjSUN+z5cs3rdl18fqzWgLF4ElMygwLy8o199v/Z/a06UVMgsFP8VAe4Krxuwy1raVTLNnW/qcxplcoVQqr8v9hfAoAgSIyElJqVXOBVFhlmwkb0SknuFMKl0BpfGiWSgXFBjS4tCJzN2PU8AfTI4nhkVFtMrMYIdim530uNDYnvFhHGZ+JvWvXpdgOHaaztBUWA6sVV4odEEuAL7K3oMYuSwEITNdubjNas/WLN6Z2GjUeu9rQpHBGUl8XEc/cEvV6/6BNQ8q38/dk50nX8EpzFCovoNogi2rd/0KXjCqh+2brssA26zQp2EQTopqD2/fruzoB5Cio4ID9Jf+GLVelDXrV61/eiZ8iZBU/7/vvxs9fc78mq0LiyHSwrsRX+kcQOAtLFaZ7XTI6KjQ6gEWkgyg0K+PoJ7gAABAgR41IGBXqn/v50IBIJDhw7NmzePQPjXyamgKAQhOKZv/76DffRJ4UWQ5AZ4TFh4DI/gMjddPLb9+NEztJjhcVExNNBq+fcUFBRQKJTExET/+1uDgKHo3L79sjKiOSw6EksK8pOQ3m/oiAlDcwdw6SjYQzNcChT67cXN4H8mpURGMLrla/6nwHFEEsTlbj2TX6fokCLDgji89BROUFwEnRbD9VxWi+ovV3XIVRo5MiIxmsPG2D0A0k1JCCcBcI/J7MLBUSQOFWqWW4hxYWQKAQu4PR6nVovhhVBQEIcXgcCG8um0UJq8WNFcW9po0htIsdlxtPDssNBghsdsO5tXopRJ2FHh1KghnCBODBP5X5jIJrtzS3E9+HdQdNCg6H+ZLuEfA8oAKAmgAIBi4D90F4BeqKXpohBFJtMiaF6DpEZvNVZVVdXWVMvUei8xmIAAoBZpk6C6uLRcKBLp4SS79HJ90cWKxjY9BsDhg5HmVlFj5eXyqubW1mYngYRB4ZAwj01nklZcKKlsENRrNRqzEyJzoChot0Ek06lFUqW4skoOo8G1leWNVRXVTW1tYhOMRkMhPDa5Wi0Waa0tl0sqBSYoAHHBdaKa88XVTRoXBo/G+kIfXA8ChqRzsvql9x8cQ/ZymJTwx996YtjgeB6bgiHjyFw6E4VWlV0y8shkRjTBYpLWXiixEWN7pw0Y1jcuKBYvdfV7d9qYUUPTIjgo09U2N8uMOjeKToRBlddeW3OhxOhlhJA9EpiupRGRHEGG3cE87G35vaK5WaWPZpEez7zTX1AqlZaUlPwncYyNducP5+rBv33Dg/qF97i0w0ksolniablUUKOSy7EhCWGc+Cw2K5iD8ysKPNphccNMKF4qG4XEs4Kodpyn8UxBlULeIZeTqSEhoRF4tM0ID8lg45EYGApDojCjaKKzZ5vaRSJ5hwOCYSX0D0VpNTAui0rhkuBej8dt1jqpoSQCnQzRANaz+SUoekyvuPRoBvGKrpN3IKhhVBoW2rrj2MWONokSEZoU3XdQL8ZNgtmT3IXkPAT06MDndTudquqyiqqqmlqJQmtGMTr1VUlDTVlFraBT9TFwKATKpTEYZPVKvankYq2grk5jM0CxTLRVVb/nwIE2I5ydnJ0aHxbLIHJpwUEktM3S0Vxz/mJ1k6CpyWIHkDgyFGKR10uNFkl5q6CyolkusaBoFAxgaGlu6NSiTQLfywIHEBC0USosKCxvEjQ2qUwucMwkYLo7ut2DK0j/oSa8c+4DU+1h49FUfQH+E3pIyfRc0rUbAAc1q82oM9oBX8Q4U33FkV2fLtpaCLz43r3Oiw62xeOxG7Tluz76YvPabYX+g0Cv0fOeff61aUPDqFg48NBkEAxk8rhPeNCSrt0KtxVQHfv8FDEsNHowW1q7f3UTO2P3zmMt9Q3cpJxxS36enQ5DVO/95tft3x8rxhFpWa9+00e4rjj/7LEGL5EbNuvDo8M8O4/v3/PziUYvluwa/+4XMwcPDSfbxSU1+z9ZuKVMb3JkpSVH9puoCpvw7lCg9rv9Ykt1vcdy/Bj+lQ2TnevWnT1ffMlLw1MGPr3+nbEJMP3JgpqLZzWxip++vaDr/cyc3Jj+hvItH2wtcaWNfPf1KaMy0qi3tVLbC3c0i1qMQ98YSgfQMPDtH77sfeNGJdRu+ro9Oywkciixofzkjyu+i5378eRROXxKR4ns0ndHgj4eEUMNJziMkpLyY58t/7FEZ3R4QgZkjJ793tz+3Oafv5LedG2mxdLaflIQP2NUEGg137VeuYv8MT2UBeROuPd50QPcjkc+6drw4XGhXQe7B4/LZZI15330/uaCUoGaET9w4AufLUxXVm59e+eRooJWLxJPTpr1w8sTUtIQpZUNJZ9XoVK3fHXKpGtOeazfpDnrhuGLP5+2/rCsXg2L7jd6yoIvYy5uQowZzWG5dSd3fbViQxEA2N2jR8+fNfvZcJ78j3f32qMVW2obGk5ro0jZT329fGpwy6Zft4JaVOD1uu1GG3TaB6/MzB5vKtrz4vs7AMDsSRrwxDPTn3tscFA3R7ibvfn4ifq2scmh+14Y7j/0gPAfasI7pwcl9lHlwZXYAA8cD1zStRuwKOuO7FqUOaR/po9Bj89ZtQV0ju9iVfO/x+efn3n/5bfWbtxf4j/ko+r0bys+fG3x9nrAch/smg0Q4P5GbXIXfymLm/P2prxD29+YPbz54EmVtfzkBiOXMe+n/OIjB058OCFzysufzJmz/n/zPvp039Gnsumx/Z5+ftXOvPziY7v2fEP7w62XCFXNwsuC3Vv6LP/p5L784mVz0sKBo/47AEdFAIrQ9619e1ZNiO49+ZMfPskvzjv+y6/rs5rKW9RKI6gV1YCgibby110FP2WXKYsPbNIOWHbi5KHv+kgc6oImub+au0DZFWhw9oYdc6f15TH8R6+gKrtcUba8eeLqraeP5hdvezVyGHzTj4VXYnXfcC2OALhh3qIKvcPp7Lw6QIAAPQ3Et63FZ964PV7P9fMQ/xaTWFPz+7zCtNwlvxzML9753VcL0z0dB2dfJI4a9PbZvPzTu3/6X8aWrc2Xm4VmQN1oK9vijv7p0Bf5p78fnzxEfL7Ywc989bPHJ33y4crtX65f91gUgOlypXER0SMXfghqTl94wgG94qyFlUZfZvYdhUDSijlfFe/7fN5bnDWXW4yW8C4tev7w/n2rxi5eM2XQqJQkbt/Zz+UXHwCv3ffSoFRsbWlrZ6XdhrszGw8UAgFf/kMBupUelNhHkoDEBngI6EkX3STVFG9+atb08T6mPvnyh+uOS5tEUh+MVP5za3Yd2LH/wJxJWRy6/4J7g9NpV1QXnmxt4feZ8O43B67y+cpxGYzaxp8PXpBaHQFjOkCAv4SEQaZNykpJjAhjhyWGhsclUpwwKI+RcqnBkn+kSINhsUlYFI5IxeGpZAKFymQRUDAESteet+P3RfOXvf7q51sPFNWr5K0tek+Hfdrw1NBQPpsTHpEZGtbbfwegdzivd1Yql8kkYxEoQJ5/bNv7S5Yte3PNjycrGsUm0HqNpVNyBvYO5QZzItjhveLTM9IzeMFcdkZaHywuwun2V/NPaTy653TFwVbW0pGp4TwyDgW/YS5eLS2260sGDBwayw3hsjmxyQMjogcYxXKvy3OLayEEJJpMozsA6L02u6KiohYsWNANW5YCBHjQQMJhNBwKtM61VrvR1p3juVnf2t6wI6t3VlJUbCibw6SjMG5p7Y6+fEpaUjKfzY7khWYMnmYHCE69BSBy6UnTBiaEhoSwI+OiQqP5ZDsARxFpOByVQmbQaFQc4sqSPQjCoasXnp6/csX8JR99sfFYYZVCA6DQQE5ObGJsHJfDD41LS8x1AygvHE8gMwleu6XuD8LUxxJjwrlIpMci01R9v+qtBUveWv39nrzydpWh+6ISgk6j3Gi1Od1YJJx0J3kN7jMeCE3YcxL7CPKgS2yAAF30nItuUDdfPvvZ94d/33/Qx9GTderW1HkLlr3tC8q25OVXn5w6btyocePiIli4e7s9yO6yy4TnZJTo3jkTJ4ONuMLUyRNzekWQBCcbOmxOu//kAAEC3BIUAsaOC6IQ0QgAjkVhiAwcFAYhhw0ZmtUnhCG/cGj9p/vLZDLTVT8Z9E/N4osX2xQmSHSv1JTUXvF0DAphMxqdUBsknkNC+AJAoLE0HPFqRmsuGc9iURCA2wHIL+1vNLTAeClp6cmpiTEOF8rldgE0LDqEx/T5wSgUhcUICmbRkFAohEgNQiDverGRVCdqLpda6yGJYSQE/BYa0mZRAy51OI+NgcPAYjQxCEcOA6xWwOu91bUIGByFxv0He2fIZHJKSgoCETBQAjxy4FHwcDoB1AytaoPCaPEf7Q6cDpPFIAwNppMx6M6Hd06P26QThlOQFLIviiSoyEhB8VAoxpfBBEXEMOM5FJ9yQ2BwOMINifSvwamsEbeUnzfFRsSmpaQlhdLJOBvozsMAfhiVggMrRiDxRGoEFNo5524UKeUt580hIcmRbDIObRS1iGp/EuJCo5NTMtPjmfQgq70blyg6PZ56mcZod4A+JIfUjWlR7xEPhCbsOYl9BHnQJTZAgC56zkXXa9rqi3eXkCN6Dxg2xucCT3l80gtLV7z9zkqQOeNnJN7bufM/8QBeh0PvxVKJRAr2mrC/aCyFSKRivXqHwxtIihMgwN1AjZsxcuj4sZHO9ovHjhS3y3RXH3aBXUrddKzRiIjPeO3tJYtemTUwONhnuqI9AFyp0lo7Mx2C3q/ZcGO6LK/b5mg9WaAPomQ/vQy88skR4Tg0yl/Y/ZjJoRF0YoxbdaZGZnS6b1YFaCwNgNNaxDKry1dqM3SYda0ABgN64be61ul22W1m0H/vvDhAzwJ+5XpZh1Z766QD4G9g1wolKpna7D9yK2xqpbDseN7x4w1ypTkwnfVAQsagUnl0JAxW3aFu1Ri6sfeBrjKWyBe1q3RWW+cDSAQUhifzW7QOrc7k8vV3p76j1uOxAoh/shncIr0oldTJI9+ct3DlomcmDEri3d6xMGnFLRKJ2REzOpKMBr13t0bQ1i48gxz99EtvLHtl9siM2O7NXWJ3us4LO9RmazAFF80i+48G6FZ6TmIfQQISG+DhoOdcdBgcjadFxuYu+ebLX/b4FpJ/+/HPEyKp/n1XnTFRzVqZzGiyue52QerdgYKh2LzBJNG5osLjRaWd6+47KS06Xlh0TkQazGODp/hPfpgIqPz7g4d5Z5TTplVp9AhseN+Ji54kA06oyw2He70es0bRYbSrTW1kpxzqNEuk7cLqinKDXo8msiFwUnPFuab2NolM2tJcLGq95K/sCl6Px2RSRkJsFKtR1tYqbqjNc7oU/sK/wKdjbHqzw+O92c3+C6KiRk1+sl9KjvmnX/+oblVorc4b8qXROJlIYvqZ04frxSKwzfXV51qaC0k8FgQOvcW1bqPDplOrkIAnsCXuHgD6SE0XL9TX3zp1P/hD6usO5JdfrJH6j9yMxyWvLj30zYLlry0+WFmjDExnPZDQCegBUWw8ClEuUVZL1abum1TGkcKCo6ddPF9Q2VArkkkVKrsVxomfXtAsL60oFcpkTRJRybk9WKgR8Y9m72x2ldsiYgJmtULWLqhqVEhvt5vcZastK2+vLYcO5poNGplMbVAZdCi7Lh3h1ivlssb6MoXssv/cbsDp9iiM1nyBRGuxRzFJKVyavyBAt9JzEvuoEZDYAA8NPeeis3gDZs87fezDKdHxDKT/2DU4lLWC3StGDtn4a4H4X4R1uguQKAw357GnmMG1+zfOm9oZva6TqfM27q8NZj71WA4Xg7pFix9MQK8gEIPkP8fr9fqCl3g7g5f4jz18OAGg7uybzy7Nycwd8eTshUWRqeE0RjA71GLRb3tt4vifLzDYYwxNwg+fzhk/ZcYPdbgUO5YG0NMSYniLccuWzug/KidzzeayFmCUv74rQFEYcr/Joae+P/zMoNyXFz9dCeQ6gTtITmBVC2rOfLa92mgx+Y/cMYy07Kz+G/o2rnhy1aZjtcIbplyvb/OMzfIz9NcW96MQunJp3XCtygjA3JCsFBIysOL8gcAorLG6PQO+OXzy2PMDsrmBnfwPJDQcqn8ku1eob7HeaYHkUHX3hU/D80hxY94L/+rwB6PH5WROe/7l9aXeoHGfRhf+7lNQOUOmP/uuevFLyf3j+bdd1X4LGJFDaMiQkuczpwzPXHFI2GGkJfhLbqQt/4sTBxZ+vHHelJzM4aCyXbj+FxEWh8EQ3x4+c2Tv3F8KqqRArv/cbkCo1n9/vlqkNXIpuN58ZgKne2foA/jpQYl9xAhIbICHhh5NumayamrzFn9xRGNoBwBKRGrG9CVPpxPwttpzuw7u23G0WNZxqX7qe3uevtdJ1zwuwCguunBoz4btB/afr/cfBZKHz5jyzKuzRmTxCMCttqA+kJysa5/zU77KZFs7acCYBD4J89A8fHiQsDpddTLtk78cd3k8b4xKXZyb7C+4V3RP0jWvG3AoW1RwLAZHQ9lNSpGdEU/GINBQl81s1SuNJC5aU1nXrtBoADQCxYzsFc/EIxAWqbxdWNdu4SUNYHklMqmkVeaEwyk8HgCnRFKIZLxbrpUU1YgBhwsAFCe1Dnt70hfz0gBXu9KNwWDYNJxv9bJRVlotBmvG4eFBPJ4ZzeKTvBarw+pC8zl4AHBrm/RurAvDYeM6T+7woFB6fZsof3N735UTQ8jYGwJe2DRSs9XipkfSkAAMAr5V2+x2KIuJN4lbbRQsFs9G2e06yYUqU1BMRDCLjHXp7DqRAhXPwCOwCMBpvqbN1BAGLyKdhQZM4pabrkUrzsvbW8VRz4yOQGLgdz+PfhepsxobG48ePTp37lw8HvyG7in3IumapqalQ3xMRY2v+eJktaFVmxydPvLJpVk8oOrQXgeLxc2It0tLtn68o0pvdgAJw9KHjn0l2Vu5bcWm3YJmOyZ80MjxMxb10v606UBJlVALcOIoQ597b0iYtex/27eeOFrsIiTF956+amoG4Dh1KH/PyXOd9+z/xFs5fbN49iZJ0e9aWvDBIwW4sMy0hP6kihIgof3w8epWbEb6gIHzQyS/fbylXM+LGj1+xMT+UQiN+PTiX05pBFKAzE9NnbRkZjIBh5TW7/7dVzMSByTOemFKnww+7ZqNV93Go5l0DcTqcB2pFn98vLxZaUwKok1JixqbGIZHIf/9ahaPy2aSFNSLbVozgCIyGJGp0TSbuqLGp6AAAI5Eg7qOS0Zj3WqDxSp2MaJpSAQM4japrTa7hcCmIY3KViscgyWxiTCXyyQRexhMNMrtkEuaqprVAEDkcFE4JhGN4pEdAiWaxyAQcT6l4zYrJAAPayxVdMgl4J26oESEhdLZUKO8tFYMAC4OlwqnBGMIdD4N0fmM/q7xeL1lYuW+yuaDVUKV2fry4ITZfaKTufdv3rLb8R9qwn9Ez0nsI8JDI7EBHjh6KOka7N133/X/txOBQHDo0KF58+b96+iXDoO0snzf+m+/3nesoqZcIGgWtcs1Bh7Wc/LI3h3bdp84K2q29nrsxcfGjIgKp2G7ZWF5QUEBhUJJTEz0v78dECiApgRz2BwmNyQyMX2wn1HjJw8d2C+aCkAfIoWoMFpLWpVyozWKQQ6jEmm4njACA/wNWoutSCQ/LZAEU7BDY4NTefd65dX24maBQh/BIE1KifQfugvAjgPHU4hYPAYBQ6IxZDYeCev0OqFwJApPJsChGEJQSHBkTGRkBJ/PJqF8pVAkgUAPCedH0HBwNI5KZ4eBpeHhHBqdQ8GhMW65sqmi4EBxg7SjQ9ahdcPQwcmZiZkcPBxPBe+E7XykBN4Dje+qOZQfTqXS2KD5ikLjcTgKAVQdYDEMQ8ViCXjf2Z0nEzAYqFKjVQv0vF69gsB23vDMDY4hYIlUHNzf2UFzGU0goCBQCIoCtgqPhAIwJBxHD+Nz6EQ0+A4CRyPwbDIGhuiMEAVD4nH0GH44+EljIoPZQQSk78u5+VpX80WB+LKJMrBXIs1Xu+/au+P3iuZmlT6aRXo8805/wZaWlsOHDw8dOhSDubcROQHAaHf+cK4e/Ns3PKhf+L9/2nsrtPU1pUXf7ZOEhBJRxCC812bzGivx3AyGsVXgxeOJXA7KaTMobRhQXHBwNwZqp/LCEcY2SYsdRuWGZ2YmRsUzoGqNFYHG08l4NMwqZ/Pj0a52VatebyEE906Pj4tFN+8VNYrlUD4zjMEmGNUCMhxFIRDb2s9/sc2QgIPjoiNCyYC2I39TFTkOBSfjvBKDuq5OjieiUHi4WYIiKHDs3iykwygxuOhYIo2EwnvkUE5ysLV5a1ODsN3NZ0Zw2WGJyRFMOh512zz+/4K7kJyHAygEwiCgrQ53u84kUOo79GatxW5yOD0eLxwKRcLB8rvskBAoHEWOCA71df8wHpeJg8OgVxRUZEyXrvMpis44mp2lvhtBkVgkloCDg3oAjafgsZ0/NwQKRZEpaCTYHBTo7QdFxkRExnBZQWwqEdS0MCSBScagkH6lA0VTyGgojhTMDO7UPF0vLoOOx4GqlQbeGnzLCgpmkAkUrK9y32X/DK/X63B51GZbg0J7trH9cHVrQXO7xmIflcibkRWZwKHelODiAeA/1IT/iJ6T2IeYh1JiAzxwSKXSkpKS4cOHd6+S6blZdG1b4Z6dS1/6QJcSzaax8AinSW5VVnHiRxcUtkNx0IiYZA519IJ1ufFUTHc92LzTWfRHiboO3ddnarZcauwdxn66T3xuTEhAyd9jwA5W16H59lzloWrhiHju8wPjc+OC/WX3iu6ZRe8JrKKWolN7Nuyr6VwoH5w1sf/IaePjukMlWEUypaZcET44meBzsv8TOs7taXG3QiOWZF8NU3+X3MVcaA891r0T7sUsuvSPM3ln39yHfXPNvOxQAkZy5FRJ6SeivlueRxedhASxuNn92G67RnK+XGx3tNWdMzq99MdXjw5WlX113BIaGjpxYNQ1qzPEHU2yqnz8U5uGRMIMJy60ikycBZMSHM0nv16jIGdFjnq+P8sBGC5ve/u8Iz45cjBgO7r4S+aG13NSsoOBjvITZ7//P3v3AR5FtTYAeLb3kt303jsJSQih9xKqIKAgIui1cK3/Va9dQeWiiIiiInZFKYogEEpChySQQirpvW422Wzv/T+bDEVFpGSBJN/77LPPzjkzs9P2zPl2Zs7ZWD//u0VJgfy6TUezTm63v/7pY0l+mhM/njdUmyPXzw9z3H5SWiOSdrY1djVkyZPXP+t54eWiJhep1yNLp+O3cjjJoL2K3qumU7m7sPH34sZmqeN5l6G+brFewkAh14VB64mc4XT4B6hCqDdbOtX6mi55fktnt0bPoVOG+AiemhgzzN+V3zcXU263O1gS3gQ4Ym/IgDxi/55GWlPfUt1ysU1dX/8If38fkl3cbPCMFtCN2vp6mcRIjr18L7BZq1DjuZTeLiiAMzipkHFeiN5am7bz2wc/+O7JH394ZNTMML6i9tDZ7xYs34wZiCseeX3FMy+m9Plf+hCi/5VEYzhR1f7Crhyz1fbYqNhHR8WgeAXPA7eF3mQ5UdP6yv6zKoPxtRkJ9w8LCXHj4nm3y90booPr0/9C9Pd/FymcG6IX1zf/oJq+erIrn07E1BeK8y98l0Z6dpVP4QmSn4fP8OF0RdPp31es3iNVNFv1fvGT7n3z1weiu0s394boY0NtBqM6P/35db9nF5+3mxks9rx12Q8k0w2nekL0p+fEdKd//oPeLWLI7HlDeD3fWbvnvWZmsEkYIsj9UjxjXYqPwIuu6SiuyP3xnOeqRyL5HErFL9VNDed9Xn0gGmNTqs5lyzs7effM8dHXHP3uvS2HCyobrS5M9sinfliXSsn+ffu54838FW8+FC/guHHpdIpT4vRlP2YcqWqZHRew99/T8KRBpkutz6wVb82pKWju1hjNJqvVYoWWWf4WgUAgEQjoYKSSSehUNTXKd9mIMPSB8udbkfqN/hWiI3f1EWu3YXoNRiZjZBpGvCtivoF3xP69qjP/+2zrBzsPsmk967ZgyfNL759DMqZ92T5n3Rj/rvqNn2ZmiNlvbF02hsmnO1o+ktecL8dzBT5wE63TOKmQce4RTCOSRnt7ChmO44LOEHp6TyIRJz24avGSBxICe8cATgZtkNxxuc3i3cX1KD6P9nIZGewRILyrH4cD4NahUJNEcNyWiWqVVtsdqVnqpTUV5344w/tw9/qM/LRv1758/xA8B2cyqtuzN+6yzn/+yQP5h3/98cv/G+3CdsYlF7VeXr5nZWvQvWvXnczfu/Wjd+/HeAwM85vy0ItPv/uYu/SzSfev2XW0RnLVbuJukaOVyp4baNELTxp8hCz6zFi/zQ+M2bBoxIMpYYl+rq5sem8rquBP0HHCpJLRSWpypM8rqUM/uX/US9PjUbRDHoDRzt3rrj5i9RrboU32gkOY9M/do94Rg+6IDZ404umvjuTn56KgMP/tNx7/YzA1bBjmFWv+z85KhU6NJ4F+zLlX0b9f8OauyBQvTw6fTrQZFGpxXW4V5hsT6uvJ5zpaN0b1lJkr3pg6brh3n3SSDlfRrwraILlTUHByvLp1T0ldZr0I/dDenJU4b2igr8uNtPPbR+Aqen/Xv66id6r0Mz89XCVWLE+Jem7CUFe2Ex4BFZ05VXBh1YXY754e4c+lqS58mVuYdwT7v9cWarMy7F4eFC9T17FVhcHbno33IapPfFxcXts14fsrrqIP9e6q2L3osPD1+2MnBbNrDxf88k715PRZQ6j4VfRr3ejuQjp+3VfR24wTh8k+fFMx8bkpiSlMdWbWyf8dZH64bnQomtZiULW2XTizZ4ci4dE58UOD3fF16xuo/OlU657ddbqorWt+QuD3yyfgGYOSzW6Xao3daoNCb9QYLSaLFS6j/5XjzzUigU4hcelUIZsuZNHYtH7fE8UdLAlvxV14xFotlo621tceuU+Pke9d9q/5Sx6k0+/wldkBecT+vaozuxqaG1jTXx6PgqbePyGuuE7eVX+kpuRwtatL69aoh96YHDnamw1X0W8PJxUyTr7Rfe5LmzHs7//L4WDYkx/s/9ftbtF9kEEVNanW8G1W9a6C+maZNsLdZVK4b6y3MFDAdecwOXTKYL7A0ufQD0pnsqAN3ipXV3bKz9S1l7RLyCTirCH+z06KCRCg7X0H7g2DEL2/618hulRjWLk980xNx5gQn8dHDxnm37exZw/RmazzOW+fZSziKQwEm4SopHr6JY9cMSGoPn2/2cODG8aS5Hy6JzOIzyJ7CPRFFBcqYeLnD0TrOvb+cKa+WeoXOSZppP7zH3N5RD3bTWjuZluyNVN+nTuEgofozy2KwXTikxuz8kQVUg+Oix3TWW22oXGTh0UGSLoOX3eI3k6eOsa869uvRJjQRgmkyU1UUZXXa+uiDRltVTWlzRZUFbfakyctGhUd6t63PbwZLNaz9aJ1xwrkOv3i5JD/zRuOZwAwmPTTEP0uJBKJ9u3b9/rrr2u12vnz5z/55JPjxo3D88DtUHVm88ETv5fpxgQyUIg+ZOr4pNh4Y83lED2toa5EGjtH+8We0gkznpiQGM8VQ4h+O/S7EL1blHfm6JofDmHY39+/B1fRbx9og+T2sNntaoOpXampFMvzmsVGi9Wdwxgf7vXomMgYb5c79XAUhOj9Xf8K0VUG02cny388V8Oh0RYnha9Iier7tohFZ4orzn9+gR1efKzJZFA4ulWb/8JITwxryjln4fNdQzwVFztdC46JcYkeEUoPWTTBD7PW7tqXfrJI6TXpcqdrLG9vv9ET2FjowyP8MfOF6s4uvXDuGD8MI6vLcvampR86V4tRMWzIrJVLxw4PFSjq2goPyxMfjnBlu1AM8saW6uPVLkum+LIYpNas9s6OWqHji+jktqpKjULBHpbAvNjpWpy3d8jYSRpB4sMuNRvPZuafKscoLH7M/W8vGOYb7NLHF3+UeuOnp0v2ltb7CVj/Gh25fGQ4ngHAYAIhep/Q6XRZWVnvvvsu2p5GozEoKGjhwoWvvvoqj8cjwmMjt0nVmQ3b9n57otzRxihGGL9iyfRxqdSmK0P05gbqxCcDm79+Mofz7+gRk5NoNTUQojtfvwvRrRaDXq/QWDhCNt3RAYnVrDdoVGqMw2XTGT3DFoNGqiaz+QwGvW96RYAQ/dqg1Zzbg0ggkIgEFI3TyKQhPoJ7E4LmxPkHCPv2CtmNgRC9v7uJEL2kpGTr1q1vvvkmn8/Hk24Xo8Wa29j15v7zZe3yyeG+780dzWVQ+/hunT81Fwf+yGy1NUlVK3eeaJKpFiQGPTMx9vb39QjA3eAOloQDSXV19U8//fS///0PH8aw5ORkFLGPHz/+jt/uPmj8043ujhCdNf3FFNfuk599180KjRkeZVFmfA0hurM5KUR3Xs2mszXzp68mpb72W02FxIRhOknloV2vTJr0yq5DlRIdhpkkFTW/vZY66aufMls78UmAc0GrObcBikN4DGqkJ/+e+ID/zUv+bMnoFaPCfVygiThwu0VHR6NaKZd7u7sPQKhkUkqQe3KAG5dOKW7r/i6nQms043ngtmiUKr8+W9YsV/u6sNC+iPF2wTMAGGTuYEk4kJw9e3bv3r34QI+GhoavvvpKo3HcmAnuIiQa5jpxwbAOzFK+pxCajevHnPss+rblG6rWZLx4T+QwH3N7we971z33JvbuJy/Pm5/kQ2k/X7Xvw+lvRL7w41J4Fv12glZznIqAYRQSkUEl8+gUVw5DyKLR+uYekVsCV9H7u5u4in7HnaoWfX66IqO8zZfPvi8hbM6QoAABp8/ueDdIVTp9q8UtXEh1Tm9l/RUq4YtaJXtL69MuNHZr9U9PiFk2IjzOF27xBQDcpNzc3C+++GLXrl06nQ5PwjAymezj4/P2229Pnz7d09MTTwVOdH1X0XtyrdLinOMFmafLtVR1+OPrpgTBVXQn6nc3ukOIDsDdAkL0/q4/huhyrTHtQvOP52rONXSFuvLGhvok+rmFuvG9eSwujUrqaQMD9Al0HjdZbAq9sU2pqe6U5zSK85rFXWr9tGiff4+PTg5059AHcCvHAABncZQtJtMHH3ywffv2qqoqPPUiOp0+fvz4t956a/jw4Shix1OBs9xAiE7EDJ2FpzJ3p/+eqZ386brpERCiOxGE6P8MQnQArmr+F0cOlDZPjfTf+tC0vm+4CzgZKqUf2nrkaFXL7LiA3/89DU/tD9oV2uOV7d9mV9dJlBarPdiVl+DrFuLGd2PRyY4QHQ7FvoGOEL3Z0qnW13TJ81s6uzV6FJMP8RE8NTFmmL8rn+mM/t4BAAMfis9LSkpeffXVzMxM9Lk3kUQioTLHZrOh6gSDwXjnnXcWLVrk7+/fmwucpq08u7NLTEtcEMu5GKJrRHUtuYelKQ9HuyrE+X/M1TXXnSva92Nr3FsPJ/qzHU3MAefolyH6z8vWl7687fHpYfGeZnHp4fTP3/oAe+mdp1JnxHlSxCW1GV8tXRf3358ehBAdAKda9OWx/aXNE8N8vls6lUomQZDej6AS2mSxPrLt6Mna9rlxAbuemIJn/BOz2azVarlc7p1tbldlMJe1y77JqjrX0ClW6UwWmwXV7PpLM5VGLUYkYZR+cPUB1ZXRD5tCIqAfeIgbd2qU77IRYejDnepFAoC7xF1SEvZHqKSWSCRvvfXWwYMH0QcqlUomk1UqFQoQUIGDPqCg3Wg0jho16qmnnlqwYAGFAnfrgMHISSG6cwsso1qavW7p8pmjkpPHz3xo1QfH1erjH6x6aOb45ORRM5cvXZctVRvxUQEATsNnUtk0st5sFam0VrsNTwX9AdpfaK+hfYf2INqPeOp1qKioePfdd1EtCh++Q9BiJwW4frhwxMb7Rj45PmZ0iIcnl0khoXCyH/xRZDv7q70iEx+4ixEJBCaVHCBkT470eSV16Cf3j3ppejyKz8kQn4NB7y4pCfsjpVKZl5d3+PBh9CEmJmb58uW9De/973//27Zt26uvvjp16lShUFhUVHT69On6+np8MgBAX3DuVfRv5760GcP+vj1BDoY9+cH+f8FVdACc6t2Dhdvz6mgk8rMThk6L8mdQ4JmxfkNvthypbNl0qthotTwwPPTNWYl4xj9x0t+6N02hM3ZrjDKdQW0wGy02dOq5+y+kv/vMv0KjY5f8+z/48N2KgGEkIoFOIXHpVCGbLmTR2DS4nAWAw91WEvYjra2t6enpbW1tERER/v7+KBo3Go2pqalff/31xIkTpVJpd3c3ei8rK0PFeXx8/JQp13uTFwADiZMKGeeF6CppTVnRjqP5GIY/vHIVVAxLnrokITZc2Ce9YUCIDsBV7S5s+DKzsrxdMTXS//XpyS4sOtzq3i+g0lmuNfwvI/9oVUuMD/+JsVELEoPxvH8CFdNbN3fu3KSkpFWrVuHDAID+BkrCmyaXy2tra9lsNorP0TtKEYlEycnJaHvOmTOndxwExfAoVmcwGCiSx5MAGEycVMg47y44rjB81JRVq15FtZu/hTKnjOqj+BwA8HeG+AijvVwsNltOk7hMJFUb/v5/M3A3QXsK7S+019C+Q3sQ7Uc8AwAAAHAmFxeX4cOHR0dH98bnf8fX13fo0KEQnwPQt5wXotutZp1W1iHuUGkMFiueZrMZFFJJpwjplIgVBnN/aTQIgP4s3IM3Isgj2I3brtB8n1tRKZYZL/4owV0L7SO0p9D+QnsN7Tu0B9F+xPMAAAAAAMAA5bwQXSepPLTrPxMmjfn0p8zWzp4km1ElP7Xm6WWpyciMB1PfO1mjMsLlPABugxHB7vfEB5ittpM1bV9nl59t6LDa4P+xuxfaO2gfoT2F9hfaa2jfoT2I5wEAAAAAgIHLeSG6Wtcpaj7T3Z7oy3dluqAEjUhevOvpDw8cz6l0XEWvzK3a/+GTvxYViTS9EwAAnMeTy5we4/vUxBgqmXiuqWPTqeL3juRnVDY3SlU6k7k/NN018KG9gPYF2iNov6C9g/YR2lNof6G9hvYd2oP4eAAAAAAAYOBybovuPy778PBLuzY8kDgh0CYtOX1m3brH951nDJ2ZEh/sb22oOnfqhODdze/NWzDSB5qLA8DZNEZzTadyZ359Zm1Hs0xDJZHC3V18+Cw+g+boLB0fC9wxqCw2WawKvbFdoa3pkpus1gABe2yY1+LkkHAP3o220Q2NJN06aC4OgP4OSsI+dNXm4gAY5JxUyDgvRBc3HP1151Nrji/75Y2lw0a5NZbs+fGDf316yDVy3svvP37vyBj1qWMbX3rml0Uv73gYOl0D4Paw2Oztck16edvpGlGlWCHVGFQGs8Fstdrgrvc7r6frLGJP11kUIZse5ckfH+6dGuPr48ImE2/4L5Ta2trDhw8/8sgj127pB1wDhOgA9HdQEvYhCNEB+Kt+F6JrO4r2H9jwn5fVz63+9/Tx1LzTu775v62NrDkffP3KrDlDPUltuRW/vz/zrbgXtj4IIfpAZbNZbVaz1Wax221o0G6zYQQCAUUijnCDQCKRiUT0IhEIznvgAlxdvUR1rqHzbL24skMhVul1JrSPIEi/w9CPg0kle3IZUV78USGeI4M9Qtygv4s7CUJ0AAC4BEJ0AP6q34Xodn1rbtnuN+esu2C0YjTMZNRrLTTh8s+z/j05INqVpKw9dPa7Fcs3P/LSz/+CEH1AQvG5Sinu6qyWdNVpNN0oStfr5CQShUxhoHf08vSKEroG8V18GQxop/p2s9hsJovNaHH8g2Lr6VgBAvQ7jtDzIhIJFBKRRiZRyY5/sPA8cCdAiA4AAJdAiA7AX/W7EB2zGRSKxnO/fLr8s/2SinbMJSRh5LLXVj8yM9qTyVKWZ6dv/c+6b0qiP/rhldR5CR4MfKJbAiH6XUIhbxO1XxB3VGrUEoNBhdltZDKNTKaQyVSbHQWEVpvVYrE4rq5TKAwmSyAUBvr6J7h7hKO4HZ8FAADcaRCiAwDAJRCiA/BXTgrRnXiJhkjn80LG3PPQyy+8shp5/b//eeL+GbGeDBaKwqhst+ARsx545bVHRyT5c/skPgd3HIq9lQpRbfWpCyVptTWnZN0NZBLJyzMsNHRkZOS4sPDRvn5D/PzigoOHR0SMi4gY6+cXy+EIjHpFW0thWUlaafE+SVed2azHZwcAAAAAAAAAg4xz76IkUTneI1545OlVyAtPLJsbyWJQeho94gaEj5q/6tX/rpoaES6ECH0gMJsNMmlzXe2Z8rJDHaJSCpni7x8fGJjk7z/U1S2QyeTTaCyr1fHAM4VMYzB5PL6Hr++QwMDEgMAEFxcvhaK14sLB6qrj4o5Kg16JzxQAcLMUCkVJSYnZbMaHAQBg8IGSEADQH8GDjqAPWC0muawFBeelxXvNJm1Q0LCkpPmRURPsdmt9fc7Z7J+PHv30xPEtRYX7Cgv2ZmX9eOL452dOf1tZcUKh6HAVBsQPnRUXN4PDEdZVn7xQsk8kKkMBP7ReBsCtqK2t3bRpk1qtxocBAGDwgZIQANAfQYgO+kB7+4Wi87821GV5eoSNHPmAn29ca0vJkYyP8/J2tbeX0+mskJDhMbFTUkYsGTnqgYTEuaGho93cghQKUXnZsdNnvi04/zuNxhoz9uHwiLFqpbjo/K6a6pMWixGfOwAAAAAAAAAMDhCig1slar9QX3tGpRKHhY6MjZ2m0UgrKo/X1+dYLKbomMmjRj84YsSS+PjZUVETAwIS/P2HhoaOih0yLTFx3ugxy4cl3+sq9O+S1BcXH2hpKfbziwsLG0UkEKrKM1pbCuCOdwAAAAAAAMCg4rwQXSWtOXtq3Ye/5YtFaguGmVSikvxd69btyi8RqUwYZlGLxPm/fbju1NkaqQqfBPQzNptFJmuur82US5td+F4BgYkKpbihIU8mbePxvYYMmR4ePsbfP8HDM1wg9OPxPFksFyaTz+G4urj4uLoF+fjEBAcPj4qaFBQ4zGY1N9TnSqUtfBefgIChFrO+quKIRFIPrccBAAAAAAAABg/nhehKWXV2T4jeKVJZUYiu7ijNc4ToeaUdahSiW1Wizp4QPbtaBpdK+yO73W4y6RvqssUd5Uwmz9d3iNVqqa46qVZ1uboFRkdPjo6Zwud7k8lUfIKrYTB4fv7xsUOmhYSOJBCITY0FKlWnm3uwn39cl7i6uSlfIW/HRwUAAAAAAACAgQ5udAc3yWo1q9VdNVXHySRKYFASj+dRWXFCrZYGBiYNGZLq5xeHj3cd2GxXFNInJMyx2231PdfSIyMnCAS+zQ05ba3F6Ivw8QAAAAAAAABgQIMQHdwkrVbaWH9Wr1cFBCSSiOTq6kyxuCY4OCU4JIXP98JHum5kMsXHdwiaFn1uaipUqboiIidQaUxJV21XZ03vOAAAAAAAAAAwsEGIDm6GzWZRKTtamvLdXAMEQn+tVi6R1Lu4+EREjuPxPIlEEj7eDSCQydTg4GRvr0idTl5Xe9bdPdjNNVCj7mprKcJHAQAAAAAAd4JAIPjhhx8yMjJ27NiBJwEAnMO5IbpFr609tOWrj9a8/fbaj776/VC5Xl9+6PevPlr79ttrPvpqy6Fard6Cjwr6FYNerZC3o/jZ2zvabrfKFSKbzRoYlCQQ+FIodHykG8dmu/r4xAgFfp2ddVqNjM/3JhFJUmmTXq+02234SACA6+Dj4zN37lwGg4EPAwDA4AMlYR+i0+lTp05taWmpqYHbGwFwLieH6AZN7cEtX3+0ZvXq9xwheoXBUOEI0d9bvXrNR19vOVirMUCI3i9pNd0KeSuBQPL0ilCpulTKThRdBwQkkEgUfIyb5eoW6OMbazbr29vL2WwBi+Wi08oU8jabzYqPAQC4Dt7e3vfccw9UTAEAgxmUhACA/sh5ITqJTGdzvL29UOn4t1Amh00n38Rd0eDOUmskSoWITmfx+d5Khdhk0rm4+KDPN3WL+x8wGDw0Hzqd0yVpoDN4HI4bCtel3Q022/X8m2O1GPQasUJvtlnteBIAAAAAAAAA9BfOC9E9/MYueyY//1T+NaDMZ5aN9fPAJwH9htmks1pNKH42GNQqVSeFQhcI/fC8W0ajMl1cvBVyEQrLmSw+iUgWd1RardcTone2Zh76IXXNwUqVxIgnAQAAAAAAAEB/4dyr6Nx/vorOhavo/ZFOpzAaVC4uPkajxmIxMpl8Hs8Tz7tlZAqdw3U3mw3oRSAQyWSK1WLCsH+4LK4p2/Xd+7+u+qJSM0qpJ8Nt8QAAAAAAfeyNN95A73Pnzl2xYoVMJutNBAD0LYLd/ofIJy0tbeXKlfn5+SiAxpNuCZq5rjl7T25JQ6UET0ICE8YPGzUhxhUf7Ctr164NDg5evHgxPgycJj93W131iYiIca5uQefP7+bzvOKHzhII+uZCulYrb2o6n5f76/CU++02W3NzoZ1AmjL9JQaDh49xNYbmrDO5qtJKiTc7C5uzbry/wOfm260DoN8TiUSoJJ82bRo8hHnTUB00KSlp1apV+DAAoL+BktAZTp06dfr0aXwA3Ebh4eFLlizBB8DdAZUwW7ZsWb9+vUAgwJP6glNDdLPF0N2amXlg2/s7TxadbcFTkbhpS1KXrJycGD4iyo1NIfXVpXwI0W8bp4boBoNaJKo4c/q7+PiZZAqtva1co1POmvs2k+mCj/H35DXny9O+bJ+zbgyE6GBwc9I5Y1CBEB2A/g5KQueRyWTPP/88XEi/nfz9/adPn44PYJiHh8fw4cPxAXCH9L8Q3WbplDembxn//A9Sk5jFYDMoF0Nxi0mt0TJDONOf/+29BQkebDaJgOfcGgjRbxsnh+iqtrbyrMzv44fOplIZba0XlErJnHvXQogOwPWDiumtgxAdgP4OSkIwkBw9enTFihX4AIaNHTv2k08+cXV1JZHgoeE7xkmFjPOeRcfULcXntz//rVbRFP/gg+/vPIHWALfrq8fvmdldpTn2/ucZzfUSEz4BAD3MZqNK1Wmz2eg0ts1qMZn0XJ4nkQClDwAAAAAAGKRQTI7HUj3mz58/Y8aM7u5uPBsMIM4L0Q16tby90aRMePyZpx54bPawUEf7cL0Sxz3+3MoPn14R3p2fd6GhW2XAJwH9Bo3GplAYGq2MRmORiBSzxWg0avG8W2axmHU6hd1uo9HZZArNbrcTiWSsb+60AAAAAAAAoP+h0+l4LNWDyWR2dnZardBE8gDkvBBdY5DLxaVUa/jokUkRsd5cCp6OsIXhCXFTRo4MsyhyG8XdWg2eDvoNOp1DpbHVagmdzkYvo1GjUnXhebfMbDaoVBIOx5VCoZuMepNJz2DyCAQn3vEBAAAAAABAPxIREfH4449//fXXNTU1eBIYKJwX9ujNao2mnuTm7cln0ql44iVUOpPv6e1Gqtdo1GY9ngj6DQaTT2fwNGqp3W5nsQVms1EqbbZcR9do/8hqdVxCVyk7ha4BaOYajdRqtQgEAUQi3OgOAAAAAACAQ3h4+GOPPfbVV19VV1fjSWCgcO6VSQoBi6XZLQqZ6C9kCoudFosRrri4DvoPFkvA4bqjWFouF3G57iQiuVvSpFF322w2fIybpdMp5bI2vV4pFPrr9SqtVkZncD08I0nE6zpUiGQKlc1jkCGgBwAAAAAAAPQ/zg3RjWpp9rqly2eOSv6LUTOXL12XLVUb8VFBv8LhegqEgVarua2tlM/3Fgj91Orumtosi+VWd2inuKa5uZBGY/v6xmk03Wi2TKaL0DWISCLjY1wTxz966NI3pvpz3Wh4CgAAAAAAAAD0F05+vtdmMyglks4O/NL5FTo6JRKl4ZavuYI7g0ymcrmebu5hrS2lRoPGzTWIz/dqbioUi2tupd04aXezSFRpMumDgoaZzQZJVwOJTPPwir7O+BzpuYrOd1xFh+blwOAWFhb27LPPcjgcfBgAAAYfKAkBAP2R80J0niBi9JTVq19dfQ0oc8roCAEPnwT0GwQCkcN1DwoZaTIbxJ01ZArN2zvaaNLVVGd2dzej6Bof77rZ7TaNRlpfnyuTtQoEvgGBieKOKpWqi8f38faJxUcCAFw3Pp8fHx9PocDDRACAwQtKQgBAf0Sw2//QvldaWtrKlSvz8/O9vb3xpP5j7dq1wcHBixcvxoeBM1mtZpVSnHX6C5NRExiUJBD4NTbkt7aWhISkBAYlu7oG0GgsfNR/YrGYUHze0lJcU5PFoHMCg4a58L3z83fZ7YSI6GkRUZNJJDi5AgBut7lz5yYlJa1atQofBgAAAO4mIpEoOTl5y5Ytc+bMwZPA7YWiZrT9169fLxAI8KS+4OQb3cHAhcJmNsctOGyszW4XiSqMRk380Fkcjnt9fW5lxfHOzlqTSWezWa/dxrvdbkPxuUrZWV93rrBgLxoOCEzi8TxLSw/L5SL/wOE+vnEQnwMAAAAAAAAGCQjRwc0jk2nhERODQ8cYDLqqypMKuWj8hEf9/OLFnbW5OTuLiw+qVJ0Wixkf+2qMRm1zc+H5gj0XLmRwuW4JifcIBX7tbWVicY1/QJJfQBKH64GPCgAAAAAAAAADHYTo4OYRCAQKhR4cMsrHN16nV1+4cFgiaQgOHh4ZOYFGY9XWZp05/W1e3i811Wc6OqplsjaVqksub5fJWru66hsb8ouL0jIzvy8pPqhRS4OChg1Pud9ms1TXnGlvr/DyGRITN9vFxRe6Qwfg5tTW1m7atEmj0eDDAAAw+EBJCADojyBEB7eKx/cKChkZGDTCYrHU1p6Vylq4XPeQ0JH+/kPtdnunuLamJuvChfSSkoMoJkcBOXqVlhyuqDje0lKi1yldXHxCQ0f4Bww1GjTNzUVSaSuH5xUdO8PNLZRCZeDfAQC4QQqFoqSkxGQy4cMAADD4QEkIAOiPIEQHt4pIJHt4RkTFTA9y3PGubWzI7+yspdFYwcHDg0NS3D1CKRQ6CsUVClF3d5Nc3qZQdmi1UjQhCs79AxICA5NcBL5ajayq6rRS2SUQBoVHTPQPSCKRqb3zBwAAAAAAAIBBwnkhutVi0KhEoqt0iX4ZylRpDBYrPgnor1CU7iLwixt6T/SQmSQyra72XMH5Pe3tZVyOe2zstOEp9ycPXzRs2L1DE+YkJs0fNmxB8vD7Ro5ampg0z8srUqEUFxXtz8vbpVRJAoNHDE1agN7x+QIAAAAAAADAYOK8EL2zNfOnT5OTJyRfA8r89KfM1k58EtC/9bYeN2Hyc8NSHmAwBWUXjpw8uSUjfWNe7q/NzYXd3U0KhUgqbenubmxrKy0q3Hfo4LojGR+jD1qtIjJ66rQZr8bGzeHzffDZAQAAAAAAAMAg49yr6Op/voquhqvoA0Zv63Fcnldw6OjhIx8aM+HJyJhpPL6PXq9uayurrjpTU51ZU30GfWhqLFRrZEyWq39gctLwJaPHPREzZJaLwJ9GYxOJZHx2AAAAAAAAADDIOC9E5wkiRk9ZvfrV1Vd6c/XqxxeG+wf1jEFj0kYvSYn0F/B6BsHA4Ogvne3m6RUVHDI6InJyVEwqCtTDI6d4eifvP1BkI/iGRkwKi5wcETU1OnZGZPS00PDxfv4JfBdfMpmKgnx8LgAAAAAAAAAw+DgvROcKw0dNWbXq1VW9Xn/5//61fEZCSnJkMJ/t5RUSOSr1nvmzHvvP+KQQIRefBAwcBAKRQqELhIEBQcNRlD40cUFE9Nwz2Z1c/rDklKWJw+5D8Xlw6GgUybPZrnDlHAAAAAAAAAAQ54Xol1n0MoW0seLcnu1vLly8fM03TTLKrOVPbtj5y88/LE8WeLPx0QAAAPQVKpXK5/OJxNtRyAMAwN0JSkIAQH90O8qspiPPr1k5fuZDqz4o5Kvv++ij3Sd+/eC5hxM5eDYAAIC+Fh0d/eabb3K5cJcSAGDwgpIQANAfOTFEN0vrGg+9/dCShY+/k77rlJsw6PFVW7f/9lRqakKouwuXTYV/NAEAwFkoFApcOwIADHJQEgIA+iPnlVkqeWNx9uZtB/fuO1nY2dKt1igaqvJyinZt2fLh2rdx77399rGzNVIVPgkAAAAAAAAAADB4OS9EVyo7GssO1poNlp7Bxpaa375avfpdvGn3Xu+tXn0su1qm7BkDAAAAAAAAAAAYzJwXopPIdDbH29vL+xpQJodNJ5PwSQAAAPQNs9msUChsNhs+DAAAgw+UhACA/sh5IbqH39hlz+Tnn8q/BpT5zLKxfh74JAAAAPpGRUXFu+++q1LBg0QAgMELSkIAQH9EsNvt+MceaWlpK1euRNGzt7c3ntR/rF27tr293cfHBx8GdxN0gty8efO8efMiIyPxJACA0ygUiqampujoaCqViieBG/TTTz+hU+HkyZPxYQBAfwMlIRjYoHZ9x6FCRiqVrl+/XiAQ4El94XaE6IbmrDO5Jecqu/FhDHONGhmfMm5MAB0f7iMoRNfr9TExMfgwuJvI5fLXX3/90UcfTUxMxJMAAE4jEonOnz8/bdo0Or2PS9rBA51xg4ODFyxYgA8DAPobKAnBwAa16zsOFTLl5eX9K0Q3Wwyy1szisoLt36ed/P1sK56MYX6j5k9c+OjSyYkjotzYFFJf3W2PQnRUnVq8eDE+DO4m6AhOTk7esmXLnDlz8CQAgNOgYhz93Pr8nDGozJ07NykpadWqVfgwAKC/gZIQDGxQu77jnFTIOO9ZdMxmkSlb07cvf+D5VXuOVho8UdCP8zRUHt2z8ZVlG9JLJDqd9Q//EQAAAAAAAAAAAIOTE0N0dUvx+e3Pf6tVNMU/+OD7O0/kX3Ji5/sPPuhTpTn2/ucZzfUSEz4BAAAAAAAAAAAwiDkvRO9WNDcU/6SX6eYve2DBktnDQvFL6EjosNlLFtz/4Cxld27WhYZulQGfBAAAAAAAAAAAGLycF6LrTRqNvJlqC05MHhoa7c2l4OkIhesdHTo0eWiARZ7TKO7WavB0AAAAAAAAAABg8HJeiE4h0WkMLwJBQKVQiCQ88RISkUKhcu0EtdlstlnwRAAAAH2Dz+fHx8dDP0MAgMEMSkIAQH/kvBCdw3B1804hk0qamuu6xWrTFXG4zazvlLc0N5WQLEkeAiGdg6cDAADoG2FhYc8++yybzcaHAQBg8IGSEADQHzkvRGfyXYOGjhpKpf2y6flvvvqqqAlPR9T1x3fu+XHTj2SSNsiTy6Iz8XQAAAAAAAAAAGDwcl6ITqC5hQRO/deTY+1uWNqer55/fO4li1eu/nlbvRt53NMfL05M9OUQ8EkAAAAAAAAAAIDBy3khOkaku/BDJtz3+Cv/fWJEMLvjZNol6eU6j8AZz7y+8v77hnh5sq5oSA4AAAAAAAAAABisnBiiYxiZwvCMnP3iE0899/iKB+ZcYdFD/3ri8X+9ODvSk0Eh4yMDAADoMwqFoqSkxGw248MAADD4QEkIAOiPnBqiX+QzZskza/ZfYfMrjyyKhaY7AADAWWprazdt2qRWq/FhAAAYfKAkBAD0R7clRAcAAAAAAAAAAMA/cV6I3i3K2/Pj3Ln3403EXRXK/HFPnqgbnwQAAAAAAAAAABi8nBei67Wd9ZVpaYfxJuKuCmVW1ndq9fgkAAAAAAAAAADA4OW8EJ3B8giJmjNnBt5C3FWhzKgQDxYDnwQAAAAAAAAAABi8nBeiu3oPv3f5/v2/4C3EXRXKXH7vcG9XfBIAAAAAAAAAAGDwgubiAAAAAAAAAACAu4LzQnSDtO7kwXcXLln49nfH65p1eCpO11x3/Lu3739w4fd5eSINnggAAAAAAAAAAAxizgvRNeq2qpKdRw5XyqVGC5GEp+JIRItRKq88dOTH/PJmpQpPBQAA0Dd8fHzmzp3LYEBbHwCAwQtKQgBAf+S8EF1vVmtUjWRbcJinB8eFhqfiaC4cD8+wAAs5r7W7W6fEUwEAAPQNb2/ve+65ByqmAIDBDEpCAEB/5LwQnUggkUhUO8FotVrtNjzxEpsdJRsxux0fBgAAAAAAAAAABjnnhegcuqvAY7iNmNcp6zao8cRL1IZuWWcmZjPiwwAAAAAAAAAAwCDnvBCdyXMNGDIqmmL//du3d2zbUd6GpyNt5Sjh7W9/JVB086N8fbnQ6RoAAAAAAAAAAOC8EJ3McIsIn7p82SSxpuG3nV9tWPf2Jes2fLXzt7wuEWvCoqWJ0f5ceEIIAAD6lkgk2rdvn16vx4cBAGDwgZIQANAfOS9Ex8gcb4/E+/69Yu7iVIq2Ie2z1Zd89n2ZtDMxdf6sFf83ITRECBE6AAD0sfb29v3790PFFAAwmEFJCADojwj2P7bYlpaWtnLlyvz8fG9vbzzp1tWnbfjip492ZOODyKglUx741zfTPKVqMpvPYNDJf+qU7easXbs2ODh48eLF+DC4m4hEouTk5C1btsyZMwdPAgA4DSrG0c9t/fr1AoEATwI3aO7cuUlJSatWrcKHwa2x2e1Gi9VosVmsNosNDWHQYuwgQeh5EYkEColII5OoZCKZ6MRLRFeCkhAMbFC7vuOcVMjclhDdoldrdGrdFU3D0ZgEVb3szDdL14U+8cm990wN6pMvgxD9bgaFCAC3E1RMbx2E6H1LojHkNHRm1YrLRLJWuVZlMKE4Hc8DAxqBQGBSyZ5cRpQXf1SI58hgjxA3Lp7nZFASgoENatd3XH8O0S+y6GVNR57/Ol1W2Y7ZDAq1uCO3atG7ux9ePCfMDx/llkCIfjeDQgSA2wkqprcOQvS+IlbqsurFRyvai1q7uzUGpd6kN1nMVgjQBwsChpGIRDqFxKVThGx6lCd/fLh3aoyvjwubTESZTgQlIRjYoHZ9x/XjEL27bMfZgpqiJsxqVHcWfpVeoG7pRsmuTM7oex5//F+PpySHC/vk31QI0e9mUIgAcDtBxfTWQYh+6yw2W7NU83tR09HKtsoOhcFijXR38XVhC1kMJoVMcG50Bu4WqKJpslgVemO7QlvTJTdZrQEC9tgwr8XJIeEePDaNgo/nBFASgoENatd3XL8L0fXaTlFLXkUThjVlrvk9Pe/oBYxIobhGRnJaWpQUHsl/3JQh9z370ZRoAYONT3KrIES/e+h0us7OTjqdjo5XGo2GUq5aiMjlco1GQ6FQPD098SQAQF+AiumtgxD9Fpmtti61fnte3Q9na8QqfYALJ8HPLSXQM8pD4MNncehUIsTogwOqaurNlk61HsXn+c2dBS1dNRKF2WpdMSriwZTQKE8XOqVPmiS6CigJwcAGIfod56RCxnnNdXSL8vb8eM+8++9b9toPzWVSFPJ7B4SGTHvhmfvDQ+OGTB3+0us//zBneN/F5+Cu0tXVdbhHdXV1d3e3SqUyGo29/wdZLBatVouCcxTDZ2dno3EKCgp6pwIAADBgqPSmnIaujccuNEvVMZ6Ch0dGvzd31IKhodFeAh6DBvH54NHzLDolSMidHhXw6rTkZycMHRnoZbLYPj9ZnlHeJlbp8PEAAAD0cHKLmjQONvalt7ceOp3vkH3iyCcLY6Pd6HguGLhYLJarq+vatWvnz5//8MMPf/755+fOnTOZTCirqalpz549r7/+empq6uOPP47icx8fn96pAAAADBgN3epvsqpUBlOin/uy4ZHz4kJIt6sdb3DXIhEJo4K9HhsdMzHcl0Ii7itpzmnowvMAAAD0cPLJ0qzDSnf+sPaV51Y6/N+LL6dVaCR6+ON84OPxeImJiQkJCVqtNjs7+7vvvlu/fr1KpULvTz31FHrft29fZWWlh4cHGickJASfDADQR8LCwp599lkOh4MPA3B7tSu0uY1dhS3dLCrlnrjg0SHeTCoZzwODG41MivIUPJwS7cNnN0hUOY2dNZ1KPK+vQUkIAOiPnBei8wQRo6e8+fqr/14wLcSmrDuXlpa27/d9X2/8Pq2+pbGxsPq3X9ZvyK1Wm/T4+GBAoVKpPj4+Dz74YGBgoFqtrqurKy4uNpvNubm5J06cuHDhQkdHBxpt+vTpY8aMgXMnAH2Oz+fHx8dTKE5shwmAa2jsVhe0SLRGc4Kfe7yvmzubgWcAgGEcOjXWWzgi0JNMJFZ0yC+0S/GMvgYlIQCgP3JeiM4Vho+asmrVq6tWvfHCE/96aNGcOXOmThjLqsu+oOxsbCqq+e2bNWt//HlPWU2nFqL0AYlOp0+dOnXEiBEeHh54EoaZTCaLxYI+kMnkqKioKVOmhIeH92YBAAAYMFplGhR60Sik8SE+Hhwm4ZpPnisNxma5qlGqvJ6XVGuA/tr6O3Q0MKjkcaE+bmxGq0xb0aHAMwAAADgzRLdaDBq1WCzXmmlRCx95ZfP+/fv37d65/Z1Fk0dEeXt7e3kYadbf1j7y65E8kaMLNjDgOJqHYTJnzpyZnJxMIv2hsVaUxePxli5diuJzKpWKpwIAABgoujT6FpmGQiLF+bjyGH9bztvtdp3JXNwm+a24dntB1bVfOwqq0srqq7pkJqsVnx70WxQSsefYoHWpHYcKngoAAMCZIXpna+ZPX01Kfe23mgqJo5EwhEjjukx447Of0vPz888e+nHby6OFHEd3XGAAGzdu3Pjx4//UIBybzY6JiVm4cCE0FAcAAAOSxmBR6EwkAsGLx2KQr/4UuiM+N1v2lNZtOl38xZmy785WXuP1w7mqXwrrKCSyL49N/5sZgn6ERCB6c1kMCkljdBwqeCoAAIDbchXdYr70ZzeBSKTzhW4e3t7e/tEjU5a88fPOB+4d7u2KZ4MBiE6njxo1asaMGfhwj4CAgBUrVri5uf3p6joAoK/U1tZu2rRJo4FrU+DOsNntFquNQMCoJCKReJW73K02u0Sj/+RU0c951TabbfGw4FdSh/719fCoiDAPnslqE7LpT4yOnRjm23PbPD4T0H85jg0yOjQIaO9bbDY8ta9BSQgA6I+cF6L/AxSrcwOTpqVGhHiwoA2ZgS08PHzy5MkxMTG97bV4enqOGDECpaDovXcEAECfUygUJSUlvT0dAnD72ZGeD3/3FLpMZzhd33a4vJlGIabG+j08OmJxcshfX2w6xWSxhrnxHh0VMyc2ONiVR6fAJfQBwnFsEDB0nFw8WPoelIQAgP7IuSG61WzsunA689jBtKs7nJZWWQ/NxQ10fD4/MTFx/vz5DAaDRCLFx8fPmDHDz88PLqEDAMCgJdHoTtW2iVXayZE+U6J8PblMIoFw5YtEJLBplLJ2mUpvHhnktXRYpC+fQ4UTBwAAgIGO8Kd/LlHcvHLlyvz8fG9vbzzpJrXWpu38du5LmzFMjaf8FQfDnvxg/78Wzwnzw1Nuydq1a4ODgxcvXowP3142u91osRotNovVccsW2q7Q4OwlFrO5qal50aKFGo1m5b8dmEwmnjfo9V5gQvVRColIJRNpZBL60JMGwM1DxfiWLVvWr18vEAjwJHCD5s6dm5SUtGrVKnwY3Ih3DhS8c7AQBd4ZT81H73jqFQpau/6XkVslVny/Yrw7h5HfJNGZHP199CKTiDwGNVjIeWN/vt2GPTg8cuFQ6P5jAFq2NeNIZcvsIf57n5yOJ/Up55WEUOu7HqiGQyBgZCIR/aJpPTUcVNvB8/obtH9Njj1uNaOdbrOjXX437PHOjo4ZE8eu+3jT1NSZeNId5djjqE5LdNRp0e5G1Vq09/G8AcpJhQyE6H1GojHkNHRm1YrLRLJWuVZlMKESG88b9NCGsFgsUqnUbrOx2WwWm91/y+g+R+gJzt049AgPXnKg++gQz6F+QjwPgJsFIfqtgxD9VvxjiF7WId10uuhoZeuni0cHCNhppS0/nKvG8zAsystl5bio8eHeT/x8plwknx8f8mZqCp4HBpD+G6JDre96oFCNS6f6ubBivQVjwjxHBHu4sfvrQ44oOM9t7MqqExe1djdI1DKt0Wq33fE/ZqwaReePb7pMf4QRmoAn3VGO7pyoZE8uI8qLPyrEc2SwR4gbF88boPpliL71gbXZD749Z4RvqMDxEPJfkDEsMHq4v3cfPY5+p0J0sVKXVS8+WtGOfrTdGoNSb9KbLGbothVcNyKBQCOTOHSKgEULcuWMCPKYGx8Q7MZlUeGRS3CTIES/IQaD4cyZM3Q6HZ1EfH19exP/GqK3tbXV19cbjcZx48ZBaxrX9o8hulilPVzZ9F5GwZw4/8mRPlwGpUl6uU0vLp0S7sEb6uf63uGivcVNvnzOO7NHBLhwB/wFmcGmP4boUOu7foSe3vUYVDKPQXVl0xP8XKdG+4wJ8fTk9adbKeVaY0mb9MCFlvxmCdr7Cp1RY7SY0B6/G66jW832jlqC0Bdj3BWRMNrjJCKRTiGhMlzIpkd58seHe6fG+Pq4sMlXazd0AOiXIfq25Ruq1mS8eE/kMJ/b0bna7Q/RLTZbs1Tze1HT0cq2yg6FwWKNdHfxdWELWQwmhQzXicF1QuW80mDqUGrqu5VSrUHIpo0K9lyYFJQc4IYKOHwkAG4EhOg3RK/XHzly5NSpU+hzaGhoYGBgQEDAs88+O378+BdeeKGpR3Nzc21tLRph4sSJ06ZNYzCgqdNr+ccQ3WC21HUr3j6UqzQYZ8b6oxJPyKKjAvBSpEMiElBKabv0h7M16Az7QHLE0qRIFu2q//iD/qp/hehQ67tRKMjQmS1Srb5NrqnqktPJpCgv/tQo3/kJgQFCFLP1g3/c2hXa41XtaaUt55skKoM5SMgNEHA8OEwOjQp7/K9Q8W2yWBV6I9puNV1yk9UaIGCPDfNanBwS7sFjD8QCHEL0f3abQ3Sz1dal1m/Pq0O1B7FKH+DCSfBzSwn0jPIQ+PBZHDoV7uUG1wP9BC1WW7dWXydRFLVJ8ps7L4ikaPDehKBlI8JQuQbX0sFNgBD9hpjN5vr6+jfeeOP06dN0On3IkCGxsbF79+5NSUmZMWNGcXFxWVnZhQsXDAYDCtrXrFkTEhLS20UF+Dv/GKIjWpP516Ka785WRHvzn54QOzzI7UBpS7dGb77ieuS4MM8TVaKtOTUCJv2je8d58/pHtR5cp34UokOt7ybY7Ha1wYSitcpOWW6TuKhV0ixXe3IZK0aFPzA81J3DuJsb30ELrzFa9hY1/phTk9/U7clhDvV1HR7oOcTbNVDAcWHSSQP0svCtQHGl3mzpVOtRfI4qtAUtXTUShdlqXTEq4sGU0ChPFzploDX56aTqlvN+GEQCiUSk2o0qnRHtmd40u81mUEglnSKkUyJWGNBp+A//EPQrKr0pp6Fr47ELzVJ1jKfg4ZHR780dtWBoaLSXgMegQUkNrhM6UihkohePNTbU5+nx8a9NT54eHcClU/cUNf5W0NggUeHjAXAjqFQqn88nQjBzfVC8HRkZOW3atNDQ0Pb29sOHD6PTbW1t7a5dux577DH0GaWgdJSLxkFjQnzeJxgU8qyYQG8eq0GiLmrt1pssvxbUrz9S6gjvL766VPo4X0GYO6+iQ17XrbiySTkA/lEfloRQ67sJaLOgjYM2EdpQaHOhjYY2HdqAaDOijYk2KT7eXclstZW1y77Nrj7X0OXLZy9KDHtv7ugVKVHD/N1d2QyIz6+q51l0SpCQOz0q4NVpyc9OGDoy0MtksX1+sjyjvE2s0uHjgX/ivNobh+4qcIk35Hx8pKBK3NmTZDOq5KfWPL0sNRmZ8WDqeydrVMb+21VlQ7f6m6wqlcGU6Oe+bHjkvLgQEtSGwa1BJ7NQN/4z4+PnDAl2ZTHONoj3lzTjeQDciOjo6DfffJPLHeDNtPSt+fPnjx8//sqHzE0mk16PdwyK0lEuGqd3ENw6VOK5spioBm+0WmU6I51CmhHr98ykmNdmJFx6hbrzhCy6N5+FqsuVnTJ0zsUnBuA69GFJCLW+W4Q2F9poaNOhDYg2I9qYaJPieXclrdGCFrJOogx15d2XEPbYqBgug+rozB9cHxKRMCrY67HRMRPDfSkk4r6S5pyGLjwP/BPnFS46k1IlqyHrxga6ebBcUIJGJC/e9fSHB47nVDquolfmVu3/8Mlfi4pEl5uH6UfaFdrcxq7Clm4WlXJPXPDoEG8m3I0M+gIqxTw4zBUpUUO8hVKNMaexs7hViuqmeDYA14dCocBV9BslEAhGjRo1YcIEfLjnnr1Lj4OhdJQLDw70IaPFmtXQLlJqXBiONp/pFHJqjN/CxOBFSZdfAhatTqKqEMlQ2RjpLuDQ4f4FcAP6qiSEWl+fQBsNbTq0AdFmRBsTbVK0YfG8u4xCZ8xr6jrX0Gmx2seG+swZEgTPMtwEGpkU5Sl4OCXah89ukKhQnbamU4nngWtyXu3NbDUYzXJyaEKQlwuLgamk9QVnNv147FwTPWbmwn+/8PxDkyZTivK2F1Y2K/vjjbyN3eqCFonWaE7wc4/3dXNnQ7tBoM+gmmiEh0tygIeQRUdHWna9GFVk8TwAgNOQSKTExMQZM2a4ubldWadHn1EKSke5aBw8FdwapcGY1yL+Ob8a1dE9uAw3NqNNrrH0NJJ8pSMVbXuLm6Ra4/Qo/wh3F1Szx6cH4DaCWl9fQZsObUC0GdHGRJsUbVg84y7TrTFm1orFKl2wKy/Rzy1AwMEzwA3i0Kmx3sIRgZ5kIrGiQ36hXYpngGtyXohOIdFpTHc732q12+xGdVN98altv+ZpOeFjFj761Muvv/LMsgeThazz7d3duv74d0qrTIOOMxqFND7Ex4PDhPteQN8iEggJvm4hrjyZ1pjf1GWywFV0AG4HX1/f0aNHjxkzhka73Mop+oxSUPql/tjALZJo9OcaO34pqDla2SLTGtQGS2m7dOf5+r++vsqsLGmVRrgLliZHuHOY0FYcuCOg1tdX0KZDGxBtRrQx0SZFGxbPuMvIdIbe2heqjIW68WGP3zS04RhU8rhQHzc2o1WmrehQ4Bngmpx3quMwXN3chhOLzudcqKmtyj+bk3N6D41DmvDc3ImJyQEuHL53xNBYcr9tcadLo2+RaSgkUpyPK49BxVNvlt1qtuhkXZ0dYrFILJbK5HozSsQzb4zNYjZpFQaLzXr3NMRnN1stRp2hL9oGtJrMJr3SYPub7ketVrNRq3T02XP3rP1NQ6cELx5bbTBXdyrhRndwo8xms0KhsNngyLlhQUFBDz/8sKura+8Fc/SOPqMUlN47ArhFFputoLXz5/yqw+XNRAKBTCLmNTla4XrvcPFfX6VtskQ/94dHRA3z96TCLQzgBvVVSdi3tb5BDm1AtBnRxkSbFG1YPPUu01v7QoVViBvfm8fCU8FNoZCIPT8cWpfa8TvCU8E1OS9EZ/Jdg4YOG0LN+2TVQzOnL35t1c8XWAza8vkTh/i6MTHMoJeKRdlWmxEfvb/RGCwKnYlEIHjxWAzyrT6PZJZW1O97btHc0VMmJk+Z+O/nXj9WgyoxeOaN0bRVlP265lSbSnr3NKmjrW+rz9mTLdcbbzla6C6qKTr4UbZcffVZdbbV5O/eeLJDbTTjKf2YK4vBo1ONFqtE3Sd/b4DBpaKi4t1331WpoEeAG8bj8YYPHz5jxgwPDw80iN7RZ5SC0ntHALeoWa7SmcxxPsKHR0b+4+v9eaOeHR8f5+OGTwzAjeirkrBva32DHNqAaDOijYk2KdqweOpdxmixOWpfNrsbi86lwZ8yt4REIHpzWQwKSWN0/I7wVHBNzgvRCTS3yJDpz6+ab/OmdnZK5ASPmHHPbFo+yjOQRyJ0l5fnnl59wKpKjfL15brik/QnKGSyWG0EAkYlEYm32O+CvrmlqelA5bAnXt/w/sYtGzb+55lHk/zQAY1n3xib1WzquY58911F74sLwVZjz1X0v1u5i1fR7QMhoiWTiCQiAR1pcAkd3ASTyQRX0W8OKtNdXFweffTRoKCg3s7Y0GeUcustToFeHmzWyCDvhUPDHxgW9Y+vscE+vi4cuH4Obk5flYR9Wesb9NAGRJsRbUy0Se/aKxCoImnuuWXTURm7iztv7xccPxwy2u0E9Eu0QLXk+pBWr16Nf+xRU1Nz4MCBxx9/nMO51XYRCGQ6lefp685wDx6VmDJhyvSZ02bNHenPZFLQj1JvMJOM3OixsydPi3T3ZPbN7e6ZmZmoFhUbG4sPO9PpGtHp2g42jbJseBR6x1NvjrK2oqbu5yrv5ctTk2JjIkL9fLw4tJ6HNwytWZkn0nbtO5xfWGAUDuExaYw//HXb3Zp1LGv7zr1Zp7OzTiuo3gyukKYVddfmaLwC2o4fOpt+8FhlQ4nNI8qNSSXJ8JFzc7NFNL6Aw2cbVXUFeV99hyY/02QyUdlebKNFXHhMJG87sC+nuPBQt7ZESumZloipm8Xi5kwRWSg5mnbw4MH0o9mX5mxqrWpuLS4pURb8vOvw6dMNPbNyZV9eUlOXXKlpUHgOCWZSyUZJ1Ym89J93HXIsc5PZhcoWuJIUmqaz3/z8y8mTJ6okJhPbx5d3eWqrRtRdvv+HX9NOnTrZ2trSbeO3UUInBDO1tTvPHNuz5+Dp3ILz7bRgAUcjzzuZueP3jOLyRrGBJHTn8O2mposrmHW6VY2RhYGuVBMmOb97394Dhw4X17XKWKG+PArZcbo1acTNdZmZEhd/BpVCJf5pEC2IxWLoqj++5UDG0SMnmpvFFLdoNwama8/55WT63v1HygpL7MJod7Sx+urfdVSinW3oONvYwaFRHh0bBe0YgxsiEonOnz8/bdo0BgOaNbphqA7u6upaXZ3O4cgmTRo5b94KKhX62rkxp2s6/u4sSSWTODSqC5N+PS8mlQJdWw1gv5fU13crwz14i5ND8aQ+1VclYV/W+gCGaU2Wn/OrNEbz+DCv8eHeeOrdpKZLuTO/Dn24Nz401A1uobpV6AT6e2nPj93dWT/2O8VJ1S3nnfb02s76uhPnOjwfu/fRN1etev2pxRPjtJmnS5vblAYLNyA0ceJ/lkwaacVIFttd+hjKbUNkUqkYg1yYc/p8XbtC03vLj82CqRrrGiqLykpLSvJLinKLz1WL5FpDT2bPg+pGeeOpqtyjeWcLSorzSvIOnDpUWF4p1WJGs7m9srK8sqSovCQ3N/f4sZP7aiR6SeuZuqKekUuLSxq75HqdStzWWlxUVVJQWlJQUpJXVNdc19Gpbcr8eU/u2azzFTVF54pKDu4q79SZzRhm6Kxpq84932nUyZsbatAiFZwvyMvOP9eqNhk0TVV5547uP1VRheZTcDbz98LKkva/6URD23GuqvRIdn6OY6VKjmceyCotrm1raandn5lVcP58SUF1U1sXvgl6WFSKxqr8XUfPnM9HuRVVpe2dbb05RkVdaz36xvziwpyc0+Vt3d1SsaizurZd2lhVVi+WKSWi4vrzaTmZBcVFBSX5R84ePZd3tllm6Go6hD7k5aK51dS2Kh3tB/fMz2ZWdUgunMxuUnXrbZhF0S2qyc4qlWjN5p58m0GubjuXnXf2fAFa8traRrnWYlI2FTTUnC8rLygpKijOKz5XK5FpB8At9gAMdna7Ra+vHzrUOnMmJyHBhj6jFDwPAAAAAMCZnBeid4vy9ux44KH1hxrrpI4QT1p38uC6Bx5Yd/BknRTFmWZpXeOh9Q89sGNPnqgbn2SwEsREhgU95bHt23c//z2joFykkBssdovOXL39oNhHMP7FDRs/W/XK865Zx0Ttbd34DUE2zCYp2fdzK9t3xCf7t23fve3Ld0JqRc2ZF9psSr2pfE8uKfqR1Wt27Nr87Oxl4vWnapTFJ3d2CVzCV2//9vsdP/931pgAUkdmRXUVOXTjlrc3btlwr5vA2na4XGXR2yt/07guefXJtW9+nBgy/3Rpq9astlm6OhTqLvWIWG/Xkf/+v/9u+HTjljUr7nlQvbesWy8zYVidmNTl5vnE/s9/2L9xtiwYK7jQ0bucf2JqObm5XEF3XbZz247ft+347B5lq/7c0ZOFbbnbqEtf/+LTrb+v+88jc6PY+Oiooqypby6rPXR89LMfbvtmx/4n708MpuT2ZnmnvLzsuR82bfzsnddeTKjMl3dTXBcsuXftuw9OfnHjN68uGutqLU4vr23yWr//85/3b/v2w+kuLu27D5WrmjI+V6RMe+H973d/uvadx4bxWD2XyDGM7uLpGT85pLpBoVAZbZp2hVlTHTw33pXh0vN3uUXZKi9PL/R9Yemb27//ec2q/47y08vrf/tK7J46/qktGz545qUnCVkna0QdanwXAQD6J5vNrNOJKio2czgiDw8UqxejzygFpeNjAAAAAAA4Ddw8dldg+44d+cSp3QdXRmR+tPnNNW+eaLKYtTWlW3O/Wr7mX+OnTBw16577Vx3Iy2/QaHqvTqOaorSkwjSb6jbJ8dg6kYYJJ46eaQqI6JYrhWzWpGdWTE8IdGNgTJ4wKHLYyDaFVug3pa1YsfOT77OlmKOpNVVtc8X+X7569cmJyakTk6csf3XNzhPlUimVTR/+f9OHhnm6YR7uYcKxT9XVdVhUmiaxgimVx8UKLRRi5anXH/3vxOR5Dy1/bXt2bZvRiEL0ofGuMyeOFmI0IuYXOtPNO7lnKf8E1W6rGo6NESjGj47jYBgZw6KS7ud4DvOw8TC/mV+9s+VgTo3kT7dU6DsbNZQuyv9NC+fQUeCO5uwXOgPPUxWc2vzyc3/dOL3QCuoiJOwHJ4VhdPRV3KSY0bxhY1VyvX/0ou07s/bsOV3/5zYl2XxyQHRQYYVNqpB1NtrkjUFxUWQKft86hePK940ifv7wqeM5Fxz/KqnNupKynae/eXr5Y7OTp0yfOf/R9w6V1LZoDYP9rhAA+jmVqra0dH1Hx2kGg+PmFove0WeUgtLxMQAAAAAAnAZC9LsCkUyncXzdPRLGPvPaA5PJQ6VfpzfY1TpN8tx/P/P2lxs2fvnRx198/u3LC0aH+NJ7JrDbMZvJZGcSiHSaI4QkYEQ6nWEnk602O4lIYHDZDCqZRMAIBCKZQqNZbHai39R7li9bOYsm/n7JU5sOZtWJNe7xwbP/u2bjlg83btmw6cfP//PYsyneBCKBxmVQKSQSRqK5uAqGxDZVtWgqi60uTGLiEI5eXPjNXt3w+bPWbvng7Vdfuj+WRaM4WvqgUogMOp3oeH6eTGGQSH/X9KXJrKcTbTS648I1GpdCYxFJVCLTe3jysk/fv4fesXX1Fxu/2195OXa2W802ghXjMihEApoGzZlMYfa0dl+Xs7lBZxmzYOOXH7y//sWFrAB3+x96YrOZLTaKlcimUxwPdWNEKoVGpNFtRJp7+KLPX7w3xrN065evvfX1eaXWdLHhCiKXQguNcc2Tm5ov1FDkba4xERQKGX/6lEB354TNe2z9phHM/cc/fePt9Wca7CS9dtacR9596+MtGz7+euNHX3zz3LQRQYLLnSkDAPobiSS3puaHrq5cNtstLCw1Lu4B9I4+oxSUjnLx8QAAAAAAnANC9LsH2hc8z8TRsSEMP0tlq4bM4oapacGCsOHjU+dMT505PTUlwoePN8JGJGEsfx9ysUVd2ShDgawZ01TVlpKlYg6TobFYa+pFyp5+LFTqzu7a4wR/AYvl6hcaGz9+3LBw/wBGdb3KbCfYDe4kzDNhzqSpaP5zpg+PT/S8fIc5QmQIGB7xHo1VTaWtagrJM4pN1HfV7dNSfBKHzpw+JjnSn64iEa6/YUYShnm7x9RomdW1rQYMs2KYqDFXr2zC+K4e7mEzJiYlDI0UmK36hlYFPgUK4ukcq51W39CqsljQBGpFo7SzFAXumKalSmIye0SnpE6ZPC7GT0mhX3xMH8fwENI6uIazlZ2YGU2pbxbV6hprBDwenR80dfjQlJRYLw7LWl4jQaE8PglGIZN5kZFEUWfVuTaziBQcycXIl34iRDqFGxgzMXVIwuhAromirRYZ2KyQLmpQeFjSdMcGnJo6PTHQm0uHdocB6KdQBN7UtBe9MxickJBpXl4JQmEoekefUcqlXHxscOcYZDV1J9/+dOPbH7yPXp//+EtWrQazXM9TRupmcXNJei06Q2pac34qyj9Vhc6hV0Bzbjr34cFysfjKVlEus1gM4tqMD89X1LSq8aTroW5tbq8sF9vNVk1Vzi/n8rOapXjO9TBpxO1VGbltBtOfTnQ3waqRqqpzaxSmq68fAOBGGFqzTv7+eU9B5HgdzLuxkqG/sGpEiqr959v08lsvg8D1cW6IbjUbuy6czjx2MC3t8NHMojKR2SwqK8o8ejgt7eCxzNMXuoyO4GnQM0gljUUZ6Wm9r9P1+lZyVJCA6RGxgKSoqczZdQilH03PKGwSqQz49iKQMXZobKCWKMk9vS8t4/CBjAMZ5RJ3jBHgzjDbLJKu+vPnzhzJSN996lxpvWLoMH8+XVVYnpeRXdzUxYwZ4ubC5/v4CTF3Q2nmnrQjhx3fm19WI/5TG29kNoUdkESqLuqyiy3MQAFGwAgsKqOjujDn5PHMs2V1nUrLDfTthg4278DJZBK5vHD33oz0/Rnpv+TXMa2YQGCsr8lIP55Vq2QH8L39+VdchqbyAzg8Ib1lz4njaYfT086eL2juRBUbAmZm0EK6u/W5OenHjh8vq2816x1d7DMoZCuzt+E9GUfoQfYmXVzBA+kFtVYNNdyT0tl2KiPrdGmzgcMJinJjYFd2nkKiUDxjIvXlzd1yozU4xLPnf4VeNoNC3ZJ76vih881si2eAXxSXQ3YLm2tV1Gfn7t2HNuDR40cKW1QqA3QmcbvY7TaLxaLVmpRKo0xmkErRu0mhMGs0NrPZPuh79eDz+fHx8VQq9OZ6XWw2s0JR0di4u6vrLIVCDQwcHxg4hsEQoCz0jj6jFJSOctE4aEx4Lv3OMsibm89+dzznXG5RQUluZnZm9t4SsdJ0HR1UohC9pTS9RmuwmDRdtd2SDoXj3HGZ1ahQd5W2yvW63pZC/8xus+qVraUSueKG2gZVtTSLHCE6KrXkXfVdErHmj197bSY1CtHTc9oMxluvHlvUMlVNTrXCqB4cITqUhMCpjK2ZpeePZpx1tF5cUnI8L/1c1QWRfMCdHyxqkbIqLb8dQvTbx3mdrqlkNWXnf0zbdz49be+vO3bs2peRc77VZGo9n5Oxb9eOHb+iGO281GBKmrokMTZC2Ce9GdzeTtf+tjuZGya9kH906/+9tf5IxgH0yjTH0JOfeG6kJ8s3JUj1U+mxHzd/e+DIydNHJD5REb4B7uyeL0NhJd3NW9CRl5P++catR44fOU1OeOzeialDvA0aZbPYZqnfvf3nX3amNVu4w15/b0owVZ3z+s8/bPrk28OZeSWkOU+Pi4lJivEikyTH1q7edvTAoYwDYrtQGBjjR2grMobF+bDdWWR0eBDtdrbt6B57rMArepKPkERkuHse27prx/afzze0YyFjoyi+k8K4coUa09tdksIc1VlM2dBl4ZkYvqEujiEHs1ylNXToPKP9GYKgYHNeYckXGz7NOHQk46z7oifHzI5xrTu079mXNmUcOHBSwwtOnDIr2bv3fn6E4c4hyfxaVm/YfPhA2gGlWcAJn0cQho0KDxMqvslybJyqc3le0fM1rokp3sJgoaVB37J23WYJKWRodEIET3txBdGcU8bO+PfIEF3h0ade+HLPrl+Ot0otQfMemRHEIV68mR3DiHaMZ2n6qoLH84u5J8Xn0mKglZBVt57++IX/fbl3/75Msy8lcdETSQF+SUM0O7cd3/HddxkHTmWd7fSZEunD79l0fQPvdI0Ona5doScytxoMKBQ3SCSapiY1ejU2qpubta2t+s5OFKU7ngJBIXpPb6uEHr2TDipCoTAlJQUqptejt324srJPxOIsGo0eGDguImI2kXj5F4c+u7qGWywGlapFLq/W6ToEgjgymUUgwE0zf6svz5J/YZDLVa2K0JVbHn/okeVTvZmk7k/2ySeNC+EzSJhBrVVK5SqNRmMnUEgkMpFgNVsNym6ZQq1RmxQtnUp9mSV0QrDAK2RkYEiMD9eOmXUqs9WsUGgNZhvLxzdsZlyAm4BBIlj1Bse8FBqN2mqxmGxEi51Mp7u4R04PDvBzpVusFoPaaLbIZCoLZiOSHB2U4mwo5+JimO0kslbUptVqSNFD3OmewcmhIZHufBIBlWVGlUSpUqnUJpOZQGaQiTajzmA26dVGjVyu1mrMBLT86BwqaWioKWwixgXyGCwGSrJfsUZWjECmXb7hq+e7TdoulIlyDRa7nUihki6XgVaNTCeqFXskeLNpHILJqFd1y+RoBTUaixUjkdE6oNLTqFQolGjBDEYzRkGL1fO8mHM4u9O1vioJnXo8D0IaoxnvdC38bu50rR59uDc+NOTvO10ztmaZfccl3P+/1x9ftGDhcN2PJztlBlNUkEDbrXD8rIwWO4FIoZAwO2bRydHvSqXUGUwWIh39KlEJo1GrZApUwlwur668dmo1qfVqqeOHrlEb7SQiidzTSTDOatJbjDqTzapDRZAalSLWnlKEgNmMWlRCol+wRq/TYWTHo6J2658LRoLdrDeoJHLV1QsKxG63WnQSNBulWq+TtWslFxo5U0MdjShfLjf+ulTX4Owf+53ipE7XCPaeWuwlaWlpK1euzM/P9/a+xR9Ma23azm/nvrQZw/7+jg8Ohj35wf5/LZ4T5oen3JK1a9cGBwcvXrwYH3amdw4UvHOw0JPLzHhqPnrHU2+O1WQ0aOXqi62MUZk0JtvF0cQZZjHItDqD3oR2FBGjcnhsOp1yxQ/IZjJoNVpUp3BE7DQWj8OgU4hWM6oZmDFMrzdbrFYyhc7kChhkzGrEZ0UgEKkcIZtGphAtZoNeo9Sg2aODgMrgMJkMqt2ottGZFCL+PY5TtUpppVEoVDYVlTA9gxqj0UIgk8h0JhGjcBkki9lit9pJrJ5lxix6k51kI1B7hxxQZcJqM1ooDBqRQLCYNBq9Rte7tgyOAC0zyaLXyVU6x2JQ6SwWk8XAG1nvgWobZr1MqcNsKJtKo9CYNhKNQ0M1md41IhMIDCbTQqazKWidrGhkuVJHY3A5DCpmN11awd45o/OqSd+t0NlsFoxMoTJZfDat5xF6nE2PSY9+9qWcHxGXuiDB9YrFsKNKnlEtUxtt6CeD7yNUO7cY0LcZTY5ddGnD/rGMuxXrjxV8eLzQm8fMeXU+esdTBzeb2SwvL5eWlHQXFSmqqoxSKYFIdATtRsdFKQqbjeItCofDCQoSDh3qNmwYLzycyuUSyH32vwkYeBSKioqKzR0dp9lst5CQaYGBY8jkq5xoLRZ9U1NWff0RjUbi5TU+OvpJPj8azwN/0Zdnyb9Q1J+vOvyleMa6FB+BF6Wp5kjR76+1j01fEeNh7crYtO+nLT8UsDHsoRc2PzBjYpCgq6Tx+IePf5wtVRlThiWHjV0g9pm+erKr/MRBpZs7L8JdUHfwoy5P7tdfV3CGkCZMf9unpSxycbw7i92y/9jeb177rgB945w5C9hD57mHJ62IItfs3mkeN8mT0SVtKvm+gRr08Qfp45+ZseieJ5MvVZyUtfhi0DBs9Iq1Lw5jKVkaMeXe+TFY5fFDZjc3r6RkoUFZl71x6ZaTksqu0QkTl73y2dRw6ckfsgyG8kPGqkM/lPOwkS+tfWpkQNvOjO8++yrLTOQw57/8430zpw4hXLFGC59f9MgLqUH4FyOqpqOFv614cycm12LB01bOWfbsY8MuBxjGjlrJ+UNFQx4Z5snxUuaeOrTt6Q929+QsuPfppQ8/lRJgUCiy17yy+fjZiq6gpKn3v/bDvWEY02kx6bKtGUcqW2YP8d/75HQ86a7k1ON5EBKrdNM//x29vzUr8a3ZSXjq3eTAhZZ5mzPQh58emj4tyr838a+UZ9/L1wVrAu+fF4qq0pbK7R+0sFkyM63jjTW/YJgWS5q64tGlT8wdxtJitTufXrv1VEGda/S48U9+9vxoF17Hwc3f/bT5t2wMu1xeeeIzdhDnbzi866MNaY7PQx/55MF5M1LDWD05DuL8/U31uSLPsNzXPsiVK7tTlky4b+Vnqb6Y9OTXr3ycdrasAQt1cX/o3V2LE90tnX8uGN2J5YePf/7cp+cwleEqBQVi1nbW7J7x/s7OosawwICAmXOoxoR190QLgo2Xy42/LtU19Jcf+41CUfOWLVvWr18vEPRcquwjzgvR9dpOUUteRRM6YPGUv0KV5sDo4f7eHqw++duhv4bo4K5gkDeeO79r065CT/+pi6dMSkgK4t7x/8khRL+SvrNTWlzckZkpv3BB09qql0jMajWK2B3Xd1BB1nNnO5FMRh/QO5nForu6sv382IGBPpMmuSUns3x8CCS45gn+TCLJbWzcLRKdZDA4YWGpXl4Jvfe3X5VeL+voKKqtTdfr1d7eE4OCFri5peB54I9uX4iuO5+VV/7eCe9Nr40lV+5plWukVC+6yYappFXkyPhgmq+k/vdPS+krEnzYVFbX0Xa1pjTwfRSiSw79pvDw5Md48Qp33fcxfe4075jhUTyyzbf9jCOCZTU3/JaTU9DNWhjjh+orzd9fIA0nRz/xVBy5/KfvzNNmejM6ao+dffVX1n9W+PHCh4T4eocK8LqM6NxbmbW6FtuwOE8uhgkDh0Rg9aWqbhSiz4vBLhzcY/Lw8I0L1jXn/lbHjiLZKGStVm6ktrPDHo+t+nZ9qY4njJkUQtapW0u/Yo15M8zdBSs5lbG7ymXJ1OGJ4yJo3VJxzf4mVjjDRCFotO02KtM/ZskYx0L2fDuqWMvb8spbMZNFK2sykxm+w5ZPvJR7OURnNTfvK8otUtDmBKJcY9W589QQWsywF4IkW7dWMIPcXYQsoYuHX9RwXzZ2+f6AvgYh+uA0AEP0YBOmKtjx5llTdFjU3Bj+hYpWFAGpRY1mb7pP2OJYw6nnjreN9mQGcb25bm7BMeGUssMfFTdRKZwUD0+TQVN68pjvrPEpKQ9EueKzRhVTWU1HW3WNCEVqqo4Lds+EuLgp8ZfCs/bsDcczD++2/+sxR9vNuubaHJWFFj1v7QR3iaiiRiRVarUqU7fkQuTCGZTj7WJFpcojzhMF4YHhif5U6Z6q4pOn1ZOG+XBppPa2LLnBEJjyxgNxXAy/SKYVyWpPPvdL+dCo8FB3D2JXmax8u3xW+txgSVeLqKzJ6NdzntSJ6xjBCQEJE6Ku495rCNFviNMKXYzB8giJmjNnxpxrQJlRIX0UnwNwa4gUhsA1eFhs8pjRw8NCvO98fA56oegbheJdeXn1v/5a/f339Tt2tJ84IS0t1XV02EwmMoVCodFobDaDz0cvMo2GXpjVapBI5BUVHWfONP3+e/UPP9T+9BOaytDd3RvJA9Drr+3DXSM+R1AutB53d9AYtIVHf/jgiw1vf/DbubNmj1mLIj2Ykvbjx878fvRYZqHjudDyI6fPXygtPd+uaGsNmTR1yuyZqXNGDUsK8BDi87iISCJzfUNCx0waNTw+wQtvNtXQUdxutZpjps5LnZOaOmdYbLQH/8+VUDKDLQiJiZ4yY3xcyMX43NESatNxrUERETN53uWmXv/896BK1Xqh6Kc9h47m5eYXllw4k1eaeaqgRW62Wl083cKHJ46ekzp1+ryh7hQi084PD4gaE+8XM3xyamSQB1lxvuLsTwcOHissyC8pLj6XlZeTV96mwS61DEOhMbg8T2NlRV1xcWFuQUlxzZW5l6AVbDHo9KGjeldw5oLhUXwKobZLR7RbuguaiXxuzPgxKcMDuE6MzwEYAJpLT+//6u0P1q39YMOhZm6gW0R8II/B91BVVZeWlOXkoUKooVtHIFnIZ0UWEjtw+IhRI6IFmLkls5bMdYkbPxf9AGfOmHV/vI9aa237w7PedBaPQaCpiwvKi0sLzp6vqGnv+kO/vnQG0ysoPCFxyoxJqfNmDg0IpSsK2gwmsgeP3a6RF5aU5RbVnDlW0SbT6XWiDo1Y55owY+LUqCB3vbJY0VnsHjxx/uTpc6anLpqY5ObPb66VYpcaUDaomsXVu0mBM1PG3TsjdfLYUbGhHjwyiWAQFRedPXToyJGS4kL0yjl1sLCkvE2FTwX60B0rd20Ghaqp4Eh6dX2nFvqRBncBKtszPmHh68++sHTiEG836Dnt7mCzWIxSaee5c7U//1zz/fcthw+rGhvtFguKxl2Cgjzi4nyGD/cbNcp/9OiAsWP90WvUKN8RIzwTEgRhYUyhELPZ9GKx6MSJmh9/RC/RqVO9gT0+9wFNoVCUlJSYzdCq2dVdo324a4PW4+4OZqulu72muLz09Kmz9a2N9IVxHgxKV1e5rqNY1FpTUFJaWlKnY9ApDLtSR1YRp8V60il0DOPwg4Qecfg8LiLTKcHThvh78K4MwY3drWYvMj0luLfdUDQVmhbPu4jtyQubFuvbM+eLUIje0VUeztJFhPldkfxnKr1M0pJt7KotrSorKKls61TY/TwZdiLBFh3pFubnx3A8F+7pN5rOvHxJrZdK3iRtPWsSV5VfKCopqRAZTHY3AcOCEfAgXK/rbKs7lFtaWIByG0RN3SaZSovZ//Ln5J9WkO4XGcp0jdQSLC6hI2LtJnV9fs7prNy8ZhV2Ha3w3b2gJATOppGKmqtQmVNWUkf2nxY/JIFtaa9MP19QWFRQUtMsbuu2qKwmpk/kfRw7obUuN6vgbE5Zh1bZVmOJc+dEeAkxjECmMsOGxdmoXlrDFQ1JauQ1dTXH8opL0C+9qlXeIjOo8cdEca4ertFTx0QKqBQSRucJvbnuXhKFwiAuLq/MyS/OLamoKmtTyGQKkmuMP4/nLiusKDp87GhlY1dzZ7PQ1JI4NIxFdbTG5OoRwfVJxNQaxyOlvQy6bnln7rDYYG8+l4pRGSw33+AwEpls6G5Vd9V3dNSVlKASpqDNyMRoAg78i+cETt2oNrvVoO0Ud4kcOiVShcHm2Pc2k14l66g4l7tjzYOLt+/JE3Xj4w9QFr3BaLzc+fY/spqMem2X0mBxPPR8CfpoNqCfrsF8o+dKu91q1naq9TrDdfVIc32sJrNJr+zdoU5jM2mMRr2j87i7jtVqNmqVBmvPPnK056GVOntrDEKOpg9kss6cnLJPPqnftq27uNiq01GZTF5AgE9KSvjs2UMWL45btix+2bLYJUuiFy2KWbQo7sEH4x98MHbx4sh77gkYN84lJITKZqOYXFVX13LgQPlnn6FwXd/ZabcO/L4kamtrN23apFYPxO5fbllv+3AVFZtFopNkMikgYExExOyrPn9+VWhMND6aCk2L5oDmg+YGUfrt5cLiTVuxdvtnP371blLo0Ly8rFaDwUokUkeMWbD63R/3btux3/Fa/cjSkcEMjGA0mqw9z/VZrSaLWYfP45oIRDIKTU0Xu+W0mPVo2p6P14bquxQKw2AjGg3XOu8TCSRvnueSf2/c/sXP+xyLuvnjzY+ODGBT//EGLiKR7Bkx8t43f/3qp30/O1Zz8/9eWzSMf/H2VLtEVFZ37FNs7Pvfrd+xZ+Mr99/3NzcRo6iAYMZsWiM6cNGWsZkMRpvFQKLRWUHDHt36v6n+7OJv12z48ECdTd+f236HkhA4W8zEJc98hH6Jv23bseqB8aG+2gtlDdWf2B9a+9kv23765OX5k9BPkEwXBM/8YdWDY6I70ra/v+7rXLneTiHoLVaj2fHzstttBq0es5tJVzS8ZmupSG+uK468f8e+b3bsfu/xYWP/3MgaChRMRlNv3dNiRj9gPYFi1ypyP8zDZsU/vOvn77/54u0VI3ksLid2xLJXlz15j++FZ995/vv04k45xUKg6vR4xdUxLSoXiaTLbTMRCCQCkaY1WyyOew8d7fSajAZUUhBJZM+EufNe/P6HHft7yp/9rz2+ZIQXPhXoQ04N0dW67sydM6YuSnZIXfb0mlNyldGGKQqObnz53zOXL12XLVXfSLcj/VTrsVN52dtLr/v00F107vi2RRtP1qsdJ86L0E+48tSOU3mn6zV4yvWy6Lprds/46uChU43XVS+5Lt1FNUUHP8qWq9EOdRpN6fd5eUdPteKDd5POtpr83RtPdvTsI0nJV8d2Pe3srTEIGaTSjlOnStev78jMNCoUZBqN6+sbOGlS3NKlkfPmeSclsTw9Hbe1X9nWMAHVq8lMV1f32NjQGTOGLl8ePmeOS3AwmU43q9Xd58+Xb97cmp6ubWvDxweDkkpVW1q6vqPjdO/97SEhk/GMG4Gm6r3jHc0HzQ3NE88At1XgkEUjhtzvde7HzC4tnx17stl+OvuKEy6D7Wqys3PySrpMjgupElF+a91hPO+a2AIficxYXF6rQFVldCavO4SmxfOuhYxhUcFTsmT8PyzGX3BoQjUn8YdD+W0i6Y3d18PmBmqMnjvSTnbor6wkXKRVa8nalpGeQiqJhjWJizsbjuE5f8IOjGNUGzW/5Nb01DA0pSfPKhpPewj5vVVDvykPLX/81RVTGrvkPXV0AMB10Wu6qfru4Z4eji4eWuuKJKLLP0Fu0oTljy95biFRKueHj6QcqpOcqUaVXJtRr8jefZisq+Jz8CdtEJVU6o7JYoXumIWIVTYcU4uL8ZyLmqSq87lVcpPj4l1T3ZnOxkOUYeEshfScgGESsplmdXdXZVaO2SjtGZvtOzZ5Wdp7Dyt8eUJ2RAtj6L60bLnBUXF1TFv2O+YhwC41KE+jCznC4b+VNbQqUTmmU0oby/KyzSYj28VHUtide7HcAM7jvBDdIK3LOb7p9a/rawp7rqJX5hw/8N6ju7Zt/fd/P35n68GsTpqRtPC17+6bNtz7z3dxDTBWvcFouIGr6LzQmKQpby9K8GZSrmiE2o5fRddfvavWayDReH7j1s0ZMWKoV9/dvW019lxFv4Fe0W+Cvfcq+t14vfPiVfSeyzL8kDlJE567bwibSbkiVgS3xqRSic+cqf/lF2lxsUWrpTCZbjExIdOmBU+ezA8IoHG5JBqNSCL9IT7vRUBhOpFEpVLZbLaXl9/o0eGzZ3slJqI5WHQ6eXl5/a+/th07puvowMcHg4xEkltT80NXVy6b7RYWlurjk3T918+vhKZC06I5oPmguaF5wnPpdwKZ6hoeEuk/wff06qNi6+j50QRp/euLly6Zi16rt53M1YeFBfs8SFq95ukFy5fM3fxLYYP5ulr4I/pMGOuvjKj/7xNL5j64ZO5vuUSxNRLPuxZUIlH8Jy4J1PQuxsKlS97efrqu9c9P9DEFocNGrVju/dOrnz6xAC3qU6+99fV55d9UFegcPsEroOiT55ZtPZDXwp44NCF5MfbWuz1rtPS/772/v0zV8z9Cz7h+bh70oS7r3n124cNLtv9aIjL/zVV0oktiwiiOD2/XK0vmPrRk7qM/SYzsIQ+nsPSNB79eueSpZfc/8XLa/kzu+EQ2DU5tAFw3mm+4G40q/HjF/y2ft3RXdmmHJQnTGOR56U8++N+lC//17Be/ZMgSRkTSfKdMnaGT1Xz8H1TCPProE+meiVGx02LcLgdmrOgQbxFF/MbTSx5YtuRkHqaw/PkquidNT6SUffTsE4uWLnl8Z7uGu/i+8b6csBEP6zO2ff/MPc+98+Fv7Z4BVhKpctf2jU8uW3bfYy+99ZE5mcL1SRw+KTQgnPi/B5596J7eadn3L0oRXrwZB8OogmDvYffdJ1r3y2pUjj2/ZlNWhzDWSqSggjF1kufoi+XG0iUfff1buQifCPQl5/WLrugqzT7+ybZ9wfNnz521cObUYeE8l+60nAviE5kmbtiwWSsWzZk8c9GD8cGCPutF7u7pF90kKa/KS/vhl7TsrNMKubzF5mXj+I3wo2KYuOq3Xcf27z9UUl0sZwf68uhkkuWKkZvMLlQmmUu26ixCbxcq2dhSlXkk45ff0vPPZRtMikqrp5eHT6SQbOiqP77lQMbRIyeam8UUt2h3tA0v/qwslj/lRrrSpHITy4PGZF/RY7dBUnUiL/3nXYfOZWcZKZ48roBsFpeVp3+56/Dp02fkaozp4s+/stFSq0bUXb7/h1/TTp062dra0m3jt1FCJwQz6WRpa9axrO079+bmZotofAGHzzaq6gryvvpub9bpM00mE5Xt5UqyaRqKv/7+0Iljx7LQUll4/urqr78/7Bgsr2s3sQL9eRRMXpUlbi0rrirbt3ePxtB6/NiR03nVFWJNO1UYxWgr3P97xoGDx7LKCkvswmh3JpV0xV8YGCYrzz51eOfufdlZl9aIecV/Emh9G5uLC9uUObt+TTstIWMkA7W9IP37nelZrQaeK5vPoRsur2B2q0pMFkYLyJjkfE5HV+WZzKp9v+3Nz882uHrw9NqC05k7fs8oLm8UG0hCdzaFQLUSzHwvFxqBKMcXI7fgfDstWMCh2zsrxTXnGrvadv36y+lTJ1rVGFkY6MpAob2uNeeXk+l79x/5mzUa3P2iS/Lzm37/vf3YMaNMRmYyPePjfUeMcI+NZXt4ECmU6+nq3BGqk0hUFovO46H4HLPb9VKpWas1yuV2s5nG43FDQq4e5A8IIud01NnfXWzjLYdGo4eETPP2Trye58//DoXCoNP5ZDJTrW7TaFrNZi2VymGxfPHswc3Z/UiTGRyuT4Qbg0Il02g0qguPoKSFDIsM9WGwHT2He3p7enoHRiUE+wf4CRjeLJOB4OPq6h0aPTx8yNhAH89QIZVMJDDc3Dk8HpOMzru+oW50NpWIygMilUl39XXl8l2ZVj6dbCY6ZuVJFxNcAni+SUM9KUQSme3tw2UwaVQem4/PCl+sHlSOG81K71kMH0/P4Ij4cB83jouAz3VzZzv6UOW4urkI3QVsoS9LYyC5ufM8vX0CQgPDYoMFNDLd3dfDxZWHTl9oUcgY28eVwxawCDQOUWNiBUcm+fsHermwLq2Rp394UFBwpC8fbWLHQhBpFDKJxzLpHblxUUmhQ0aG+7j7C2lY7zJeXkEWh88nM/kUo4Xt5entHTV2dMKQlAAO0WyQS/RkgbvANzYyNmFMsheXiJbZWZzdVXJflYTQL3rfGjD9oqOfFJkX4OLi7nrx+CJSGRQig200Y17ebtHJicFRI4M9Xb3oRpHS4uLG8w4Pjx46akSE4weITj50GonM9/QJ8ImZnJoUGuZ2RcuSJCaDaqI7iiBfT8+hCeMCwodGegncUW25l7q1VqlQYoEJPDLDw80/asS4oaMSA7lEBsfLpifQWFxBcERo3Nihfv5RbjaLnWQl8718AwOSp40O8fJ1daVTBPhCegb2ThvAwUsJhECmUVlCT0xDYHiwXYKCwqLiRqb4+kX6uQo8XamCi+WGp2dkeHSA/x/jhb8D/aLfEOf2i/79g+t3/Wf75oeGTw3mqhqO5m1d/sBGjBv82MPP37d8WUyf12Lulk7XzNKmU4eOp2fsFanYGJYYwtIGzuRHz3wmmSKtyTm/c39OXUs924MZMWH+/JkpLlpx+cmjp09ll0vQjy589n9SE9judvmxpqEPTOaYa7Yd3Z99Ik+qFlCwlFhmnd/UsSmTpnpaG7Pzj/9yqkLbIQv0DB834bGpU3w5DLLjHGozSJRtWft2/FTQaJLph4Ynpi59Jp59/LvKwJke/mHRF/94McuLC07tO3Yqp7KLi2Ezl/x3akKgQV9xLPfUgRM1mEE7JHLKlInzksdcbNsWs6ikledzdmzd2qqwW2yRXjReSGJr4L9WT+bYO0rKD2WcyyooJtOxwHHTZ80Y7t1uLjx86OvySjZmjpo3K3V8arRZUbw74/OiC1aTkhIXnjjmvkcFDa9vOiVXiSw8QdDwYQ88tDCGI0p7Ja9TU6TzlJeXjpsypODokeo2oyVkctSc5e8mSjO/3511oaHdzKdTkia89eDkIBdvek+1wW7FTJKGjCO/Z53LbG1nWsnm7sDYpxfPmDBk+MUucDBMXrH3QHFOdlessOR4ldwnPDEyMMqiqjmcXavhuy55dNbEpDHMdtH5bet+uaDUmgxeMRGjpv9fapKw7rt3s8naiiZ3WWUBmSz1n/V/S4Z4lJ859ePe39sIHuGT733moWFsEaYU10cvmMyViCpyDh/PPFtcS6ax/EbfP3vyaJe2/bXFR84xRrVlZ1nUImHM/JTpDy9IYRvbcovP7M4saqwUCen0ERP+b/bkcHdv1h9O/IOz0zW7zWZSKCq++KJu505FRQWZTheEhQVPmeIWFUXjosP1Zpj1elldXcOxY11lZShKZ3p5+c+aFffCC5zgYOIA7TLdSb2A9F82m1mlqu291k2hUAMCxoSETL656+d/YrHo6+uPNzdnmc0mN7eU8PAVXG4YkTjYK/H9vpMqs1Rc39jc1KHoGdKJD9g9x3jHL4OnLvuWs/th6quSEDpd61sDptO1O6g9+5f65gb15Fcnu2L0/tClLHS6dkOc98eoA4WAxdLsFoVMJBLJFBY7LQEjJExdPmJkigsRJYk6RCKVxmAZYA032eSFRWfV7cpF7+/Yv3XH/oUpNk9SFWY3mlTtWZ/nWCcsuXfjlg3/XfFiTMO+Qkl90YH0CkWh66Nf9rS7sHrpxBF4G7BWzCopOXFA4xZ5zyf7t33947bxnnY+sRazqttqqtJ+laa8+dBrWza8N2/meP2htOpLbcFZlK3y8vRC3xeWvrn9+5/XrPrvmOCeZ+P+RF97vMHoxpi5+eutv/y8ffnsRHdrSVb9hUbsni1vvrdlw5okPzfp2ayWS7fc2TX1zWW1h46PfvbDbd/s2P/k/YnBlFx8IXcVSVhxY9BKrf3fhonyFlHHsWPpImk15b9bP/x+79ZVjzyQ4qqvyz/76zbic5+9/N3+bTvQUqVG8YfN+Oiz1z79esN7D8+bws/JrDYY0So0lBoJqsgHvv3ut+UPrHr3sdn/ffm/z7y47rNZ0S5eY2c+/9brn6NveeKlh1RZZVKx7OLzezajrevUvp1Kls/yjWgzbv3uy9et9R212eWSP94yWKUmdnZ5Pf/xF7s2JNdqqzPTDGP+/fPP361PUViUJU3dFJdg/8kvf7j2s082bnlzYsAo5elcKWayYU0n9YTwBQt37P7hsw9fsp43dVOYM5fcu/bdBye/uPGbVxeND/XrreRbjTbJqd+KLazoJRs2blnz5psTZb+KOhqateJ2i/QkeeL6z7dv+3b9tCi/rqJSmV5e9dtXYvfU8U9t2fDBMy89Scg6WSPqUDv1wYH+wmYySfLzO86c0TQ1kSgUtqdn4PjxrpGRNx2fIxQGQxgaGpaayg8IQDG/vqtLcv58x+nTVp0O++PflGBAusX24a4NWo8bmLQ1xfu+/PQ/K1/oee2WTGWG3AvxOQDgLkGiMqgMtuNa1cC8F3Cwc26IblRLs9ctXT5zVHJy8ihH+3AnpOoTP7+9fPH4nhbkkickJ3/6U2ZrJz76AKFpKtVH0Nj3p4T3xMZ+oTPdvJMxk8LUcTY365v3nrh3ycTkKXPvnf/Kd4eq64vLfvflK2aMScIbaLkEVe9kJRWm2VS3SUl+jqftsLChU9j8BKxT2VqQ88W+jx6afP/05CmzFz+56pucFnGXxdpbH6RwXPm+UcTPHz51POfC37eV39NOTHbbt6v21GI9jbU2iYtzM9ZtXrUwedaU5CnzHl/z1f7iTmlvMzmIvrNRQ+mi/N+0cA6djWFojfxCZ+ALWbhjy9uPP4xWatr4KU9s+PZUoZ4dgRkCt76y5kijytEOjrZdqiIVU14aHcZxv3hV3mZUKbLXvPxE6h9XYcjY0JRFiYH4SH/UeuL5Dc9f3nRSA955pM1sVFRlmWeGuo2LQJuKSGPwRy+YYWFGKtR/bFov2dv1njmjXeg0ootwyNgRUx2bnUwlog3LQRsWUeu7M/csmorWZcn/vfbpoQudUlSzx2LuT0lyzJlKobrFDg/nCi+uwx/ZLEZFZVbxnrfW/N/sKROTU2dNfnLzvswyqUYXGOo++pmJUWwaGeOGBfj4xHiozbqSsp2nv3l6+WOzk6dMnzn/0fcOldS2aA3QASFi0esbf/9dXlFh0WppPJ5nfLz7kCG0W330BiPR6byAAP8xY1DMj8JyTUtLa3q6pr3dOjj6YBvk+qR9uGuD1uMGGm7ShCfXfXIy/1jP65OVMycEwbVTAMDdwi1+amLqw6OFGM25wRy4M5y8V202g1Ii6exwXDHvlEgc3VIZNAqJROy4ht5zFV098K6i2y0mOwUjshzPKhFQcE1hkEhUzG6zE8nGmKUPvLDu/Y1bNnz8zcYNW75ZlBgrJJKINgb9UgMNl9gxFDrYmQQiHUV2PQ3QUOlEIhWz2ixuVPLSR9/e9L+P0Xy+3bT23Y0rhvuyqL2Xygl0d07YvMfWbxrB3H/80zfeXp/VgGKenqwrEV0SR97/n8UPpLBO3//sYz8eKGzpMkb4h6x88ZMtH6DF++T7z9969vlZ0SgY7f1vzm412whWjMug9DyThtaITEGVlZ6FDJw6bsWqtWiqjV9u+PSnLY/Omj92SuLM5e+/Poae8e8PPv9u+7kGtQ0zYTw6hYi3FakVKesyXmlMSF761oaP17322MKpFivVMTsqnUxjOVb4D2wmjer8p5n6UQFzPt6wft2aFx9MYdK5ly9+2m0mo51BJtF6GtgjoG3GYmAEivVPnaBRSSQmA21EAkYiUuk0umOz925YAtqwBnljzflfTpMeW/34B1vef+WxByYFo/gczYHCotEcc3Y82kyhkS+uw1/Y7TazMXDSw8te+XTDxi0fffzVpi93PjItKdyFTCHSe7ac48FCEolEIaH5kkzaWXMeefctx078euNHX3zz3LQRQYKB3R17bm7umTNnmpub8eGrMWs0ioqK7sJCxyPoDAY/IMArKYnKYhH+brNfN7T/yHQ6Cvh5/v4UJtOkVHYXFaEvQh/wMcDdRiOSlf2+YveFPNGNdmTxB33VPty1DbbW467n59y/odMERyDseaYdvYQcJt3RgTAAd4DFIGs8tOJ4YV6VDE8Bt6i6uvrYsWNVVVX9t8/8S1fRoWAakG611vv3eIKI0VNWr3519TWgzCmjIwTXaIShP6KxBCqtpaW9U+eIOTFpZ6la0YgidSKT5aZuF/rEDhk9Z3rqnOlTpk+P8IgISpLrmKU1zb0jX4YCYTaPLxZbRJIuvaMFcayzpcKga8YYFDaZGyEnBaQkjpnhmM/EcRNiPDkUEr4viXQKNzBmYuqQhNGBXBNFW96uwa7S8DpF6Bk5LH7c1JjgCA9TgVJtNHLNrDACPWTShCmzHbMdM2xYkBCFzb2/fAqdY7XT6htaVRbHXypojdB64QtplLly3YOH96wUesWFhHr5uAXFTJmaMiQmki+R6eUmC8Pmbz1UK9are658W/VSdXthBykyatjU6aOHRQcKJY6b5v+WrafjODXVzz/hniljRwwLpBlJ2KUyFQXOTO8wcmmXurpDijajxaSrPV9KNHWw6DcS8WrU7d2NGXbBmCkjZ0xNjvT0pN1YVEAgkphcd4Pcjec6dFjvpkidMyTIw+UqC0EhkNnc0C5qUHhY0nTHmFNTpycGenP7xcNEN0+j0Zw4cWLLli3p6elKpdJ2tY58jHJ5V36+trXVajTSXVz4QUFcPz8CqW82DIrzGQKBMCyM5e5uM5sNEknn2bMGaW93JAONj4/P3Llzr954ibFT1Fq1P0ekN1382Rmk6qazG7KbaqQ3ficHmrYha8O+khKR6qo3JNjNem3V/pJGUbMKT7k+KmmXqOCUzJfHYNOucgDopTXVR99e/97bb7/97a8Z5Y4y9Goutg+X23v93Msr4Vbah7s2NGc0/95r6Ze+F88bcK7n5+xEBqmmOWvzoZJy8V+POpNGXFJ+aENus1qO32t1U2TlVQ21Oa03NQt9c9WJ/FO/lYuveWrryRRVVba2tt7Yb+Mmycqz8/N/zflLfcNJDFJDW056lVysuZN9M12rJOxjepOmuuDz9d+8//YHjteGTZ/uLxLrr2/tLRaDvDYjp1ksVaMtJ6tpOvfhwXIxvukMUqOo4LTM10xk/7G9muvUc5jlVDVUdf7T0fzHVfj8y88zqroM5msew/2VXq8vKSn55JNPdu/e3dLSYrHc4lGqN5laC/Jb5bI+uRvy+nfZRTdXXtnNmKYq55dz+VnNA7Mm1J85L0TnCsNHTHztPw/PHzlxVKLDqIkj5z/xn9feeHPVJa+uWjVlVLjw5h8wvSvR3WN4JJ22+veD6Wnp6Wnnyyo6FWqMzKRyfZI82sWFp0+mpWWkpx0/cbRGYmD4pbLI5PbC7b0j51a34SUygYSx/SN5Bn1LwcEDaRlH0zOKaqtVOg3GZvtwA6epmo8cOpO2H83n1Nmc8i6j+WIUbjMo1C25p44fOt/MtngG+EVRGear/MFmltdVF586nVdda473G84V8Fy9ohj8kNbyX34/dsixeFnFFQ3yy/8sUvkBHJ6Q3rLnxPG0w+lpZ88XNHdK8YV0U9tbc0/vc0yFXhcaOzs6ahpLDx8/ld9gD/EVePgIfFzdBEm+tcVH048dROOcyynuUlNJsaKShuwjGdm555o6u9CS4191GZntYpF2NBdmn2pWGalUqqiiJSfjxJnMonqx1GK7VJoSyDRm0NhArbi74Mh+tBkz0g+erOl25dJ8XXof678+BDKRTMUI9eePnTl2Oqe4tk2mxXOugkEhW5nkwpzT5+vaFZqe0xeBRGX6jnDXiNp6FiMj/XBGemVjl/ZqXf/TyAy3sHusivrs3L370EY7evxIYYtKZbi9ddzbztfXt6Oj4/vvv//iiy/27dtXWloql8vxvF52u1Em6y4oMKkcFVYUSPMCAykMxvW03369CASXkBCury+JQkFRuqy01NDVhT7guQOIt7f3Pffc8zchepeorSotp0NvvFj10svUzWc/ym6qlt54QGIxmtXiC00ymc7RN+tf2S0oRE8rveEQ3WS0UXSE6KdH+IcJ/7oWeq2ypfr82cKC8wWnT2YWVhV1/Xkn2mxmhaKisXF3V9dZCoUaGDg+MHCM8+LzXmj+6FvQd6FvRN+Lvh0tw4B8Lv2ff85OZXUcdRUtMrn+r0edzayXyVsudKrNlw7wm4FXeW+qwm1RK9olHY1yNPE1g2G0fB1VlW1tLbflXh6jXCyRNHSp0dnztoToMkP7OUeIrr6V3XCrrlUS9iGLStVeU3zkTPG5/JKigpIS9CotK2/u1luvr6dcKwrRa9LPNYtlqJi0GhXqrtJWuV7XMzE6oE0ahTnkqfCAML+beeSr5zDLRfFe19UqJFcymHSNBb8ezjuTXVhSUFSQk5N78nBtV6d2AJZgrq6uqGrx008/bd68edeuXXl5eZ2dt/LcrcFkais43ya/pf8FL7n+XXbRzZVXdjtmkXfVd0nEmuv9InC7OK/TNcxmUas7ctPWPPjWh99+8s2OHUcKMjpdUxIDXNk0GumP/ZP0kbul0zWOv5vxrKHok/c2HTiacYDmNoLkN9nFPSglyDd0tHfZnm37t333S8aBzHPnqHELA4Kiw7DLI7cwh7i7891ptg6dd7S/T1CIMq/08Jeff3Ek68wR9yHDjO7jQgKDhkUFhATIPljz66E9aD55dWJtwJRhPvTee/DMsurW0x+/8L8v9+7fl2n2pSQu+Fc019JRo+CHcLgujsviPbTl23b8+MUHm7ceO5ubF/3EPYlxYxNC2CZ96/tvbTl28EDGgQo1i+KXmOR9MchluHNIMr+W1Rs2Hz6QdkBpFnDC5xGEoaP8fUIT3LurctI/37g148CRjAMmn5EUZWZ52uurNx08knFMlzAnbsToUf5CgSs7c917uw/s3pvR3m7wTrxviPX9t3ejVVCYZZzI+4jCiJFB1o4yI8OV7hXR+7VUmrnu+JH0fUcP8oY9NDq6esdOtOmO1bcZgif5UPzGhqNN1TMegYTR/XwFBefzf/ti89ajZ86dptz72JwxqdHuV+wYk6JZotPbuYkRQnQy7Szutrva+RGhLqh2J2tqJHC5nkHBBAb78PsffXtof7OOyPBOSmB6JEaTaqrMfkIXYaiQardYjPiW9BFaGvQta9dtlpBCYjy4GN1u0rrH+HtHJLoXV/csxpGME0cyqN7DgwUMmV2vtwek+DMxMsGk6FQaTSTPmKjgxCHanduO7/juu4wDp7LOdvpMifThu1/RLR4ywDpdQ2fE6urqkydPotr8sWPHlEoln89HiSQSiUgkopOlzWpVVlfXb9+uE4vJNJrHkCHeCQnUWy6L/gQF5zqJRNXWZjEYSAyG+7BhLD8/8u24xnIn2Syo7tWtsaLSl0gyd4kk8oJ23tRED0bvBWqDTN1Z/XW79+xIz1CORaeSdsvViNFOIqA9YzbppEaMQXF8dlQlrxzEMAqT7hY6LSE4WMggGE0mnc5k1cpkCpXKaLY7HlCwabraSo9UWEIpHDcPDpmBSiqLTiZXyBVKncFkIdGpJILVoDGb9DoDCq1UdjKDRLRZNBa7neoeLbATyFQyiUyyWw06TVe3rGex7ASZ3kaTEJb/3/MPLx1p1bM4jSbPUXhbmw697cOVlX0iFmfRaPTAwHEREbNvTyvr6FtcXcMtFoNK1SKXV+t0HQJBHJnMIqCSagD5x5/z358lbSatTK1SKFR6nQ4jOx4CQjtXrVVK5SqNRmMnUNA8rFaLSaM32XUylcFs0FhsRhsBjYnKe8xiMphNNjrTK2JiXHCQgEkl2qxGnba7W6FRazQWK0ZjCQN9Y6aH+XA5VDS63uCYtUKDctGRg3YPGR2UFqNKolSpVGqTyUxwLINjzn+EqrwKktQmGMLQOuZsIWBEEpVot1n0KqlMpVapNVdOixZXpUHHPVoDtApsN+/YkKjhfm5kAtFm1MrlKqVSpbm0vpf+dEQV8a6qSiubzfX1YVoNym6ZQo2+y2R1zLinlxaczYKOaJUZs+rkOvWVm85qvvy9Zjv6oZBRBctmtxn1km6lWqUymAwmq91owagUAtsrLDA4JdSDSbCZVHqLVafRod2g0eksBCoV7TS7Wa1XSx2LoHH89okk8uXO5GxoPhbHbBw1DRROak0Wm52C1t1m0SnN6NgmYnbTxb3Qu50tCqO05pQmLNrFwrKpr1jmP/zn2l/6Ybp2p2tWRWnlsYwfN7ZGrl+/7F8PP3T/kgUL58+ZnRLiQmWQHH9TXjoIrQRHp30kzGIzaSQyR3lmsNgsVqNR3lxxssIS5MEWugi4/p4hqXEBbgJHWWjS6EztakacJ41qQ0cMiUxFe9hmvNoe/EPdGu0yjVKJjj2tSmOX1udrmAKhTySqYF7j4DeYzMoLNeFzX3j2kaefWDDCP9Z04L+FHvFudHeKEZXYGq1WYydTSER0YNit5ktHrMmEDgeCwUZChTmBcOm34DiQ8PW94ljudcc7XeNyuWjjp6WloXIMhQ/Nzc0MBsPHxwcVX70l2HV3utYLhejdF0qx4BBXPhe7XOb0lht/XP8/bDqr4zoT2bFHlQoFKiZUBqPRRsJMsprSc51mKtPFX8igkG16pdlq0mg1Gq3ORiKaZN2oCEJFitFkJ1IpJKtO0VJY0mHutgkj3Zm0nnOqVq2SKRRardZMdDyi6SgX0Mlb24W+Fv1ETSaD1W61EOhkpmfg8NCQSHceZr1WEWS3/k3RdwOg07Ub4rxO1zBlw5Hcnx986nNps9TmuEuGRCHyfIWz3vz8xRkz4zxZ+Fh96W7pdA0V1ia1QYfKXcdnBp1BoDJJZAoL1RXQqVqh1pvMFrTpiSQmz5VJQQX15ZEpLD6LRqYQ0fmUwqChk68e/RrRbxBDZzQmi2Ej02kUCp2ETq/6boXO5riSTEShDNuFQ0MlimMOjl++US1TG21oz1KZNCbbhUayGXVmMo2ETrcXf0yozNfqdFqDxXGzOpPvwqDSyHarUa+Tq3pvgSPT2Qwmm3XFM/Lot23Wy5Q6zIZmTKVRaEwbieb4XrvJoEXltqH3X1YGR0AjOpbh8hoxGHQSWlaDWo4Wy2bDaFQag80jmrsVepSMvplCZ9hIdA4NxblWAolAYeBfi04waM4Gm5XJdaVZ9ag0Mplt6PTEQBucyqKTHTWti/6wRlQOj02nU0hXlB2OxbdYbSQWAwXBdpOjLmMnMehktK4oUkPVCccj4hc3HQWd7Kh0KpHCYmA6nY2KNp3jHxA7qvbgW5JoRVtDrtTRGFwOnWRHJ6uePeaYM74YjoKLxXFhUglmu9Vqo7FRLjoCLCa0FBiFjoo2VMtR6lA5iUYlEKkcIRttiSsXeSB2uvbbb79t2rQJnQ7R+Y/JZAYEBEyaNGn58uVxcXFUKtWkVLamp+e9/LKmvZ0pEISmpgZNnkzp6+AZFXpNJ0/WHDig7uhgenkNfeWVwLlzUZSOZw9QyoajJQf/u9t72yOjQ+OZNefL67/M9Vv3ryECTs//dvJaUem+5NxhW+bFJ8m+27ftozV7HMlJKz95dNHQIa2N6S+3DD28ONqDxcNEjUfLrxhENROxtrNgZ3n8pESq8XxZZe5ZZWj1B+uylcrYmY8/+uCiANe8D5a8k96qIpHHPTRr+cofZnphVTtXvLX1aF6d+5Bxk//vszcmuHRnfN4iF2e3qn/+NeuhjYcfSFZ3fbNl20c7dtN52JiXPnkhdUacrevovu0r1mxFdbvklSsfvfepGeFMM4lGI6qyf72AeehDx071vFwgKBQVFRWbOzpOs9luISHTAgPHOOP582uwWPRNTVn19Uc0GomX1/jo6Cf5/Gg8b6C49s/5b86SNnS0nf/m6W37zhytC3Vxf+jdXYsT3S2dGZv2/bTlhwI2hj30wuYHZiQbpXWVWzOVKS0f7LBMZNSFTfULSdw8JxydU7C6goyW9jpl4lzqiar48fFuAe7S5pP7dj+55hcM02IL7n166b2z3LEzJ7AFi4NZLHLt/mN7v3ntuwLHlyetXLFs0ePTg6jKuuyNS7eclFR2jU6YuOwVfM5/VPfr3ib56Vyx389fOeY8540nF93zZBxRWZf+0coPTncru7Erp60r+HzLb5/tSMN6V2G4O1tAkvBSU30x6cmvX/k47WxZA3ZpfVkXbx5Exf+FvXtMHh6+SWGyxuMfPv5xtlRlxFKWTLhv5Wczr6jFqhod39s1NLhwXfG5/Cs2XUct/r00DBu9Yu2L90yND2MrdV15exY9/0uXrDF0dFDo6Ht57Nj/LI6wl9Y2UiVWvwlh+uyNRwxBlccKC48eUXJdJz+z5Y3JoXxb6YbDuz7akOb4wqGPfPLgvBmpYRcra4pz6cX6Vp3/YzMDMKwy/cn98oC4sCfmxlMUNbvXdMYt8wt1o+Zf3Au92zmFZKvet7ojJfbChvK8K5f50uo79Jd+mK5d6xPnrbtQnl8T9M39w7kuDOIfz+SY7oqDcM5LPyycOTWJ0dhVuP3+17ZK5JrgaQ+lJIYGn3tt/RGDhkgfteSle2ffm6w6URa5ON6d5a7IPXXw5yfX/YbiRqzn8H74qaFeSvFV96D7lQ/WoV325Xc//3ComMXCFj8wpd1/9vjk5HnhtGsd/HKNonz72+3Dlo+JGOrD1LXIWk69cSzofreT58+e+OFILcYSYIs/+mzh8AmBPFNXyaUjNiVldPSE+1R+E58f7cKjN1z8LTjg6+vRM3CFu6HTtYKCgnfeeefo0aMGg4FGo3l4eCQlJT3++OPDhw93cXG5wU7X5BpN1fafsCnTIj1tmZfLnN5yI/kPIdUfNt3C5xc98sI0L4Uie80rm4+fregKSkqe8+iT2GvP7mqTNJEi4yctfvTNZe4n1yg4/LTM0jqpac6jT2GvPZ8mlzViYVGjFqx895HRsp0vrvkyPa/e6pHkP/0/X/1nYpDs6Dff/bT5t2wa1234/217enJojDtN1XS08LcVb+7E5NqklBSPlNQ4ZtzKe8Mqzxw1u7l5DQmQXKsIMor/pui7AdDp2g1x3lV0g6KlqGDfrv0X5t738nPPvvj4/eOCI+3Hzuaww4bFBwd6CG5or16f67uKrtHLitP//XKJ3Rdz82Eq8ooPvfxyua+vgOdjrM3LOPXyugbfcf48BuXi9earu/b/qUQSjUrnsNmOF53OoFHIVEeBTcAIKLxkMXvS2SwUkTni6itHZqJRHZcgUPDZ8z8zkUKlM3uz2DQaCjrJZDQjlIUifnbvfFhMRxs2l/6URpE/kcJg9U7CoDv+A3OMTnW0cnbFOYNAotLorJ45s9Fy9PxTjr6WSuudEC0J3fE3HD52DwKRTKZxeufMYDBpVAr+vQQSmYbCeXxCOpVMpvxxjdDMCUT0jegLeyZnMhgoFCVTe1eBwUTzotLRWOgbHBNf/treObOYLLQoaFP0bDoWi0VHo6Oo+cr1+dMaMaiUP9+p4Vh8MkpGn3pGRl/UE+CjIRLaqo7ZXd50aAnRLNDYBDSm4wpe78yu2JIXtwbauWhaUs8ew+d8cTHQi4bGdjQPR3FceOidBRru3YmO72UwGfiYbLRJ/rzIA+4qOqLT6UQiESrO0Gez2axSqVpaWoqKirq6uoRCIcNuV1VVdZw5Y1KpqGy2e0yMMCzs8sHdR9AMdV1dqrY2bVeXzWRyGzaMHxlJFwrx7AFKL6loLdmRx1g6LNDVmyYVFWUf2fj5nqN7d/yycwey6/ffTpZWu41eFO8b4+vrHjwyZdys2bPHeYnNXCaT5Ufkm89U+Yz15tD5qupmcftxTty0MV4CWk8jARalUdWU2+oV4kMyNR4sqymqDnr4oRnT5iXSOpjMMrvnPUPDfUnNrqNXTE2dd18ci6cv/zKbNiRp5IJ5s8fG+Lt3ZKt94wzV3xzrMFa7znj5vukj4z1lR0uUZGHA/QtmT580O0DSZHXrqj5iEueJk166/4HZc6eNHh3t58VjkszyxkP/PiANJHknpgSg4d51dTx/Xl+/QyzOYrFcwsJSvb0TabTb/UAVEZUmDBcqla3RdCiVDSaTkkrlsli+ePaAcO2fc3GXLqu+609nSZtJoy769rgyTBB37/3zZk6ZkhATJlDn7xXpqIykJbOmTJk+ktRupJNNCmpbQ/bWau+FD40YPTmOV0qkF4m9Z4dyMEpnXkmnuY3mOtRTUSLyCvLCNOW7LxTlKUe9NH/h7Bkzx48aHiS0a5VV5ba4oQJp/uHc5lPK0IceWjI7dXYc9YTJZuzUMlxF+9PM00ZOnD9/ztTxY6NCvDj0npPBH8jKjx/pLG10S31+8cTUcf5SEY9Go/4/e/cBH0XRNgB8r/d+yV0uvfcGhBIINXQJCIoUEfX1Q+yKHRuWl1dFQbEh9gbYUBLpSG9JCJBKes/lLrm7XO/lm0sWDIoIkgNCnr/5YXZm9m6ztzs7z83uTEishCeWxg0emj1twlBpcKD7lCM4VWyt3/p2ZReFOf7+ubdMmzxlxOBUsqnTbtLR4uL9MDJXEJyYMnriuKyk4ZFdRVgEamGIGD0H6x+96CHh/nRRZGz6uAkTpw/xJ8pc7Y6gdDEVwy+IFpW+oeCt90r8U0YPn3rrxIyIOH7Jd4bAWJE4KiQydGhW5qSJk0ewlA4Bg8qSuM/UHPjfPt4dY26+dfa4mFCH7cx2a/jsNH9Cq7IT0zn5UX66mp2vlXCGB6XPum1M8pBw87dd/okSTri/TBw2YsjI6ZOnjPbvcKDLEjNCircFSZrWXa2aIpNwQjCnad8nP/xcTRMHp6UEUxuO5BlEcaHuFkVHrVFw663jptw0OdrjoVBbjcQgc8V7H5VJ0/60zdzAnm8Gu90QveittdvaWoolEQvHRTIJ3r7F3toPF7RY6xgjbrtpCtqxgnYbmazu0nYVv6MIW3LbjBk5k7KyBsdFBIdEktp4QxfcPn7a5CSuB1OUt/qlBXhqynPLi06yRj6yaM6Um0aHdbSSneVO4Six+YKfYDC3Z8e6MUx/ZuuaWgNLmP3gwpkTJvsbCtvp5MCgKJ5BcXizMuqWQVkzp46OCg4inGqmpAZzUXO0e0Wr3dpZesAgSwsRS7mOjuK642uLqdMykhJS0oYPGzVpwuisOO1xljSMTjVrioq3fGpLeeCOmTkz09HhYixvZo8fG+Fo2Hb2XJg9afIISedBj9NNF6f4/ymouOa96AiqtXQ63bFjx1CI7nQ6TSaTQqE4ffp0W1sbnU7XYfSfTnmHw7zcXnSR1J8nS0wbNmHylJuSiS0iJpngF+l37tsTTXlDc+1vxiE5EydNnTIujMQmtNbb/VS5W+1RmZOn3zx74pjs1NiYiCS+wxmbPmpizvwJCVKS6fSr3+kS+bGTFk9BufERSSmpE6eOGxMbEswqU7CHxIWH8h30sAzZ0DkPTEmMZVTtKnYQhck359w0fnRWUOdht1BGdiobq0reKQm/bdHdOdNHRdJqbOome/iMJL/26go7g8H5hyqISCYx/lT1haaKqbTzI4WLg170y/LnobP7jtHa1aUoo7syxmVNvWnOiECKMiCBXrx/b5FBqdaYsMhr1iPocFqV9bt3GpNuk2ZgMrNSWb1zJ3bbbenRGFOtrKvZuZt9m9UZjRcG4FrTKnVlp1a/XsGhX/xbo/6hs7OztLQUX8Awm82GroWoQa9UKmtqasSoodrSEu4dSd9DJJPRz5UP5H5B3i9e6HT0Li50YTaZbshn0Xtip3PXDLooNnLUE7N4EhmX5L1Phs6mBsUnpEkoPTe6W9QGbfNxsvd3BpvHIND0J480Ypbaw7Yotsg/JSJ8gt/WamWGP02v6TAZ1bIp0UI6+UJfGnEY3MiYtJFTIplsHUdzzFRjJHOD08ekBlm5WaExqYOYlS0Fu376RRUbKgwUMSzqNl1LdWzaojgbiy8KTkkdMTWDixlLv92340SXxZUYKnbZMOWpQ6HSCRILzUQ83uLJvGViipTB9V67LBZ7e2kBkZoZGhzod+4pnqs5PtzF9Ywe53a76+p2oe0pLu6Uy3fgeTeEi5/O1UbMoyFig8bi2d1Qa45McumqG2iREaFDx8UJUYyqPPr7noNNhnZZUjDdgZlrjzscVKJfOpNBDoyJHjQlQcb2CGqLq9wHyuVOqURd3+QhSERREirW7m0bWlobmy3Nltj022YMFWM9h7O2Dh/2WlO/Q2fhiRPnTp8Sik4DjX/Ztlpya6uG6GdTnaqInnNXwtCEizzcS+eJAxJTU6cM8sPMEYYvm+iOLhedyBaJ2OXFtcbWxiYFgVtLTF8cYiirIVv8B2VMn5GGH2uVihq79/lyAgmjSXnsfdW11SXVaqu+db97+Ohwfozgz2cPkU6jCfmcyoO1BnNTSxnG8SMPuSuBjZ27lY1IInODosJTxg0fHCK0VLYVt//8e5shOYTqRybSOoqPN3TvOjrbjxVp0VTncUMfmjY6URZGaa/BTnfuqT+/KkULUn8UYQ8fmcHp1LQd3rbdTLY66GLvuW84faQZszTk28JZIunIVFlPm5MS6M8/o+M0tehc/BaNdHiEhcZVNjY7o9tqaOHRHm1XyaGDu0/rhyX5ecP5skqeQRw9aIzkwttsD2BftevZn2pC3zBa1CxrJ4/P7R7hSVN+JP/EkeJGKpOdPm1JYNOOwuONB+VBw4NRlGZpQTuWPCI+kWUjH2+wZQ4dmZIsRYG1zcqfkCgzckaMj0yKFrfXdHa/rrX9dLPVbInKvG3KYLRjHYku0yF9Q6XCHC/0XOgT7F4JwzxOzFRb1shy+w8Zg45JngVTYUXFFjam17e0n/pm86Goif5cBtulVFhpNUz+raOCmfTu2h9xWrDabVu/Kti2g+smWIzM1KxR0uAIkuN0k/P0qRKHpbN4tzU0W0hwe7StLZHj788eGcanOSo0BRVlJeh9jU1/nAsCB2ZKdFXmGRxNHZZE/EA6n6e2YN/GE56iaxOiGwyG2tpa+9mJV1GUrj6rvr4e40k8FR2EhKye3EtHYrMZJAL99MlT3gfKD/HsHG78xPiz9YxBcaLi6JbfTkWNDWfQybbOKiuNLSENHWLvKGqKnB+amDkqmOu9v2b8sKjSFnZoZEZGFNPYoSLw/ANiU9PHjIriepwWS7DtxJGaxua67k9Qtih7ZGpSbDOb3cgcMSaWbCn//uDvTVorLS6Y5+r+yEL8R5JETdaOMk7S/dnZkQEsl5JVUVpV03tCjn+ogoh0Iv38qo80bHECi9PrZlvQt3zXi67uLD1Z8MXxxvn3zh8ZkSCgUcgeKsFxetMWRsa0iPjYUB90aVxaL7rVbmg+9ckW+4iZoUmxEkd1c/mWLdjMmUkhsZSO6rLmLcepM5ekh3BoF6/LL96LDvqMVd2p6SzsJKALOt6VPZAcrW8/UlxKqCuk2U2dSkV7/6fzPmmlRy343uM/o99RW7+kpATVPx6NJtFud5rNTIFAFBfHDw3FC/UpU0dHV329QS5Hv/sPHy5KSWFI/nIfXj9XWVn53XffjRs3rqdhSqHQ2bwQJ1Xkx6bQXZ1yk7uUMf7Fh2+dOmnCWGRwVJK/5auO4Jvi2OL2hrLtRw4UFJ1pVyk7DNzomKhBiSFs7OjezrBIuqm9taPVEjEqM5RJwB+ccRrshtZTCll0ENnZYrWaRfGz0mUkAolp1SswlpGREMsy1+2pow3hi2QyZ2N70S8bClRGraqrU9GpNTo5ASmZU4UdNQJJRGTK0DC6Hesq2vrr8ZL6NpVRo1R0tBtJlMhBWUlRwVR2/vF6Pl+r0Hs8JBqfg7md+sb62PRhCVHBnHPfNzc2/tLWtttu14jFcXFxM+j0azlnCIXCYLMlXV0NOl3DiRNnjh+vV6st+MnQ/138dG5tqPOQaZyYQb2vkgQCgcKkqE4Vm0wqrcvT2eJgyTpKPzlUXtHW4tFq0GtpHBRpYnIUlyukVRLj5wz3znRBY9BNZmb5iY6EQdymkiqM7h8RFcBztJZ2yCI4TY2tJLkjcdKEMPbZyYesXRpNXQ2Wmm4p+chG9gtImpks9GYxae4GFUtvZWcm+ikPH7Yz3Rqdy6gncQI4aPv+fIHRlDeThYTwlOxgBhGjknWNJpbQyeIJuoqO5f9y7FRzXbNSbqcZBAm3hLQcLZNwZInD0iVnh0NQtbZYTSZGbAzPoSo7dTLvaFFJeU2HQm9u5Q6elBAQJuxpYpzrRWf58Y3y0/vycw+dbm1p6Wxx0vnilJtRvEvtiZysGruuvlgydWJSQCSfTMRsHqeh5JAjIZKk1Vceyj9edKpKqVGpLYFRkRx/h6fyC07qI5khQhQDkOwGi7mllTs+XexpV2lIJo8gys/TcMAcMHpIaKQ/l+xyUR1dpcSkSDqmaDiz58iRk0XVSlVHp4ETGROWlBSMN4aYRGedhd5eRYxhNdRLh6QRaRJPe3sQu+WYIylVqmovP3W4sEZj16qU7Uq9y+UXEx3mP4SjusA2pwRLvUEpztcda3+qCf+1i7b6DMriJo3Wxp2UHkDCSLrqwsKC3b/vbCjf6U5eTG/+rL6ypKrVY9IolEqVhSwNSsqIj+f5CfKPtvHpWoXd4bHTOByCqeFAFS0tRigVMY0as7xGIUnnte1pJXPscZndByFG5mHmOhu1wyVN828/YJb9+RMUC3qOK7cd0xXtPinGj0miB2Pb1EUWf76T4pCffO9YDcuq0Sg7VXoTQeAfnTYyRcam9sybYrUbW0q/3V6pV7VoOzVEMXnwkv8b6kdWnq7Yf6DwWHFZZ1uXupmVcFMASe12tFXFTr8phsMmE2gOvd5OP20NHiuoPFTqh78vgYRRxZjmoF3AwiTnDiQc3oteWUjtarHru/A65epCobjFYmlra/vTvGtdXV3osKmsKPfYLYTw9NlDEi6nF51HsTfWH9+fvzO/uLO9o7ORFJAii82MO/tFsap6S1nhLyfqaVatohOdZk4WPzIlOSM1WLev0s5Uq7Ueo87DlXJQSFKgp/KFgXESit3WWXKSm5AdGRbuRzRZ1TV7CvYdKSira2rp1BOcxIjxYyJ55upaLVVLCR4mdelLvt9a1NwoV5m6lB2dnSYSNyJtgtB6wm04w0l/KENKopPIRFOzxeWWczOT/Trqq/+5CnJbtUb5+VWfKO2WFH8WXkNdEuhFvyy+60X3ohCwJJrHqdXI5UbMptR26kxuN0WvUSvlcu/XLuiCyOIKmd5rSM8KV5GlezMUFo3GgBoXGk2HQs5Qa/QWzPsg2XXF5XI4rWYPvftx8z+3Ia5fbu+gOgYXhUn98wPWf89p1djcZIx87hl4p11ZdqK09nVNxo9z4v3xG7GuhAdtlc2gNtnIJAaLyTr70Pt53HaTzUMikehU354el4bgHyae8/iXN8qz6E6nc9u2bQsXLjSZTOcGwkCtdjqdLhaLR6Wnj2Cx3Lt3ow+K4D3c+8/xft1z6+VdJb99brj5zqEB6Rc5lNzNpXlNVcVxd+Q+l4g5K794s5GLqnIujRGbqf7RoLVVaRiYOWW48PKeQPsDgUDjiJPm33//lJjhYefuTMcq67F6/Nfu7sLoSTkz0mbMy5CedxIO/2pc7b7/zX+zdXrmrHnLbk0WMqLG3xJC4p33EAiFwkI/DofO5bLb7UYymU4kXrNT2e12om1AW0IgkKdOTbnvvtkxMXfjef3fxU9ni1+UJiClJ/EPRCrGH5GzfISi8O2tG5c/czDn5bxRFsrwUXP+k7BsQvK5GtlQerrSO1ATjiEVUtWDOvc0GAg1hNR4TnA8x2PsmXPDO/qbg+Q2Wh2YB33O59cZZArD5SA6rHZ3d1eQ02Z0uR0Y3Y8VPvL/1k1v2Hbnp1/v+IE2/+nPFiShKBxf6WLsmiplxWf7BCsXvxCaQq8oOlPzWRFGIVKpBLXHbbU5/9yqctsNXcffKsAWpd418vkQdfeTvec9iX2WWVPbWvjtSf7zHz8XymNWb6isrzuNZ+HQHrbZ7E63G+1oj8vhsOkxqhBrP7gTk9ZFPfrdsjDMWbTp/XYuRiSQHESa0eH0eL85IbjcTqfNhlbHX+dvuZsrdjTVlsXdtvG5OMxZu+HN5vNbQyIUOhraC0rLCJ3CERkJg+3q9saTVTWNIfEL2EI9MWBwypypCx6bHkA+e2estqar8tRft/n8p+5uDEJeuJtpUjTUmuJjmOSAUXOWjJowYVj51qWn6BiRSI0ZPT86afltSee3OCK/Wqfe98lTb365NzPu9geWXqh3iUCmEhyY22RDESQ6sjx2q83ttJIu1HLpDe1fVIs6HB6H0zvhAVp02q1uN9V7bMh40vn3rXlgUBBPdMGmGZWNDbp3afez6N3jEHi/RTr802GN/+AJn618hqbq2L7sgJBLcOvQ66IP19V95rtddqfD7H0nEjoXus6eCx7MbbNaCE4q6e/uhyMMnr7g2j2L7na7m5ubUWTV0NCAajM8FcNoNJpAICD5hbT7J2OUC0yce1H6psOn66oJsR/n3ityGw+9WmSV9h5mHV2PpLEjZt+88T+DaFxqr1bOkq8zG/I+/PSz136kznjm68V/09voMbZqa7a9rJzw+iOPTgzVVp+qzP3Ocv4mEtCHHz7+wYlJI+akC85VSO3Hdp9WkY12h8dbUXq8oYWj94SV/1AFeau+wvOrvtP/thkALs0/nOZXCMVCR95YuHhaZgYyctqEO97cojZ88+6yJdO9CRkZYzMy3vvmUMuVzHLwr23r3ozxc5YtW6fVrlu2bM74jOlLlr27Dc++jihbqwt/XrOv3eCto/sPg8VwevOa3ZXVnZc+BUTL3mU//vruhhIDvow1lpZbjE1h6+fEC5nnN3z+JbvNUH1kzZSlt9798oe7Sy4wBRS6mnWVbNxacOBUC54C+lJjY+OpU6d6N+gR1KDPzs5+//33X3nhhVHDhlHYbHQRQ41K1KLDS/Q11HR1u1DLw4tIoRDIfXJ0XdcMXVhTBTEnUxDkd9FIRKdWSTBVqkiCOYnYmdodBvkJlEqlUDmpmfWdJ0+VaLCO5GjBv714UOlsFjPw2Ft7iyoVF675SSRMLA0885Pq+N783jfheVFp3Khxz25cFh+dgRnUmMGsKto09ZtD519EIiJui4xcyGDIFIrTxcXf6XTX8lRG7462AW0J2h60VWjb8IwbwsVP5wUPPkmQxeCpf+GXumTa4ldevrXBZhExY/Y1eQ4c+aPm/ysmT0SMTT5TlXtCT+djsl73vHCjQplVfsZv99Zg3mE6zxccNa1Vy99+uEjbXbm3nPy2U1mInR14Inj86sWLZy/OautQo8Z6T9o/sFnV6o5jIWIWi0a1KBuaG0sKSFS7KC2B+pu9c2/RX441t8vWoTgiZNhFbKbDoOo4c/i4w3ah+YcNNrVdnR8lYpNpVIOiqaK+4o8nCHrY7Y6CguJmtRZdUo2dlehK5kiLwAjGEIItEf1FTjtWc3qPUXsK49BFBmHG1xVNJr0Rw0xt6vqa/GNodfx1/pZOrfbHNEki/+5zv36PQfGnLwlYHMxptuf/mm/n2jE/P0xh0dTtOBkVGUrmBopEHSfIx/78KVxwm9kifl/2NF0XOOGJIUyGe/XSTSe7zGiv9yYQJde2uM4dhH8g0jDRuAUvLBs7OQNTX3hSanZYCqPKZvw+vxpF2Wgfluw7qm04IBHxL14DE0mYSBpQXW2vaKhH7Zzzjw3OoC+3FbbK1f94QPRAm6zUlImxDrGAa3fYlWUFh3QaNYMttnvYxwuKO+ze63SnvLCldju6mmLC1D/OBbcNU+87so3aVIXWxV/uuqJSqY4ePdrV1dU7PkdQfPLSSy+98PrbhPB07IJPdF2M2thEM1cH+ovcRGJXffkJRVMjntONzQ0z2qQb8/a1W/7Sqg/OvmPxkmfvzG7o6HL+TZXksBnNqoYh/iIRnY6p5C0ttd9j2J++AuD7R9X8WlZ0sKp3heR9X1LY9yVnzN4Rq/9ayfxDFXSBqg+d4Hgm8AnfhujoomfVdXYq2+VIu1LRqTO73Ua9RqX0JqAkudxgtDrxlvLVZeneDEVHdy+6obsXXanq7kW/3rhcDptJZ+35qrL/cLs9drPO4jg3Y/sl8E+/f+yoORPODVRgYMvi49OmpYWzvAO34YlXwtRpbz15PPjxWY88tnjmkMgLzyvgspssNov3K2DQ51CbvrS09NyxzOfzx4wZ89prry1fvnzUqFEBQUFMHs+b673dwel2eAfD7ynZt5xWq8Nk8t5zy+FQuFwS9ao9F3ltqMo2lp3+7ExMTjybxb/4TS2shJhgOVX+/J05C2bl7DtC0DpjUSqBSKH5Jad1HGMJtIyh6fzLunIQyFRezBDVTx98uOa9105jgvScNxc15n/91OIc5L7b78wr0Fh6NWrJGCl27P2zpcTKH//PWwJZ/UvBgQMbN789c+asW+besexXC8UVFC5DlYzLZlSarOdfRMhklkw2Pjr6DjY7ohNFBdXbOjoq8LyrC70vene0DWhL0PagrULbhufdEC5+OgtEYoz059at227Un3jv9eWL71i88JGPfv6GMzmGJxs5b1ECQV333LyF83PQz4rv9h1v+dPcwgQqV8ALT23cjAkJRD+/XjfeEQXhaVkRUn7BkzlLb0err/7kp3LvEyzdyCETs0KMkTVP3Ds/5/b5OY8dCzPJJk8L6Gja/fL999yy+K47n91ZfZiblkRSFH+2pbxBfuE4qRemMCwoPqfzvYf++38zn//8t+OdwniMSCb6pY6/id1ZueURtAG3LZz/1W8n8Zci0VihQ++y7Pzui4dmPvLKWz+1SUNdpAtFK0JhCD9hWumHTy+6d8GKL3a0qHkReM5ZZKIrXtR2fO3y5+fn3PP6pvfdj96WGZGcmRUkP9Px6u0L/2/xwgMKgtYdjbYxJHnwjKmt7zzw8t05C19Y9/6JTv9EtJX46/wtVkKkTE5RPP/g/AWL5u8rwLTOP92Lygzgc7iD3UcD48IYHJ6fhMcIDsy3BQjJJAYpJGHK5JQR5z6FnJXrNx5vv/A2R4lofXE5v64QyZKUweNGPXtz80dP3nFP92G8ZNXPH5CeHxnOjR66cEIc8dxBuHDF5xuOF9Wd3Lxp/sx7Fs5d8uSvpxtcMQmhZAorNq0575NnP16/Mb/97OsKBqVncgJ5Pz4zP+cOtA+/6bSxk+8aFfJPNTAZI8aOnBuq1/224j855x0bUUMy71ws++bZ9+6dgzbygeUvfnJCZ7Jf5AsqdK6FJ04yNzaue3rhPfc9+F0FKdxK4xHEydERgbeTVrz24JzF83M+/P5kvWOYtzCp17mwYP7Ce3NV6UkJk5KDfBxt/DtqtRqF6FYrXtswmczExMTnnnvuhRdeQNcdaYAMI6O2weUerbKQQSSK37aXFt66eP7q3XVEPUuK53Rjho5LS8+Yh734aveuW/jk/17/+UB7w9b1S+c/sOi2e5/Oyz3EHTNIQKNEh4h3F+x5c+XKHwu12LmPiMyX8GMzojcuX/fALQvf++brOsc4zDudAxYQxq891rb2+fu/Km4JmL54hpNc/c5j3kMRr5EsoSMSwiOzTz341JKbF87/ayXzD1XQhao+H9+JPeD57ll0AkagM8UhEWPHZnmfdPw7KDMiRMS83PtILuhyn0UfmnPLrCn4dpw1ZuyYYZmZQSLaX1oW5+urZ9GtLYcP7c37ccv2wpNFNlEyj0kjdZVXFuR9+X3ekcMHtFSquuR08eZfdp4ub1BYSSJ/zFBUc+Sr7345gHIbHQIqWyhm9WqsGJpqi/d9+s0PvXLtdmP96U++2LZ3z57KjjY7OzyIj04qzZmNB/ds3ry1qLCwxWYtb3cJMbfZ0tWwv7jZVvLtjj2/V6pRm4iKNeR++UPe/lqrncoOELPJLjvWeeLnLb/+tm376doWDSsqiEchaysq25sKT5fLv//218MHDnZRMSbG6SwrWP91Xv7pWqXBSuVQqdquove/+/UAUtlpt7MDg3jeU/vcn59fdKKNFsF3WKkMLoEj5FFQk1tR+cMvhw/sO1R5suRkkd27czzG2oam0ydbdcd//CHvwP6aTjuNJfXn9dr9Vk114/ELvJGXTakoO7j9s29ya+0uk1giJjG41gY5Tczzjv5u7yzvkFdUGOm6ox9v37X/eE2l0mSmCGJdlSeMTAaBgQ5Ri93afvr3VgKbbu+q7aw+1tDR+uMP36uIEgaX4m4pKlj/uffPP3ygxYCRRWHivugmuPFGdN+7d+8vv/yi0WhoNFp6evqMGTPmzp07ceLEuLg4FouFroTeEaL37bNrtUQymRcczA0JIdP6pHr4A4r81TU1nRUVdpOJLhIFT5kiTEpCsTqefaNAOxJ/OMrTcbr8TKWamZCZHcntaG9x2uxENpfH4Yljgzno6PeWRruezKTygzPDA4J4HgaD7CAFyWRpGeND4wfHBYr8+WQHWVf1TTlXEBM5dUTAn+6UJxBpZIZ/oB+dQaWy/UXiEO/gvd7XJTD5PJ6/lEVmcF0mF80/KDA6Nj1MFibDHBiTwxXLZKHBwTGpQ2UCKpknCRWhN6KgTaFzpH5UGoNCprBlXnEpGYF8jOq2W0hoKTgxa0xafGgQi0TAKGQqPygzWHz+RYRCYdPpYgqFYzQ2Go2tTqeZQmGyWH549lWB4vOmpoMoPqfT/aOiFspk4xiMG228g4ufzgdrFBe4Snpcbou600yhs8WyyISoweNGhwhFflIGRmeQyESpTCqVhcWnRwT6iTk8NkccFcjpmVKZQCKT6EK3MyBuWEigf/fHTaSR6P4yMZPH59MYAqLNxQyQ+UvjULQTEsLjMJicwCAugy+ku/h0soPofeXg9KmZySkpYqLDqu+0MoQiaVBCRmJKQgpXffynGmZcqEjKP+/YZviLBaJzFxEKz58vlPjxZR6jg+HnL4tLi43PGBQsiwnkcwR+JO+87RSmNFAqjUtMD5aIRH48np8/m8YJcFsINBZXGBEblZKVFhySFMxnM87V5+iA54j90LHPYkmJRgfLTxQRm5wUn54RHBAiY2H4hMpWjV1dXeCIjmbTpX5CQWRK9JCbpsSI+HwexUH07rrAYGnSiNEhEanRgX4yP55A5jF5N1IoE7MZTIeTkzIuyY9OpVB4PC5PzKOSKAxRVBCf3XPikEkkrixYKuB56N59FSSVpqWPDo1JiwsQ9rrCEilkElXA4YSkjA0RMTgMMpHrz/CPGBEl5pAZTD6fKTz3KcjCYpLCQsP8uQyunyyAQmJz+ee2mdMzpt9Zvn489Y+a0IfPonvrTxaXExxA1ZkwsUiCDjZZZErU4JvGR/C5XDGfSTh3EErDEmMjpAEMol1jcUtlfoGJqYPT0hKD+VQSg+M2uZhiWYx31/GYdHGQmMXh88lMPsXmZAeg14zPGpmePCxcgELwC3yCMi4DP668tShbTHfRqCQSOiR7HRuBEr4oiGW0kvz8eVJZYGhUWHRihLD3WD8UEoUvi/Jjs3s+J+9LMQVuF51GIosDg2PSM4egVwryl0i4VBnLbiUEisUyCcdCZ5E9QdnDg9ApJz57LgRJA1OGTx2WECPxtjvPdz2M6F5VVbV+/XqFQkEkEqOjoydPnjx//vybbropOTlZKBTWqgyXMy860vMpiHl+VIr3I+MESKNThqZGJgwK9vM/1yYkUjksJuvcrpOGxISHhcRIaIZOC1noLwxKiktKH5Uh4xLpdIreQxUxRVHRceiEI3MDY0UcDptOITP4TIPF+wlGJ8XFpE4IDw6KEjOYTIrVzaCxqOEJqXGR4RIy3fuR8aV4jRQUIPXj05hSot3BDBT7BYkoHnTSshOz4vkECvGfqyCSd4Lnv1Z9eP18ieBZ9Mviw3nRr75Lmxe9yyA//HnG3cbHPs+aN2P0v50B5+IzZF4StxMztpSd2rPr4ImiijYqnZk2/qns0f4k+dHjv+/eWt6JKtqshXcGyGtrf/31l1aCJGbC7IfuSOIUth7buPEw+tTs4sTbJ04ePy6j53khxNhVcPTQjl2fnKlmY1jsTY9NGZ2RxtMqSo4c/+qX40Zzpzg2dPCEGVNGD6YpduX+b39hTbM6mEUOSgs5jmW+NjSKy2gvXPeDMiuw6FSzBuMNjY9OCmCc+eX3yk6qf9aUm2dljw7xtFUXHf5++6G6lg6Wf3j0qDmzs4cFdmz5+UT73pOGofL8fMyukI2bPmXoeE5n0VvvfVVtpQVljps/d8xwKrHwtfV7MIPFwQ0ZM3jM7LlTItjGlqP7Nu8+evpMs47J4ife9nK27ajTL9gRPWoYR6uu/n7fZ/mFDZp2qpVMcAdnrJw9W0Yo3nfm+JGOJFHx75V2NUM46qYRN9+0IPqPB+ZM7QVV+85/o2kxKNtbhVia6o/kbnrr419sEgl/6sycoPihworGtAUTxGw60VTxfVVj1VH+7UnFy3/YUl1nY0SMmTJtzqN++z8nTZsmi4wO7DVfKNu0o7po1zFGZuuRw8NveTQjwoWVbP/9m/IzbMzhVItCbxoyfvGsm2T4+16BG2xe9K6urlWrVn300Ufo4peYmIguh9nZ2bGx3l7aHh6nU3n8eOHzz3ccP04gEkNGjoycNIkfFoZn9xGrVlu3e3f97t0oROfHxQ155ZXACRNuvBAdVeP4RJ1k+e6jJUXVusTwQFRLWCiD46NDkyPPDmv1zywmpbz5aEljU833/IzRQ5LvThLjOdc3p9NUX/99U1Ou3d4pFsfGxEzj8YKvwnPpbrdTp2uprt6mUlVRqX6hoTkREbfdYP3nyD+ezn1wlbw63CqjunjDeteI2enR8X6XfmJcVdoabdVvK9pn3jksMC3gH761dJiUXa0F5S2Y3ek9fbt0nlZn2Pz5g/1Z1L9Elteer6dK/qMmvLIpi/vN8Xx1OPV6ZWttaZ0anUAYZusqsJMI7IxXxgZj9EurYq/5vOhGozE3N/fee+/l8Xio4ho7diwKsYYNG4ZnY9hlzot+3bOqO9ubT1a1di+YTG1qjOIfknNrCvePaSN8DeZFvyxX62O5/vQMF/cXHQqlyeryXOSmn77icZodVRu2KgKFY554e837Lz2zTHx4j7zm9/21NgXj5tc+/fnrDVvuu2n2rCXzZ6989fYJT6z59Nlbx0Slpd8y+e5v31/z0eo1b03ETJ7GmtY/tlVRc0ShrklYtu6Hz7/b8tLCccODXOrqumPfVHOfePX+Neve/k/mBHHj14dbtWXfbZaPEE5b9+nGTz96f2GCq4Fu884Og3UYCMcV9JmfPrV23a0So/Lnnw8HLHvrox/X3KSJwIpKGzr0rYfeL+CPmf3422vWPTF/SlL9Jyc7TBo7piy2demSR23c8vHGDSsinYEqTVfMpFmfvn7rhCdfWfn00kWjhkQNTrt14xuvr1+zZvWC+DBu2Ykau9lSteHzCgFtzHOfbsz98tOvn5wYHtEzXb7HZtfXH/70HX3WvHnrcr/7+uu1zy9xf7e7vqat01NpICo7Apa989GP3707JzKKsLe0p7rBsaR/fqNat/cJLi9GaMSQKfe//J+Rj3zy2ocP/d8tiX/5FopCZYUNuWft7VMfe/KR/y1b8cKU8L+72CjanOp95HGrPthw37QYWtWO8prGgFW5H3yb+91nb00WCNp+3v/H+4Kzzpw5097eHhoaumDBgg8//BBdGns36BECmUwXi4XJyUQq1WmxGNrb9a2tff6Eh0mpNLa3241Ggrd/QcqUyW68+Pw83KREfjuv5rWlSx9dunR7lc5K8b+sMKSro2TX5gefeXSVY1hg2JR+Ep8jKCqOibkbRcgUiqC9/XRFxWazWYXiZzzbN9Dro3dB74XeEb0vene0DTdefI784+ncbzicRKuVOTSBK+Jep/E5QiQTKGwenUQ5rwf6wiydJRV5S198Zunjjy19fPnmrQXsqfeMuD7jc9BfWeUtBT9/8tjSZ9Ax9tjST49TuyIe//sm0/Woubm5qqpKIBBMnz799ddff+qpp3rH5zcgXW35/i+8dYL35/GtjVZm1q1D+FcvPgeXa+B+Mj3Dxf3FrROnbjqkMl9k1Jq+4nSYqku+zl+/+LX/jMkelzl95m0v/VZQqAoQYVXW1g+X/HxGY75QU9JUV73j3eXjhk0bN2nZ+p+3V6i6/hjzLEya1mwO+er5NfuaesaW844Ts2fXb28/PXPMrHEZ2bctuf+dX4601JWd/HxYkigzMZLtHQVKkjQ0iyfsHj4nOJA6f87IIIaIKmKHjk8cN3PGSAGdRgyOmuYny7DrVR0nfzv+7QP33zE+e1zGrDsWL99wpKbVZrNjIWNih902LMb7sJsgIjFCGvqXRry901D94+o54+eOG/9/L7/z7ck2ucJUeerrs5txPrvWrqnPdz8WHhwXhV6J6kcPypoxv4XBM5rMGTIxvlVYcFS6X2A2vs5Zf3mjSx8H6HKERfmPfGhcPJtGxvQ1TebYTvbt46O7L07cwYkjeUMuZ/yhgUOj0YwZM+bdd9994oknAgICSD2TvJyPJhD4Dx1KZbMJRKJ3arSGBhSr922Urqqq0jY1uZ1OIoUiHjQIvSOeceOSDFqy6JXCwsIjhYXvPjIj4S+n3MVJgrMWPVS4f3/hQ4uygvvdvdpXefS4G3t8uN4u5XTuH6h+DNmE2VkBQefm1r8OsYM5SQuWjQ2KuYSNZAdljbi38OethXv2oZ+P3v1vdgwGT42CPsWKjJnyyMp9hdu8x1jh5y8/siCln33TbTQag4KCPvjgg1deeSU1NZV6ow9Jg4nTR8x9ubtO8P6semLJ2GA8B1yfBnQv+tlR63rrUCiNVtdVia08HofdmJFz30Mvf/z2mo9Xv/PRB589PSdr8Khxt8+fd9ejnH3PPbzgo98KKjV48W6tlVtrqw9IJqxZ998165+9K3FodO9tJfunzp02/9Fnh8i3LVv8/nf7jjeb3BwZdcQDT/73vTfXrHv73c/XvvTi2xPDWEQrjUKkUShEjEAgkCg0OrGndUUmE9gsOplAIhAJZDqFzmTQvbOjkCkMEomKedwkMi1u7ouPvvzB22vWrVn72VtrPr4lRSBhYmQahcbyPptF8A6PTSb9+dEUlaKket//DEmPrXxyzfoXH54+I8Ppcnn//LObcT6P2+Ny2jxcMpni7TEgkIhkGoPtIhDdbrf3waqerUKbRSWSzu/0uNAbof3Tx72wCJlCpHMZFO8seG6H001xEdl0Ctqb6JSiUmhEGt1H79u/DRkyZNKkSYMGDeLxeKhBf8E51ShcrjApiR0RQWYybVptV21tZ0WFu4+Gdne7XPrm5q76emtXF3p9blSUJDOTfnZ45xtMdHT0ww8/3DOqCInKYQtkMlmATCbkMinex70vA4lMZ3NlAQEyLvtaTJB5ha7m6HE3/PhwvV3K6dw/oCseic6ke/8IPOU6RCQTqazuXvR/3kgimU7jyPwl3U8+S0VCgfcB5X778Vyp3jUh6DMECoXBFUhlku7xI8R87tm5cvsNdGBMmTJl1KhRfn5+KD7vxzXYJSJRaSxBd53g/RHyOP3oloeBaeCG6CmT5t/12Iq/eOCpZcNjOLSrcLcbgUjm8qINtAhh9NAxU2ZMnjJt8pRhsYF+AUEJsanjJyZGp0sdcp2pRdtrUgOLskWtl1OCBk2Zlj1lcCyFyzl/cg+6MCY8bkL24PiEaEaHWqfQOWlkosTSIYodN3wseosZk7NGjosQ+Yliq7tsTVrvXBwup66tvtps/NMsIReA4nM6K8DY5hcYPyrTu8EzJoyfGONHZ/7jzXO2ri5tZ7GOEz164tgpI9KkUmEXRiLRpMEj69tMtW3KPw3di5GZZLZfJHGnStOuNHgfebJrak4fF9jN9H8YOOxCb3QRNqO5o77F6HS6MJWyqr6x4K/da2jnH+nUqHQGzGXUaGtOHHfaz/vOBGFIRLR2rvXoGSXmcKHPqEleY26oFnJZ6CPGi4AeUnRZkMku3lQi0WisoCDZ2LHoXw+GGRUKeVGRqaPjyidgQ/G5Tadrzc/XNTc7LJae7npBUpJ3jrcbEZ/PT01NpVDg5laMwZAEBIyJilrIZMpUqqqmpoO+iNJ7xodDr4/eBb0Xescbb3y43i7ldL7hWTXVzflvF7QYak+Vt7U0/eOA8H/L0KRoKt5RY7I6e3+zi343tRwvrq+8glce8KAmBBckEAiCg4PRv8S/m7T9ijidVkXNzrdOVFS3XMF9uYaWprYz5Yru6el9zG5UtFXuzG+12v/cJgfXiO9iCItJWVe1Y1dRo15rdaOD1aprbSzasaOosVXnnTXTbdXqG4t27aiqU5quyURnKRPn37nspb948MnHh8VyqFdh0k4imSmOmUPSVp85/uO2HXk7d+/YebJRrmprqzyRv//okWpbZFCmWMinUGgUsotJPnn8wInaJotNbLLyiot2bNu9o6i8Sq89L7I2dtUWl+45cOCUkhCWLhIL2WyBgM9J5tSc3rljz9a8nTvyDucXtJoZgqgZLnVtxZGfd+7Ytef3E+XNnaZLmHOdxBRxAtIDFCdOHd6ehzZ4x759+xo6bM6/WZNCJDD5rPKqkqLSCpWO5iLF1ZQf2bFvx7Gi04qOLsw72GfSIpK+tufP3/37rpPNep33UEEhOpvKDx8R3a4sPbAvL2/n9m2/7z5W70jnMIX8i9+I5KaS2H9+o79F5pLcdqx58++/523fcaygqKG9w9SdQePwLRpF6an8gmaTmyXRtZ08eiwvby/ar9XNrU6XrbvQHxhBYTKyjFRyaHPeru15O3/bUVTjMlITg9jY9dwlc90iEIkULjdk6lRhcjKVx7MZjZ3l5e2nTpk7O93nz1x6WTxut02v76yoaCssNHV2EikUdliYbPx4plRKvOFvbwPdUXpoaE5Y2Gwq1Q/F0g0N+7q6GvrquXT0OujV0GuiV0avj94FvdeNHZ8DL6deo6zMLzgk19ray8rlzU1//gL30qEQvblkR/VfQ3Snsa2muqb+TPs/f40OALhueNwui66lpLNLa7qC/gV9c5O8O0T/435ZX7EbUIi+43ir1QYh+nXCdyG6Sl6weeOCO1Zta6hVo8PTqq7dt/WNBQve2LqvVo0+foe6tmHbqjsWbNxcIFfhq1xV13y4OCKVzR3y0N0pcnLR/158bOnjTy17/NP9J6oK8rd8/B5afPKZx9c6uHR+XHAQj00IlXz3/qvrt5/h8Pz1Qv37Lz/2xJOPldQHEJmDGL3uLVLU7/xmA1oXefkEgcELDY+Tpoyf9MKd9l9fW/e8d4iIN9778HAHi5Z+5630YkPu848/tvylV7Y10ROdDAGRRKFQ6DwWpftuHyKFQaezzk4LQ2JQKTQ6V8ZLmv76Q7a2fe+s9I42seLFFXsrdDYLiUGn0c/d40SgMqhUGpXIppADE2N+27bp0+93dZq5glGSL9e9+vAzj+3er7Systl0KgMLn3FHbG3Pn//M8qc+OdLSZiF3r0uhMoOGzH2MWrJry6toz7zx+pet8c9NTU4JkvTeKgwVptJ736nDCJUG/OWN0HadC5V7j7hzfuF8g5/0liFMCpGI8UITbc1nfvzmvQ+PdXIChz+KFXg347+ff3+AkTWTxwuhkMjob2Sce2V2cNrkqMiElrVLVzy59PEXt1Zx/YfdPyocbV/Pm4LLREJRTkaGJDOTExaGeTymjo7aHTs6ysqsWi2KtPFCl8Pj8TjM5q7a2vrdu/VtbSjUZwUGSoYPDxg9mtTXM7qB65aPRo8bOOPDgT/xGBs69a4T7FfGRfCk5z5wjwdzmLrUHQqFvEOl1lndbo93NniD1puiUCoUBqvN6a3HPC6H06zpULajdI3OaD3bjj9XWNnRabCxY8YFumi2kmMNKL93+A4AuI5RKMyw1PkfZQ8bFM2zO+wmrdlkVCpUCpXWYLE6rDaDvEMpV2iNRrvLOxWl06Iz2S1GlU4jVyiUHR1as8PtOv+E71UzKA02lwtde1A4rdebe6oR9FI2m8Oi71K0KxUag8XR/XWfx+N2WHUKdQd6WbWmy+LwplhNFotRrzGou2ukLhMq67AaTHqV1qzXKBV6k9XudHS/lFyJai1Fl85od+IbaTHpOrVaTddFJ9MHfcJ3k6611ORt+m7x25Wv7XxiZtyQQEdb0S+/vvHIC9ir7z496+bBgZS2E5Vb3pr8fNzjXy2cNyO6T8YsuKxJ174yulsYdOqfH6yMEkruWL193lAJ6+JzIPbV9BtOq8Zktlrs3t5DjMrhMYmY3WI2oYs1Cv5YHAGTTiMTnFaHpUtnpjG4HCrR6rQYDFZvLoPupjBoZMq5KN1pNxotRrPFuy6NxeMw6BQyhk4qq6HLYHN7gxsyhc7kChlkt8PcZbbYrE6nXa88ue5D+/QHEgenxrBcZjuJwyQTCR70nk6Xm8RioDiT4LTYPSQ3gUonefsidagacLrQixGJLJ6YSXFb7S6ii0DpidLddosLI3nIVArB5TSrDGYSkc6i0wkEq0ZnxtweFMATaQwSicamETHX2T+fQCBSOSIW0UkgetelElGjxmZCNZnd4cRIRCKNLeDSyJjH1mur0N9rR38VsXeUjv5Yh+UCb4QH6W6n22kzuOkoFKeQCL0L0+newh4iG720x2E0mc02F5nJFTCINrPOuxluMoXKYpPtGI1JJXjsblQ9nntlj8NhtRhRHeZtQlHpLBaT1furk3/vBpt07TJ4PNrKytoNG2o3btTX1RGIRG5QUGhWVnBmJtPvsme3thsM7SdPNh082FlZ6Y3PAwJCZ82Kvv12/6FDCf13jCvwrzidpqam3Nra74zGeqk0LSFhtkAQjuf9K11dDSg+VyhOs9kRUVELUYgO8XmPG36SKnPV4SZ5+5nwWVODyK25P2olUv7I0dEOE1az6cGVX+8vqhUnjB5z//vLRgoIZR+s/+bnL3fVYCwhNm/1+7cMHRvGs3cUN/z+1pJ3jqj1tmFDMqKz5igCJ6+YICaeLcwSSG5buX1OmsBTdqytQ8OffXMMavjjb37j6C/zMMGka33rmk+69o+ucNI1h8lU/fMmx+jxUkaHurH4i3pq+Dtv7tBHRd15z4zJDOKeO1/YhHWNf/7+W2fen0LUtRes3icdYl1ZmF+4Od+fK57w0LrnJ0TxHScOoiiZMntuIoZZTrx3Xs0wiG4/VlRddFQfXvXeO0f0Y568f1rsmK4j7y//ogAbOX/lEzMnpkazbVZd7ZE1C9ft6zzTMTJ93KJn3p8Yo9735WGrtXybrXLbl+U8bMRTKx8YEdq6aefn768/7CBymDc//dXc0cH0kh/fX76uAMNs2JzZDy68655QYfux1fuwiLp1p00hpsS7X79nBP8ye3ph0rXLQlqxYgX+a7fq6urffvttyZIlV/yAmV5TXVb66zHV+EWZcWIZ121or6w8smMfNn7qqLh4GZdkkKuqjn67V5x5c0pSrOji8fAlOnTokEAgSEpKwpcvzGo3NJ/6ZMtxlbrZZPgLhpuYMv2etGAO7eL3uh+obj9Q086mURYNjUf/4qmXj0hm0BkcNhv9sNkMKoVModAYTO8i+qFRURTsDd7JZBqHxWbQKCT0G5WO59LpKATvPXYMkUSl0/F1vYW9Y6oRiASUymKzutOZTAbFYyE073znw48/+2bjrp2/HTqez8i8Z1B6YoSYxaCQ6dSeUX+874mibO9gbd4XppBIJLJ3UwgEMh1tX/dbsFgsKhmlECnesme3g0DyFkZLKINEZTNYTDqNQvZuOPoTvBvGYNCpFLSi95V7//kMtB76c/Ahe1A2mYpW7s5isejo7ySiV+y9VejvRWt4N+sPZ/fVn98I17M3yMTuXXNe4e6d6X1p9NejMjQ6y7uv0M4g4puBwm46hUJFG0IiEtHf2PuVUZyHPjbv66Af79/bV7e4H61vP9rQzqFT7smKR//iqQMBOtDYbDKTiWJ1U1ubw2BwmM02vR4F2yR0inC53gEOL2FwF7fLZWhtbTxwoPXYMe8o7nY7jc8Pmjw5fNYsv4wMMuMqPNFyzdTU1Hz33XeJiYk3/kC1l4NIpDIY/lQq32hs1uka7HYDlYpqmMv+3qdHR0dFXd1upbKMxQrpHh9uHI12408QcIn66ip5vTK2na5va7IKMlMCKQRdZbmVzaYHsOmdp77KpyWkjphx000j4kPEyiNGWQpfEBASNWjYqEkTRmfFaY+zpGF0qllTVLzlU1vKA3fMzJmZLlW7LdVK3uixgrI9B3Vu0aDp8+ZOnzg1IykmgEuj6IsNpuYqyrAoDvaX4VX7vV+K6+pUuhgJb15GFJ7Up/qqJrzRj+erzWhzfFtYif4dExMwJuYKOwV9orpDt6mwDv0yOzUq0u+ywxS33aY4ke+IiGSTtC2F1V9s8kx4YPbocTJS0/GqwkpC5iOTxo8OVct5NBpVKmZ3nd655gNnxMS4sXfMyEodEmL8toIYFijgmjotJiMpOsK/acd2uYgSMmrOtIljMgeTT7bQQuj69n1NdadqQ++aO3FSGml3XX1zmSNt5i2Tx8VbDrn9CAxetLu98fBmZdQtg7JmTh0dFRxEONWEpQrk+d+eNpFC426+Y/Ko4XHmz9zidK4sNVQQzDJIxjzyQPaIodH+Qr44KDx95MgpN01KJRFFbKWLHuWs3bmmkDt4fFr29LEpUcEC5tnW+KXy9cl+rcjl8hMnTkyaNAkFHnhSX7jhKvt/RqdxYoYve+qBnuHhkBeeXbFkSkyId54wdgAvblpyCIN6/U6OeuUIJIzpHxadmJo6ODU1IzV9RNqIjDAJnw23ZYPrCYqfBYmJITfdFJqT473jnUjUt7a2nThRt2dPw969nWfOmFUql+3PIwP0cDscVp2uq66u+dCh+j17WvPzuxoaUCJTJgvKzg6bNUs8ZAiVy8VL36C0Wm1xcbHd3mu8SdCtr0aPG2jjw4HzOcweioPA9qdh3V/5erlMneozu3J/23Lk2JHi0yeL8g8e3ZtXIbdYWXymUe88fbLkVGH14e1VDR3yljqVtrUlcvzE7JumTZmROWRwqETkbe5SKG59lRLVYKEjzg3IyuRQGByaVo+54U73ywc1IbjmyAy2MDIxIXvqmJuGRAZK6a7AsPQZEybePD1WKKM7uhwYRiJjflGBseOGjpwxeXr2uHExfgfqTQpDzwhJbodZUf7Ngd2/HjhwqPj0qVNFxft2Ha5o0mjtHAY7MiJ55ISJ0yeHM0N5HHrosKFTp02cPTiMQqTplfqW0lPfbN62uyC/8GRx6cGCkkP7i5q7HC6XQOoXM3TQyBlTJk6eleZPITI9/JjQ+FGpwYlDJ0yJC5cI2Fwqg8ylnaw8c7L4zMEjlaWnmrUYiYT5hQQnjRk+aMiQcO/0j33UGwUuzLchusth6yg9cGjP1ry87bsPnSqTOxzyslOHdm/Py9u659CB0g6bdwjsq4xB5cQOe/zJB7tHh1v+xNKlt6QPTw7ms6NCYjIn3TZp7n8GR7IoN3LnGomKSYbNWfjgU8+8hH4effjxMVEcwY38nQTor2gCgXjw4Kh584KnTuVFRxOpVGNHR1tBQc22bd7A+/jxjrIydU2NrqlJ39KCAnj0o2tu1tTVdVZUtJ840XjgQM327U2HD+vb2lCEzw4NRfF51O23B4wZw5RK8fcAA9IVjh4H48MBLyadzGNxezWknBajqa1Sp22uri4rLi6qalZoUbOZ5DI1ltQWHTtdWFRaerpFo1IbHIbOTitZT5yUJKVT0OWXww8XSVIwAhljRyVF0zkUefGpY7/v3V3daTU7MCqdTWfB3RkA9FdsKS96UlIQOtkZLLYsPSQqM15CoJBY/oF+PFH3nDJUJjZsflx0SDAHw+hMqjhoWL2JbnT0jNzmctkULUcs7cWKOlSxFJdXNZqlYiqVTnGF8zmD0qK9d7Sy2MExkYkpMaFMEokgCUmgM0MxvUXT2XzE1lFTUllWVHymVan1BEsZHiLBnRDnFx0czMBIZKo0eCSd6e2k7M1llHc0Fhw7ffT06RPFdfImpdZkNGJUKjZsSHCQ0A/G8LkqfBuiO4zaE+seWXbnnJycuXc9tmbdEaPxyLo1j901Nydnzp3LHll3Qmu8goEOr5DbbtFrmk/t2Ll+3t2v/9qgHnLrktVvrHnloeE8dp88RtwfeIersWp1VqfjT6NS+IQH845RYbPa//F7GY/H7bLqTHaH95F374AYRoXO4ri8jXTbrTabyTt7AOjHqFyu39ChifffH3bzzcLkZBqP53G7UaDefPjwmc2bS777ruTbbyu3bKnetq12+3YUulfl5ZVt2oTSy374AYXx2oYGp9VKotO54eFBkybF33df8JQpdPGfr0ZgAPrXo8fB+HAA53Z7XG50kTp3ZSIQCFS2OP6W119894evN+Z+tzH30/WfzxuEqbcf1vAHT/hsyzdffbP2wdGJIVwC0XuLqM1md3UPCORy2Z0Oc3enFD8+55VHb54y1bL9macf3FCklhvRBRGBaxkANy43hpnsTmd3feJyumxmI4uCkb3VRDcCiUQbcuszT73z8zfeiuWn7za+tGBMFIqxL4pIIMl40vn3rdnw0bdbUHX03YfvfHjPiFA29R+f0zA37auvP1Mcv+Htj7d889GKpVMywvAccPUMwBvdz9IW7V7z9KNzlj37qyjhwe++2vb880vSB9oh6FBXtP7+ylu/N1WrfX8PmNuGqfdt2FG4v1iJp/wtu83QemTNhpPVLZ0YZmw9dHLDlDd2V1/eRuqL9h87smFvI74I+i0imcyNikpYunTQc89FL1rEj41FKSjdYTIZ29s1tbVthYUtR440HTqE4va248dR8KRvbbXpdG6nE5XkhIdH3HJL2vLlyY89Jk5LI8LsuKCXiIjbIiMXMhgyheJ0cfF3Ol0LnvH3UBlUEpVHa6F10SvgGWCg0RpsSnVHd+u6B4XGZjIDT7y393SNAl28uqFMpaZMjHWIBVy7w64sKzik06gZbLHdwz5eUNxhdzgwrFNe2FK7HV8DEaePmHbPhldv19vsJpt3nGdjVxueBQC48Vjs2PenW1q0qN5wqFvbT+VtnBWNBfN7RklB8bm/dOShE81Hy+suZ/ZFDk1k4Az6clthq/wyG/lGfaPNWBnuLyATicbGkiplQzmeA64e34XoYtnQ2Ytzc7/PvQiUuXj2UNlV7tJyWjS1W+58+sknXvm6WCG76e5V3744d9iIBD8+hzrAHsdWqdS6EydjxsUKpFzfxy2eS+9F936LaNUZe3rRGX4pMdlvzh8SHHxZG8mKieN0hbsP7WjAoCu9f/OOSEhh+Pv7jxgRe/fdg154AQXbQZMm8RMSmDIZlcNxOxxOq7Xnx2W3E+l0uljMi44OGDs27v/+DwXniQ88EDRxIis42DsF+iUMMgcGDjKZJZONj46+g82O6OysrK7edvHn0lEuKoNKovLd48ONh/7zgYrtL6VJgtydWsx1NkYnsIP4yTkvzWss2vjUA/NzFs6/b+n92052ScMmmRsb1z298J77HvyughRupfEI4uToiMDbSStee3DO4vk5H35/st4xDPPYsa5juSsffer2W+5+6J3Xv+Kmx3D9+BSjgee0imPCMe9YqQCAGw8Nw8bZ6796+cP5OYufWfvfkpQHZ6YmB3F7gjQilSMY/sTcsNOabUvvQRXL4vkLV2093KC+8GA8f2AKo4Zk3rlY9s2z7907Z+H8nAeWv/jJCd3fTJdG5/AJAaGn3n1k0de/FSjZGXyy/5kXZt23KOeNnXVtOg70ol99vhvRnUJlC/1iY6NjLwJl+gkv4Y6LS3RpI7pbbPrqoytf+XJn5ck2u4fJ5PCIXRXHC48ePOBVVljkESf7s2iki2/VjTC2p6GuU9lRahs0dpjU3XRc2VJ2urJsS942myiZxzSoju85vGHTr/n5R+Q0vpDD9yg6FWf2NihUP3y7a39Vs51Gomq7it7/7tcDB1RUjMkL4bntxvrTn3yxbe+ePYfLa9vsrLAQHgXrqjys6Hnl3C02FuOMkhsgEsX5O42NBZ9+e8LI5LP5NI+qrHzHxz9uP3DgYJcBI1OorQ07Pv5pd35Ze53Bw2CyAgR2s1UQzPW01be0nC4u1hV96y1cb7dT2QFiNslpsdRt/yXvt607dp85U2axu0/rWTw215+ldzhMpY2ixFAmtX8OgztwR3T/CwKRSGYwaCIRKyiIEx7Oi4nhx8XxY2O50dHciAj0C1oUJCQIU1L8hg6VZmbKxo8Pys6WjR7tN2QIJyyMyuN5B4EfSHw0xOiNh0Jh0+liCoVjNDYaja1Op5lCYV5wjPee8eFQfE6n+0dFLZTJxsHz5xdxo4+ATSJjKovHWmMIikWHD4nA8PPnCPw4TH6IFHMSmGy2WCoNlQXFJg2KCJAQCHQaiSwODI5JzxwSEpEa5C+RcKkylt1KCBSLZVEJQ2OSs8Jkkii+w6Axu2lcriw6OHrYuNGhEkJbdb2mxSxOTwvjEG7AWx99PchzX9WEMKJ737rhR3T3NltIZLYskMtg0qg8Nl8aJaKSvWNLMnlikX8Qv+cYovD8OUwizda8X8VLEDD9JGJmWFxEytiZg4L9mBRUnMrjc/2lPJbUn26hU7kkukwqC5KGJaVESsRsFkcsEgX5s9GbYQQyL1Qg8Bd7D3P0Lhyxn0DkL2SLglhGK8nPnyeVBYZGhUUnRQhpZLp/kEQg5tG8JYlkjB0o5rCFLAKNQzTaWRFxg8NDQoUsAdHmYgbIwlMy46OS00IkQf4CMsM/KpDHZvzL4x9GdL8svpsXvQd6cbu69lRDa2e7AU9CxCGxoZExsu4hEvrQZc2Lvk6uqsRTeosTy5Z+Xnj3KBnn4mOz3AAzZFprd9e1tRZJ7poTicnznipQGk+Zpdqquuylr6dSm9QHdh47XHSaTMfCRk+ePnW0sFlZU/TGEfrEloNVZg49LjkunsIz7Niab5eLxk2fMm3B2AiGsWL/c2t/79LLnTxh+NAhC+64JZEjz3sGf+Uz5dlzJ51uDhseEzA+1FR88NDne+0T7rxlWBSR0LAnf/9ve6sxqyk5LntkWqqduv+9Dzcrbf6SobPuyR4yJKJt26nku4dQT+bvrzpW2JgiKkOF1YzArCk3z8oeHWxrLPr8o43VbW0mezCPnBATUBT0yH1ZoWkBXY1VjfvzDJPvzRL3zwB34M6LfgmcJpOtq8uu0zlMJrfN5nG7vf3tVCqZyaRyuSiYp7DZ3TMIDlA+mqjzRuV0murrv29qyrXbO8Xi2JiYaTxeMBG1Xbq53U6drqW6eptKVUWl+oWG5kRE3Ab95xd3488jbWlqaTxzuMyYljUtVMRk9v01xtuC6ir5bX8jVcdLv3NMEJ58Y/H1VMl9VRPCvOh964afF/0yWNu0bYdXbA+8c2piWuSNPDAkzIt+WXz6hazb47KYlLVHvnj6pXtzenvyjfV5JZ0KrdXhPv8bgquBSCTR2RKpv+yC/KUSNp3knY38hqdW6jRylb/IO40ChtWX2Aj6uAXesW3SXMptpzpZKaPWrHt75X/fHtfVLG8/0WTWtzprf6fFvvXFK5/dmUk9WfbzYcOYLe9+smFFpDNQVX3GwKbzh0xa/f7y9z55+393zcrmHz9UZbU5Pede+eMv56UKpTSrtaOqorRma138i+88OndMGK36cF1pAzZz3Qv/W/f2a4OD/cxn2kKz7v9kSdZ/lq9cd++S+cMCera3W62C1OEnvTf3gy9z19ykicCKShs6jE2Hv/8hYtz8Nz/YmPvK0/+XSN1JxnpGweTQrWSRsqLJ5eiZuALcSMgsFisoSJCY6D90qDQrK2DMmIDRoyXDh4tSUrzd5hzOQI7PESqVyufziQOiMusDFxk9DsaHAxfGCOUxSFH6lcdbDJ0WPK1PofaRsa6gkerwJKXemPH5VQA1IbjeEUgEEoPHolJIcJSCP/j0aDCYVYc3TZ278v38vfV4Uo8TW9Y/u/T2Kf/bV623XfWpKjlMcda87bt/LLygH3dvn5clZl7hXf79hJhGDUQheveVKzkratitg8IwtwNTF1ec3Lju5SV3jcvInjQm+963P9t/sllvEEVLRz46KYlDZ3NFooSctBG3j48m0smCiMQIaah3PAG3Ta898trT907Jvmne/S99erxZ0eF0Oc69cg/lvv3rj+z/hZzz2Dgph0bBGhWn83e+8eFLt2RMz87InrXktfW5p5VqbfcYOxeQliqeNm6kCKMRseCoaX6yDLtepW0tcj8wNjha6odhbF5YTOpiCqWn9cyksTh+Id77EQEYaBISEl544QXujT79e9+64OhxMD4c+DvsoKzUedvnpoqD+vquwG7o2ixImb9kwrSJKXAe/1tQE4LrHdWPEzRx2dy0mKCBEXyAS+PDEN0oLyv+5fnPG2vLg6ZNffy9jfgQcciHK2YOT6vJr9+65vMDrY3qqzzvmtmqK9n79BP781u7qDIu1tp66KmnDrW2YlwZtas1f/8TT+8t0VnNeOEbG5FAIKP4vLurkUon01g0cvegbnZ72MTRd760cs26t9d8/PZ736y7Z3pOrJBIIdG4DCqRQEQoTCqNTad47yymUMgkEhEzyXW1O59pSM9Y+OLb77yx/P9umeh0Ub29AGdfuYfLajW067UKq4dOQGtjTpctNiRy6RPvrnsTvd27X3zw4sPLpieg1s6FD00qhcig07u3mUxhkEhUzON2O20Yl06meO8GIBLJFCrb+8JeBLR5EJ+DgYlCoUDf0eUi/2X0uPLyH2F8OPB3iGQ6lSVhUb3XQN8gUlkcOgNdefFlcLmgJgTXOwKJSO7uRSfDUQr+4LujwW7WyOtPllaGZU9csPDuRbfOmnHOrfOXLFl8x/hx9FO7j5ypVxmvbke6w2lV1u/eWVOnVFsxh1GprN65s1qpNDowq1pZV7Nzd73S6rx207VfTUaHs8tgxNy9HzZAlzEWj2/TiLn+EUNnTJ7S/ZMSGSWk4wX+hsuiNrSdbCfFxQ+ZOHnkkIQwUSdKxDN74cXHjU1IiMNKPs5vNdmtGJsudrCiCfTI8WOzb/K+16ghQ8JFKLa/RCQyjcoUNTS0qU1mdCBZLSpFyxG3q2ecS7vTZjWoMfeFe+QBAODPGAxJQMCYqKiFTKZMpapqaDiA/kW/oxSUDuPDAQAAAMDXfBeim6w6naKa6U6ZM/emkdmJkl4Rnjh07E2T7587M8nZVlDVpjLAc8LXBJ3pINNtHZrzI1gCCWOHxPkZPC35B7bk7dzh/SltUHb1PNz999xEEoFKSpEX1x/ZtfNI/rFGZe/ZYv/AjYubMCYzO4xUWnBi97aKBhspmsGPbCn//pc927zvdfh0RX2Xi0CkCPwMDeVHy8qqFRc9PkhMETsgja/ec/rolu078g4cPlTZrHDgc+CYrG5zp1XI9vzD+PwAAHAOisNDQ3PCwmbX1WH19Z1Uqh/6HaVAfA4AAACAq8B3IbrRpulSnSJSAqRcJv0vPbB0OpMrDaAQT6m6NLbLmYi/z1j0GrVSrujQaAxut0Gj6VDIlWqN3idDvlyfRDI/cVCgWulwuTxkOptG77mVjoxhUcPv/0+YRF/45tLHH/P+bNhfUm+gUagMHp3UfQc5mcqg01n4nXcEKoNKpbHEgaLEcfG71vz4ykOPb9q1W8O6jUdnEwiUc69MIGBEOotBo/MiIjKH3vEs58ya5fv21zviZg0dMirgu6dXPn0feq83v/j59zorC2BhAAC1NklEQVQHhcqJG6Y/svmdH77PK1aTSXTvGH4kEpWO3pZ+9s51EoNKodG5Mk509jPxO05veu65x5au/fTnBsJkjMhE7+ZxdlkpFl14aigZfzYdgIHD4XBotVo33EPyr/SMHrdnj6i01B/GhwOg/4KaEADQH/kuRPeiEUkjZVIR4wL3SNMZIqlsJIlIw5evum3vLlsyPWP8nGXL1mm165YtmzM+Y/qSZe9uw7MHArEM40iwkjOYwxk8/q6hI3oNSMMdPPb+N97dV7in++eZuVnJCekx6dOXjRRwaOiYCUseM3Li/MH87gOInZKdkJiewuUwxFmzf9z9BVpl9Udf3LtwzmPjAji0yHOvjD5r0bgFUzLGpkq8Y2PE3Lrs571L0CuLJUGZi/5vX2Fu93t9/vIjC1I4RBqXP/L5Nz7eseqJJRPTg/2z5mXJmCLx4LEjRi4Yf3bkueBstFVjgzEyUxwzZ/u7X3lXX/vfh9OI38ZIqCwa1dJQbGw6iaXEYxR4Hh0MOBUVFa+++qper8eXwb8ilY6B8eEA6L+gJgQA9Ee+DdEdJm3ZJ489efct+GRrvdxy95OPfVKmNV2zh74teo3qz73oqkvvRfcOREYgeMdWc1+DieP6BkkiYlBTGL9+XaRottBotF4D0hCpdI5QJJVJu394LDqVgv5j8OhEorcbnUyl0xhne9GJVAaFSqWiHCKd6S8Vo1WEIjGHxeLRSUSCt38ef+WzvehUkndsDAqL5y/loFcmkUg0Nkcqk3S/l5jP9b4wgUik8wViiZDHYVDJJDqLTiJ4e9FptD960ckMtE10j9rcuOPLxx994WFvh/8b3xwslP13YrRAhpWfqrSebI4YEUuhkXtGj+tn0IGFDi206WjX9ss/AFxTdrsd+o6uHJlMh/5zAPqvvqoJb4RW33Xj3G5EuxTBU68z3tZX97Z1N8bgI79SLu9+xM8jPAlclG9DdLfDpiw9eGj31ry/2Lr70MFSpc3RX5uPdAqJRSOj463LYrO7LjAsWn/AYPODYtJSw8UMJqXfnjAEConhH5yYlpA6OBX9pI9KSZsahf4iOkcUmhSblB7JxfrpGJkGq93scFJIRC6dChUaAAAAcK3cEK2+6wXagWg3op2JdinasXjqdQa1vngMKoonvY0xuxNPBf+K98QxW+0uN52MziMYHuqS+C52YbAkkfEzZkzFR3G/IJQZHylhMfBV+hM+k+rPYbjcnjqVzmTrrwPAk9gyYcLMqQliKbvf3gpO5tKlGVMeevqBZ1566pmXHrhz0ZRoFp1MwBihcSnJI4eHMru/Cu2P2rQmtcnCoJKDBSzv5HgAAAAAuBZujFbfdQLtQLQb0c5EuxTtWDz1OoNaX0ECFolIaNMZ1aZ/GjMZXJTT5a5X69Hn7j2PuP8wRRTo4bt2v1g2dPbi3Nzv8bnQLwhlLp49VCbGV7k6iEQSnS2R+ssuyF8q8Y5M9o/7JYDLjBRz7S7XieYOjRlOXdD3zig1rV1GHoOaJBOSfTbrLgAAAAAuDlp9fQjtQLQb0c5EuxTtWDz1OsOjU5JkAgqJeEbR1dJlwFPBv2J3uU80KbvM1gAeM0J8buArcDEDsN3PYYqz5m3f/WPhBf24e/u8LDGTgxf+W+FibkqwyOpw7TrT3K4zueExFdCnXG53fqOisqNLzKaPipbS+unN+gAAAED/B62+voJ2HdqBaDeinYl2KdqxeMZ1RsxhZEUH0MikgibFGWWXyw2f+L/k8XhMNsfOymaFwRwu5qQGifAMcFEDsN1PJJDorIv1ontHJvvH/RIqYo+I8I/y53Yazb+VNZxu7cQzALhiZrvz+5M1p1o66WRSerB4eIQEXSTwPAAAAABcXdDq6yto16EdiHYj2plol6Idi2dcZ0Qs2qgoaXKg0OZ0Haxt+72qBc8Al6mly7jhRFVdp9afQ88I80+SCfAMcFHQNdeLvqn66MFVb+dXGez/OLA7m0ZJDBDOTA0jEQkHatu2lNSfbOmAb1XBFfJ4PEqDeUdF448na5q6DPEB/IkJgX5sOgyACQAAAFwr0Oq7cmh3oZ2Gdh3agWg3op2JdinasXj2dYZGJoUI2bPTw/05jOK2zs3FtftrWi12J3zklw61aWs7tb+VN+SW1uus9lFR0uHh/nzmNZtvu3+BEL0XfVPV0UNvrj5ebbBdymNGAXzm7PSwERESrcW280zT90XVR+rk6FjUmKw2pwvqbXDp3G6Pye6Q60yn21Tbyxu/KahElzEplzExPmhUpBQvBMDl4PP5qampVOp1OhIPAABcBX1YE0Kr719AuwXtHLSL0I5CuwvtNLTr0A5EuxHtTLRL8XLXJTqFPCMlZExMAJlEPFQn/zq/cm91y5l2TYfBbHE4YSa2C0I7xely6632Zo2hoEn5S3Hd5tN1dSpdkkwwPTk0MQC60C8V4U9HWF5e3tKlSwsLC2UyGZ7Uf6xcuTIiImLevHn48uVqPZi36dDda9ifF949Ssa5lIMI1Tv5DR1v7iw+Vq90uT1+bOak+JAhIf6RYp6AQSPCKNzgEqBz0O5yt+tMJW2qA3Vtp1o6ULjOpVMfy06enR4e6QfjapzjclotZo3e1H0NwDAalc7kCmiYWe+msEgUIsFmsWhNGF/MoJJ6Ht73eNxOs97lzaX034kFwVWATkOLxUIgENCRQibjM1zk5OQMHjz4pZde6llEnE6nw+FAhRkMxnU7ne914pXfil7ZelLKZe584Gb0L54KwPkWfb1z15nmm5JDfr1/Mp50HYNW3+Vyu91dFhuK0E40d6APutNoJhEJKD5/anLqsHD/fvEQ3+kW9SeHK38qqu9um9HGRgeOCA+IkwglHMYljC494KDro9HmaNEaUWv296qWWu/Q/e4gAeulmwaPjZX5sW/A4dxR1Lxu3bpVq1YJhUI8qS9AiN7L5YfoaN/Zna6yNs3mU41bihtrO/R0ColKIqEKiIiab9B+A5cGnYUuj8fhctkcLhaNMihEfM+ouOER/hIuA6Zb60XesHvLhjtf+xrDjN7FkRkTF73wQRa24bXOQYvCYvxox7fkLvsEW7M9J0MSzvOWcJi0Zza8Jvfmpsb94yCQYAAzm82//vork8lMSkqKiorqSfxriF5bW1taWoqC+VmzZqHCeCq4EAjRwaXoXyE6tPouF2reuD0el9tjd7msDleUP3dmatjs9LCkQCGVTOoXO8zhcter9Lsr2r4+Xl3R3oU+aPSJU1B0Dp/4haBzxNumdbvtLrfN4ZRwmeNiZXeMiEYtWzaNckM+ttmPQ3Rj2Y8//Lbv16Ot+DKGBWXOGnfT3FuT+niIiEsL0Y0WTcWeZWu3afRteMpZFrVSzqjXzrj0EL2Hye5s15rL2zXH6jtKWtR1Kn2HwWKyOeEhJXApUHVFJhH5TGqIkJ0QIBgc4jcs3D9CzOEyqOgagBcCXi01Rwp/frVIungQl02lYGKhJDQmnt742dNtw+6NTJTQ6w7/8OZerD0r87/ZySO9sznaDZrSz55u8eYOSYbbEcDfs1qtBw8e/Oqrr1QqVWRkJArUk5OTly9fnp2d/fDDD6OwvKxbXV2dWCxevHjx6NGj6XSY3PViIEQHl6J/heg9rudWn6ej0VO8ixCeRpDFYcxrf9lDIRmLRvbnMCK7h8QfEeGfGCAM4DNZVPxmpX7B6nCpjNaaDt2xeuWpZlV1h06uNessdmjn/xWBQKCTSUIWLUzESQkSDg3zTw8WhYg4bBr5hozPkf4YolvshuZT63MPle38Jb/46BkVnoxh4vjM1Oy5UyZNvn1CpJhB6avT9NJC9C6D/PDnGXevk6sq8ZTe4sSypZcbovcw2hxNamODSt+uN2vNdnQ+/2nfAnBBqDpD1RabTvZnM4KF7HAxJ5DPwvPAeVpqiqp/W6+f+fqUQAGjZ7yRXkG4hN5c/vOHVYGqhvLpszLHDsoJ5UKIDi6Ry+WSy+WvvPLKjh07ULge1u3o0aMJCQkZGRnV1dVNTU2NjY0oLJ8yZcqLL76ILpEkEsyzcDEQooNL0R9D9B7XYavP6XRW5h/46a3nacHxM+9+ICYp9dxjO9eKN2CjkPhMagCXGS7mhorY1+34cP/I6XZ3f+KGNq1JbbKabU43SoWm/vnQJ04hETl0ipTLQFE6+hHdiDe399b/QnSHqa7t1JdvzVm7xelHCw+KlnHPnpQOvbymVYdp4+94f+V9E6JEfvS+6Sq8tBBdb1IWfDd1wVol1xrwl61qp+slD2/YvnCohAXteQCuM+f3ootDJKGRaRz7HyF6TXXu+22j5jZ/XE6Ojhm9eHym2DNwQ3StVouiShRhUij9tT109W3evHn9+vV79uxBEXtPCpVKJRKJKGhHv6OYPDs7e8mSJbNnz+7JBRcBITq4FL4O0QdUTdjc3Lxp06ZnnnmGwWC88sort956a0hICJ4HAPANH4XovruN1qVvKina8N9NZrc+Y+HtK9Ztyj1n07oVty+M7CQc+vCz3Y11nbar+wUUlUgRCpOJrNG3zn3uw95b9eFzc28dzSImC4UUIgyCDMD1SNesP7Tu1WUPPbh06dLV33xYqMDTzyJSWX7DF99BKxTU791fZ/d+wz1Q1dTUrF271mAw4MvgEkyZMmXMmDECwR83Udnt9p74HEHpKBeV6VkE/wAe0wSXoqcJ6LOjZeDUhA6H4+jRo3l5eR6Pp2dwDbSIEvFsAEC/4rsQXaltaiz+huUwLX548ex5EyJ7DdXEiZwwb/bih2+z2U8fPd2g0prx9KvD6rIpFIddMQHRCWGBvbcqMCwhOiDGdVihsLkuZdI1AMDVJo4TzX5zw97DR71fWj6/elIYnv4HVKcJB828m8cOqd9f1IVhAzlKB5eLwWBkZmZOnnzh3jyUjnJRGXwZXBQ6FYkEgqd73CB47AtckPfY6D5ObtSHVK+murq6AwcOoGtjzyL6BS2ixJ5FAED/4sNedLfTabeTPUPCQkMEEgal1zsRKQyJICQ0LNXlzJd3qixX97tN1FRwoRC8TmdUWi29t8piVRp1dSiEh4fIAbhOkShEptBPGhAgk8lEfCHjgk/ZEWnS4cNiqdGcE18e15lsEKSDS0UgEFJSUqZNmxYSEtL7UXP0O0pB6SgXlcFTwUUxaWQeg4qic6XBYnXiDw4AcI7L3X1sOFxMKjpU4HmcK7V169YjR47YbLaeRfQLWkSJPYsAgP7FdyE6g8Jhc6M8RJPd4XD/5eLscjscdj3Bw6FQKMSrO5YFnUwLCMkk2Rp+Kz9RUH5uDDtVecGJ8t8qjcQYHo9MhGsFAP0YVRQUGxsbxLQc3F7YZtXgLRYA/plAIEhPT58xY0bv3nL0O0pB6b3vgQcXJ2LRZXymw+WuVGoMVjueCsBZDre7UqEx2OwiFk3Gg9EK/j273X7y5Mn9+/c3NDTgSd3Q4oEDB1AWKoAnAQD6Cd+F6GyWWBo+XEBuOl24t7y4Wt09j3EPh15eUXu68GQjyZ4qFQjofTz32j9gUBihybemhnUVVP226euf8nA/fb3pt6JjHZyYibEBdErPYNEAgH6K6h8fHJY43FVaWu7o0uOJAFyKoKCgW2+9NTIysidKR/+i31EKSu8pAC5FIJ8V48+zu1zHGtpVRivcmwb+xOZwHm1oV5ssgQJWjISPp4LL5PF49Hr9jz/+WFZWZjT2amtjGFosLS1FWagA3B4KQP/iuxCdzhVHJI8aJuZt/XblF5+tP3hSfk7tid82/vz9t7+whey4ICGHcZUH4yfTOFFjHh0bO9h9bMt79+Xg7ntz8+GG+LjoO2eMkDGo0IsOwPWHRKbQ2Hw6qdedxgQikcLi0akUCuFPuXRRSFjmvDH+an+2BeV2pwFwCTgcTlpa2owZM6RSKYFACAgIQL+jFJSOlwCXIFzMSQ8Ruz2e/TVtDWqd1e7EMwDAMIfL3WGw7Ktu7TLbov15qUEiPANcJqvV2tjY+NNPP7W2tuJJ3c/s9PyCElEWKnBu2EsAQL/guxAdo/pFhk5+4Jlsdpx425b1S27NOGf8vGe+/bYtTjR5+Xd3Dh0ectUbPSQaJh531wevLV8ycxqe5DVk5pJ7n189Lw5jXuNZJAEAFyQJjs9Y8Oy4IC7t3JwLZCY3fsHzY5MTItl/yaX5ceNznt/x6sIZKLcnCYBLwmaz77333oiICCqVmpiYiH5HKXgeuDShIvaICElCgEBvtf18ui6/6c/zL4CBrEGt++RoWVOXIUjAGhbunyiDR0j+pbq6unXr1imVSqcT/xYMxecsFqtnRnSUiLJQARg3DoD+xYchOoHEZPqlTnn8m/dff2jmCFkH3oWOKOjxE2c/9vq3T0wdFsBhk324DX+DgJHobFFy5pKnn8NnXPNa9fSSqYlCFsV3c38AAK6Et5+cxaeTeg3+SyAQKSjpbC/6ebkEEpHC5EsFbCb0ooPLQyQSpVIpnU5PTk6ePHky+h2l4Hng0pCJxGh/3h3DY1hUCorPNxVV7zrT7PIO4A0GNLfHU9Tc8U1BJToerA7n1MTg4eESCgnOr3+jo6MjPz9/x44dHo9n0KBBd9xxx9y5c4VCIYrJ33jjDbSIElEWKoCKocL4agCA6x5pxYoV+K/dqqurf/vttyVLllzxHX16dfXJYx99t7Wyta6uqqyqsbFdi+dgGJUtDImMGTsmK5hN7MMI/dChQwKBICkpCV/+B1SmSBoQ+4dgqYgD86EDAG4IBAIBVeNxcXEUCjy4c6lsNqNe197ZUatQnNFoGpWKM2GhvPi4QBLJrFY1WK16l9uJYnUyGS4Vl4RKJonYNIPN2aAyNGsMHQZLl9lm6b7jHQXwKCqD4fEHCBQl2p1utcla1dF1oKZta1njobo2jdk2NSl4/tCoRJmQRv5jAoW+dWPXhA0NDZWVlTQaLScnZ+rUqRMmTGAymUePHl25cmVCQkJkZGR8fHxiYiKXyxWJRBKJxN/fH18TANBH5HL5iRMnJk2a1LdzshL+NIBEXl7e0qVLCwsLZTIZnvQvtdTkbfos56kPMeyCc6oFJQy96f5X500enhrE5tP7JkxHVVJERMS8efPwZQAAAOCfOJ02k1FtMqn1OkWXpkWnbbNYdCgUR+koF4XkRCLJ7XazOX5cXgCPF8DlSTkcfwZTALH6P3K43OXyrk8PVx6obkchOorEhoZK46WCQB6bQ6fCbNgDBGpqWhxOpcFS3dFV2KxUGS0cOiU5UPjAuMQhIWI+E4bo/ZeqqqpQlI4C76SkJCrVWx39tRlvt9vLyso6OjrCw8NjY2N7EgEAfQWdbuvWrVu1apVQKMST+oLvQnR5w+4tG+587WsMO298yR5uh8NqsWOsIS/mvXZL0rBgRp9cpSFEBwAAcOncLieKw7Xatvq6I00NhRZzl8fjptHYHI4fhUKj0VgYAQXwdpfT4XDYDIYOm81EIBCZLGFU9OiQsCEoYqeQ6QS4B/6fNKkNeSXNm081lLZpbE4Xittdbo97AA4x7XFjFiNGY2CkAXdvC4FAIBEIFBKBSiZF+nEnxgctGh6NfoFb3PtW3zXjAQCXpN+F6C6n1WLW6E3okoSn9GKsLN7249vLvz8x/Y2Plt+Ukx7AwjOuCIToAAAALl1nR21dzaHGhnwUnPN4koCAOPQjEAZRKHQUUeh07Q6HnU7nsNlCbzegRafVyjuUde3tlXp9B4MpiI4ZGx03HsXz+MuBv+F0e6wOZ7PGeLhWcaimvUze1dpl0lnsAy5KN+vd29YShs8mBCXgKQMDkUBgUMlSLiNeyh8ZJR0VJU0IEDCpZDKJCPdR9C0I0QG4yvpdiH5Rzo66Qz9+vXz5O23LXv1s0dyJEVI844pAiA4AAOBSOJ32lqai2uoDXV0tDAYnODjZzy/cajGYTBqDQaXTK1EZh93i9rhJRDKK2MlkCofrz2IJmQwejc5WtFe3tJQ4nHZ/SUxsfDb6lzTw+kUvl83pUptsKoNFZ3VY7E7HwBs7TtOhfGz+jAdeXDl0TDaeNDCgOBwF43QKiUunith0EYvGpsH54hMQogNwld1YITqmatz/44YHnn0Te+p/Hyy4dWyYGE+/IhCiAwBAD7lcjmryPh+/5MZgNne1tpyurTpgNqtFohCpNIZKpZtNOpWq0WhU2e1mt9uNwnI6nU0kUdwuh81mcrmcRGL3rAEsgVgUxmTxzSZtu6JKr+/gC0KiY8dIpHF0Ohd/AwAuBJ2VGRkZqDE3Y8YMPAn42ECrCSFEB+Aq81GIfs0eAaIyJYHxUyfPS40L4sBsswAA0Lfa2tpyc3MtFgu+DM6yWvXt8vIz5TsNBoVUEh0Sksagc1pbysrKdqnUjWQyTSqNjY0bk5AwPil5ckrKVPRvfPy4qOhMP79wEpGMwvjy8t0KRTWbIw4PGywWhyjbKyordnd21KLYHn8PAMD1AWpCAEB/dK1CdLFs6OzFP238/oXp46JEdDwRAAAA8CGXy6FUVNZWH9BqmmNiRqHA22o1FJdsq609RqZQExOzR2XdmTlyUXLy5OiYUYGBiRJJFPoX/Y5SUDrKRWVIZErlmf0V5XsIRFJ8/HhUQN5aXF97RKNu9Ljd+DsBAAAAAPwrMJAmAACAgaJDWV1TdUDVURsamh4aOqi+vqCkeKvJqImLHzNx4sNRUSNZLAFe9EJQLiqDSqLyOr2yrGxnZ2dD+qCcoODkluYiFKUbTWq8KAAAAADAv+K7EF0lL9j8VU7ObTkXdt8zr+bVYRYnXhoAAADwHY/H43TaGuqPabuapdKY+Phxra2l8rYKJpOfmJidkJDdM9EagXCxyyLKRWVQSVQ+MWECmUSpr8+Xy8/ExY0T8APa5WW11fvxogAAAAAA/4rvQnSLSVl3Ji9ve96F/bTx2/XvvbXphEJugDAdAACAb7ndTqWiqkNRRaexUYhuNuvq6/JJJHJwcGpY+BA+P4BIJOFF/wkqicqjtaQBcQ6Hra72GEoJCIgjEonytlKNpgm9F14UAAAAAOAy+S5EZ7AkkfEzZkydcSFTxsQLXae/eHPdjjNVndCVDgAAwIc8Ho/dbm6oO+qwm/38wllsYU3NEb1eKZPFh4amc7n+eLnLgdYKCUmTSKJUqsbm5mKhKEQsDjObNI31+U6nHS8EAAAAAHCZfBeidw8Il5v7fe6F/PDhO4/fmkFwlB4tbVLpYAxcAAAAvuN2O83mruamE2y2UCgKRuG6XF4uFAaFhQ9Bi3ihy4ei/YjwDCaTV1tz1LsoDiOTKfW1Rxx2858mNAUAAAAAuES+C9Evih0ojooeNdRNK1BqVFYDngoAAAD0PbvNpO5ssNmMYr8wtKhU1KAIOip6JIcj7inwr/H4AckpU50um6K9Ei2KhMEmk0qrlTsd1p4CAAAAAACX5RqF6BaVrq21tJLoiBdweVQmngoAAKBvREdHP/zwwxwOB18e2KxWg1JRScAIfL7M4bCqNS1crr9EEkWjsfAS/xadzpZIopkMXpdWjhaFohCX06FRN9rtpp4CAIBrCGpCAEB/5LsQXa+uPrrn5Zf/9/KFvPr2e9/szNeSQ0bEBoo5V9pEAgAAcD4+n5+amkqhUPDlgc3hsBj0CgaDS6HQzGat1WIQ+4UzGDwikYyX+LfQK6CXRZG/ydTlcNrYbBGVyujsqLXC/WEAXAegJgQA9Ee+C9F1mqoje1as+N+KC3n9o42H6uijps4ZnxQtZlPxVQAAAIC+53RaTUYVl+vvdrssZi2BQPD3j7jy+LwHkUgSCAKdDqvNZqKQaShi1+sUDrjRHQAAAAD/iu9CdBKZzubIZAGyCxs0esoDb3z9zOTwKBF8tQkAAMCH7HaLTtfO40k9Ho/DYaNQ6QKB7NJnWbs49Docrj+BQHLYLS6Xk0KhY5gbw2C4OAAAAAD8G74L0SXBWYseKizcX3hhP36yel4cxuybPgwAAADg2iAQiDyeP4VCs1qNVpuBTudYrQaXy4FnAwAAAABcDt/2onP/vhddQNB07F61eMGGzQVyFb4KAACAvlFTU7N27Vqj0YgvAx8ieDvkCQSPx03AMBSrO+wWt8uFZwIArh2oCQEA/ZHvQvR/4LZq9Y1Fu3ZW1ylNFjwNAABA39BqtcXFxXa7HV8GPoMic4tF73I5SWQKkUS22y1UKhP9gmcDAK4dqAkBAP3RNQvRAQAAgKuDSCRRKHSHw0ogeHu8PW630+noq8fFUYhuMKidThuFwiCTaVargc7gkkgwzAoAAAAA/g3fhegup9Wol8vb5RfWruzs0NncbhhQBwAAgG+h+JzN8TcYVSQSmUplulxOk1GDQms8+8qg1zGbu1DYT6Uy0Bu53S4ikUQgEPBsAAAAAIDL4bsQXdly6Jv3MjLGZlxY5rTFC984ojbY8OIAAACAb1AoDA7H32hQE4kUJouPYW6FshoF6nj2lUExuVrVzGaLmEy+2azr6mpjs/26x3UHAAAAALhsvu1FN1y0F71TZ3X3TR8GAAAA8LeoVKZAFGK1GY1GNZXKYDB4CkW1yaS58ijd6bTpdB1abTuKzwkEol7fgWEEf0ksjcbBSwAAAAAAXA7fheg8YezI7BUrnl1xESgze2SskIevAgAAAPQ9Gp3j5x/j8bjV6iYSiSoWh5mM6tbWMotFh5f4t0wmbVNjkd1uFopC0KJG00yhMPwkUTQ6u6cAAAAAAMBl8V2ITqHzJMHDRkxa/NgjT7/w0kvPPf3ofxbfNGzYTYv/8+jTz73U49mXXsrOjBFx8VUAAACAvkelMoWiUA7HX61qcjisYr9wJlPQ2HBCo2lBi3ihy2e3W9SqxqamIg7Xj8eT2mxGnVbBFwZzuFIymYYXAgAAAAC4HL4L0VXygs0bF9yxaltDrdqBYVZ17b6tbyxY8MbWfbXqf98gAgAAcAmoVCqfzycSfVfJ9ycEApFOZ4eEDjEauzTqZgadExExTK1uaW0p1Wrb/924cW63C71Ua2up2ayPihqBElSdDQ6nMyIyE+JzAK4TUBMCAPojqLMAAOAGlJCQ8MILL3C5cJcSjkymR8eO4wsCOzsbOjrqIyKHCoVBTU0nG+oLUNyOF7ocer2ytvZoS2tpYFBCZORwjbpFrW7l8QLCIkaQyVS8EADgmoKaEADQH0GIDgAANyAKhQJ9R72hXcHhSgKD04gkaltbuU6nTEvPYbPFjY0nS0q2orjd7b7UoeNcLmd7e+WpU3ny9kqxKCwudmxjY1FLSymb4x8ZncVgcAkE2O0AXBegJgQA9EdQZwEAABgICGQyNTh0cIAsye6w1dYeJRFJ4RFDuVxJu/xMWdmu+vpCvV7pcjnw4heCclGZhvqC8vI9qs4GgSAoLGywx+Our8v3YJgsMEkWlEwkkvDSAAAAAACXz7chusth6yg9cGjP1ry87bsPnSqTOxzyslOHdm/P64H+f6ZOabLgxQEAAAAfEonCwiKGifwiFO1VdXX5HI5fWPhgLleKFisqfq+pPtLaWqZRN5tMGqvVYLOZbTYT+gX9GAydanUTyq2pOVpZeUCtahKLw0JC0qhURkPDCZNZJwtMCQoZxGaL8XcCAAAAAPhXfBuiO4zaE+seWXbnnJycuXc9tmbdEaPxyLo1j901N6fHbTk5X20ukKvw4gAAAPqGw+HQarVu978ZCO3G5ucfHRU9hscPqqvPr6s9Rqexk5Inh4amoyC8uHhb/vGN6N+G+sK2tnKlskahqJLLz6DIvLbmaPHprfnHN5WW7LBY9JGRw5NTppJJlIoze+sbCmVBKbHx2X7+Ufh7AACuD1ATAgD6I7jRHQAAbkAVFRWvvvqqXq/Hl8FZJBJZIo0dOebeyKhRSmXtqVNbFO1n4uLHTpz4cGraNCaT3yYvLyz86dDBz/f+/uG+vR8fPPDZ4UNfnDqV19FRz+cHDB48e+KkhyOjhjc3nyou3qrTKsIjMwcPuY0vCMLfAABw3YCaEADQH/kuRBfLhs5enJv7fe5FoMzFs4fK4L5AAADoW3a7HfqO/gaBTKYJBMEpabOiYseipaqqQ/nHN3V01AkEQSmp00eOXDx4yJzUtOmJSROTkielpk5LTbtpxIgFmSNvT0jMZrL4dXX5x459V1tzjM7gJ6bOSEmdyWKL4RF0AK5DUBMCAPoj34XoDJYkMn7GjKkzLgJlxkdKWAx8FQAAAMDnCATv0HFCUWhkdFZsfLYkIMFk1qPAu6HhhEJRZTSqyWQKk8lns4UslhDF5Ewmz4N5urra2lrL6usLGuoLbDZLQGBKTHx2RGQmeh2IzwEAAADQV+BGdwAAAAOUSBQWEzc+Nf3mqJjRNDpfr+9saiqurTna3HS6paWkra2ira28paW0pbmkseFETc2xpuZio1HD4QVEx45LSZ8VGTWSy5XirwUAAAAA0BcgRAcAADBwUSh0sV9k2qBbJkx6YljmXVHRWWyOxGTWKdpr2uWVPT8KZa3T5Rb7RcUmTERlxk98IillBp8fSCSS8VcBAAAAAOgjEKIDAAAY6AgEAorVpQHxSak5o8c/OD3nldm3vTNn3lr8Z+6aSdOWZ476T2LiVFQGlUTl8TUBAAAAAPoUhOgAAACAN0onkShUKpNO5zKYfBbL+yB6zw+TJWQweDQ6h0JloDIQnwMAAADAd3wXouvV1Uf3v/HWT4UKucGJYXa9vLjwxzfe+LGwWK63Y5jTIFcU/vTWG/uPVqthKgwAAAAAAAAAAMB3IbpOU3WkO0RXyvUuFKIb2ksKvCF6QUm7AYXoLr1c2R2iH6nS6PBVAAAA9A0+n5+amkqlUvFlAAAYeKAmBAD0R3CjOwAA3ICio6MffvhhNpuNLwMAwMADNSEAoD+CEB0AAAAAAAAAALguQIgOAAAAAAAAAABcF3wbojstpppt69avfu3ll1euXv/LtnKLpXzbL+tXr3z55ddWr1+3rcZkceJFAQAAAAAAAACAgc3HIbrVWLN13SerX1ux4n/eEL3Caq3whuj/W7HitdWfrNtaY7RCiA4AAH1Pq9UWFxc7HA58GQAABh6oCQEA/ZHvQnQSmc7myGQBsotAmRw2nUzCVwEAANA3ampq1q5dazAY8GUAABh4oCYEAPRHvgvRJcFZix4qLNxfeBEo86FFWcESfBUAAAAAAAAAAGDg8m0vOvefe9G50IsOAAAAAAAAAAAgvn0WHcM8GGZqOvLNDx++3NtXufvLVXgJAAAA4Ppk7ygvPrn77eNyg92FJwEAAAAA+JJPQ3SH06po2L0195M1776xorfVH6z/+reDu0oUeofLjRcGAAAArhPo0qSTFxwp3rtt17Gj3x5vN9sgRAcAAADA1eDDEN3t1Ohadm1YfN/ajTUlBj8pfnM74i8/tuW9Zx5c9PaO4k6z2eXBVwAAAACuCyggbyr6cNWvPx0rM8mGYBgFTwcAAAAA8C0fhuiG5tMnNiz7zKRtTL399tc37cWHiEN+XL9k5jRVpXHP6x/sbKrrtOMrAAAAANcFMobFZ6/+9Km3lt01VISnAQAAAAD4nu9CdKvF0NXWYNelL3nogQX/d9OQKLwLHRk0eskjS9968M4YVWFBab1Kb8VXAQAAAK4HBAyjMIRinpDHpvl60BYAAAAAgD/4ruVhtHZ1KUqorpiRIwbHJsm4ve4SZIti0lOyR4yIdmrzGxQqkxFPBwAA0DcCAwNzcnIYDAa+DAAAAw/UhACA/sh3IbrFYTAa60h+MimfSafiiedQ6Uy+VOZHqjMaDQ4LnggAAKBvyGSymTNnQsMUADCQQU0IAOiPfHv/HoWAJdE8Tq1G/hcardNDS8IIMAQPAAAAAAAAAADg5dsQ3WZQH3lj4eJpmRl/kTlt8cI3jqgNNrwoAAAAAAAAAAAwsPl4FBy326rr7FS2413nvbQrOzt1VjfMig4AAAAAAAAAAHTzXYjOE8aOzF6x4tkVF4Eys0fGCnn4KgAAAPqGXC7fsmWLxQJjfVwZmr8sKG7G8AAGjYSnAAD6D6gJAQD9ke9CdK4oJjP7pZeefekiUGZ2ZoyIi68CAACgb7S1teXm5kLD9ErRJLLguJzhMgYVQnQA+h+oCQEA/ZGPb3QHAAAAAAAAAADApYEQHQAAAAAAAAAAuC5AiA4AAAAAAAAAAFwXIEQHAAAAAAAAAACuC9csRHdbtfrGol07quqUJhjEAwAAAAAAAAAAuKohusfjcpiUqg7vvOjNFcfyN752+7wNmwvkKjwfAAAAAAAAAAAYuK5qiO40q85smHrPLRlI5rTFC984ojbY8DwAAAAAAAAAAGBguxoheuuhV997Lge5+dZFD7575tApby96u5JmI92y/PO5k4bKxHhBAAAAfSM6Ovrhhx/mcDj4MgAADDxQEwIA+iPfheh6dfXRPS+//L+XX35j7bdfbMhDdu47pAgbH8cJCA9Lj7nlnueXL759dlKMhMXAVwEAANA3+Hx+amoqhULBlwEAYOCBmhAA0B/5LkTXaaqO7Hn1v//76OcjylBp8gxk5qyZC+9fOD08KDx8UOwttz35+LBYDhXicwAAAAAAAAAAAPHxje4UJpYy787lr7+7zuu9NaseGx8VJqDhuQAAAAAAAAAAADjLxyG6zYAdevOlO6aN8Y4QlzF24tT3DqtaDHgmAAAAAAAAAAAAzvFdiC6WDZ29eMuv3//wzUfLJg8PI8nl8vrqmi+fW/FlWUVJ6e6CN/97+515BRqLES8PAACgz9TU1Kxdu9ZohCoWADBwQU0IAOiPfBeiM1iSyPgZM6bOmDFr/v8tfeTpFStWLH/ysZsjXA6aXaVqVp7c8cvmz95ZuS+/Wq3HVwEAANA3tFptcXGx3W7HlwEAYOCBmhAA0B/5+Eb3bvTQUZPmPvAS8uLzzz1y54LbZs+YMWP6xPghYeWb1x4+WaXR4QUBAAAAAAAAAICB62qE6OcQqWze8IdeWfNVbm7uz1+/9+Hj2XFRIjadTMLzAQAAAAAAAACAgeuqhui9Uf0SYm5ZuWPvkkVZwRI8DQAAAAAAAAAAGLgIHo8H/7VbXl7e0qVLCwsLZTIZnvQvqeQFB3e/9uU2DLPgKX/FwLBpdz4/cfRQmRhPuSIrV65sa2sLDAzElwEAYKDSarWNjY0JCQlUKhVPAgBcU3q9/sMPP5w1a1ZcXByeBHxsoNWElZWVv/766/3338/lcvEkAIAvoUpGrVavWrVKKBTiSX3BdyF6S03eps9ynvoQw/5+kjUOht3/Zu5/5s2IDsZTrggK0S0WS2JiIr4MAAADlVwuP3HixKRJk+h0Op4EALimurq6nnvuuXvuuWfQoEF4EvCxgVYTnjx58tNPP/3vf/8rEAjwJACAL6FKpry8vP+G6GyeX1B0WrQ/DSMRuvO9+r4XPSIiYt68efgyAAAMVKgaX7duXZ9fMwAA/xpqyWVkZKATc8aMGXgS8LGBVhP2XTMeAHBJfFTJ+O5ZdBKZzubIZAEyqYhLo5MDQuJmLX1j3Xsfob9i3adffbvhp19zc7/PzV08u4/icwAAAOdQqVQ+n08kXrMBRwAA4JqDmhAA0B/5rs6SBGcteqgwf3/hrvUPDhsf0VBZ8OFTUzNGDctA5j717hcn//7+dwAAAFcmISHhhRdegMcRAQADGdSEAID+yLe96FxZYIAsZsxdb7z88eaff/z2y4/e+fjJ6UF8YtHWrz58fF5Ozm05OV9tLpCr8FUAAAD0DQqFAn1HAIABDmpCAEB/5Os6i4BhNFHU8CFjZ8yYOiY7I8DTonIZrcb2usqjO/LytuflnalTmv5+yHcAAAAAAAAAAGCg8GmI7nY59IqSXQd353lt2fzrT9998Pnu+mYVOyAyLnMKitpnzIiPlLAYeHkAAAAAAAAAAGDg8l2I7nJatera/O2rbn9wUU5Ozuw5Cx958PXcUiaXIZMNnr74/rc3wXBxAADgIw6HQ6vVut1ufBkAAAYeqAkBAP2R70J0Zcuh7z8Zv3DFZnWl91nz8Lih97+5vfBwfiHyw5uP3DWI01MOAABAn6uoqHj11Vf1ej2+DAAAAw/UhACA/sinvehGg6Kzy+x2uNBie3Plr+ueXvrQfUuRexbfvuCWWTBcHAAA+Ijdboe+IwDAAAc1IQCgP/L1cHHnGHWdlSd25237rfu5dBwMFwcAAAAAAAAAAOB8F6IzWJLI+O4R4f4eDBcHAAAAgBufUqk8dOhQVlaWRCLBkwAAAIAL8V2ILpYNnb24e0S4vwfDxQEAAADgxldQULBs2bLVq1cPHToUTwIAAAAu5Krd6A4AAAAAAAAAAICLIXg8HvzXbnl5eUuXLi0sLJTJZHiSbzjUta35v7z0TeCsx8aO7qOO9JUrV0ZERMybNw9fBgCAgQpV4+vWrVu1apVQKMSTQB/RaDTLli1D/+LLAFyCkJCQmTNnZmVl0el0PAn43kCrCa9aMx4A0MNHlcxVDdFddoPy5PodJ4wtasypb1NVFX37+9QXf1g8b0Z0MF7kikCIDgAAPSBE73MbN26srq7GFwC4TDExMfPnz8cXwNUCIToAwKf6cYhulBfUNSmbVZjTomncvezT7ZqKNpTMptLjU7Puffy1qROgFx0AAPpUTU3N9u3b7777bjabjSeBf0WpVBYUFKBfdu7c2dzcjH5Bl+HVq1fDdx8AXP8GWk0IIToAV5mPQnTfzouul8vb5fKTuc+/8UQOMmf+3c/+6GruoNBoTLogJSb+3v9+M28KDBcHAAB9LTo6+uGHH4b4/AoZDIb9+/ejJi8yc+bMnpFOv/zyS4jPAegXoCYEAPRHvgvRlS2HvnkvI2NsRsatyw9tKfImUTmckU8/tSgubsjgmVkrV+3ePi9LzOR0lwYAAACuN+vXr//ll18Ku2VlZeGpAAAAAAA+49tedINK3x6Ys/DFj7780dvzsHnTtyvnD02Tsrt70YVSCYtOIsCY8gAAAK5PRqPRbDbLusEoXwAAAAC4CnwcILudmK658UzpqZNexaVlBjvZ5SHhuQAAAAAAAAAAADjLdyE6gyWJjJ86cWosyVK27YeP31qxYsWrr/1v3be/H5VrVKpmZVHhzt0NSqvTgZcHAADQZ7RabXFxscMBVSwAYOCCmhAA0B/5LkQXy4bOXpyb+31u7qa37188fbBMJhOwmEc+WP1jTWVJ6e6CVa8sWPTdjjOdHVanC18FAABA36ipqVm7dq3BYMCXweXrmfkcRoYDoP+CmhAA0B9djSfBOYPueuTNHwoLC/MP/75r1cxhcT0juDdqVeuWTf1sy6EWZfcyAAAAcP1YtmwZ+nf16tU9iwAAAAAAV8HVCNGJVDZX4C+TyQJDo2OmPf3G+9/m5ub+/OWba/4vxm2ymaAXHQAAwPUHetEBAAAAcPVdjRD9HAKJQpOmDh89ccaMGdOzs8Yk+9MoMHQcAAAAAAAAAADg5dMQ3eG0Kht279yX57X74PFihc3h8mB2tbz8xNE9hw6UdqBlvCwAAAAAAAAAADCw+S5E97gcKk3Djg13LFiS43X7g0+v2lHTrtZ11B/JXfvSk3c+9dgn1UQWjUUnQ086AAAAAAAAAADguxDd3Hnm0NaVy9brtY3dy6rK/N0v3fz1xx/ces/K5Rv2lmJhfPHS1dv/MzMrWNJdAAAAAAAAAAAAGMh8F6IbzEpF82GndtryZ9dtyM3N/fa9p+4f3vjLD1+eLPYbMuOld3LXb/hm4ZR4P3/oRQcAAAAAAAAAAHwZojtcVpujix6VPnH85Blek8ePS41ubaGkTJhy6+L5t84YN3liuIROpuDlAQAA9JnAwMCcnBwGg4EvAwDAwAM1IQCgP/LpcHEYwWXntZw+dWBXXl7ergOnTrfw7S6+JMxu05Yc8w4htz0v70yd0mTBiwMAAOgbMpls5syZ0DAFAAxkUBMCAPoj34boDqP2xLpHlt05JycnZ86dyx5Zd0xrPPbLu8semucdQC4n57acnK82F8hVeHEAAAAAAAAAAGDg8m2IDgAAAAAAAAAAgEvkuxBdLBs6e3Fu7ve5F4EyF88eKhPjqwAAAAAAAAAAAAOX70J0BksSGT9jxtTuoeL+BsqMj5Sw4AkhAADoW3K5fMuWLRYLjPUBABi4oCYEAPRHcKM7AADcgNra2nJzc6FhCgAYyKAmBAD0R74L0T0uh9mkaVe0a/Rmh8ODuZ1Wq16uaJef065QaEwOh8uDrwEAAAAAAAAAAAxgvgvRzZ1ntv342Mjxox55N6+izogZmg8dWpsxcWzGOSPHT3nkp+qKTju+BgAAAAAAAAAAMID5LkQ3mJXypn3qNv8IoT9byLhAL3pTc+uugyX1Kr0VXwUAAAAAAAAAABi4fBeiO1xWm0VD9sRH+/tx+OSeRBqGjZw4/6HHVjy7bMnNU0Kd+uMNCpXJ2JMJAAAAAAAAAAAMYD4eLo5IxMQ8OpVCxZfR/0d5Q/SXlqMQfVqEm9GgNxocMIgHAAAAAAAAAADguxCdSCCRSDQPwWSy250OD0Yk0+ncAGkAh00nkzC3x+Vy2QgeKipE8PH3BAAAAAAAAAAAQD/gu+iYQxcLJYMsxB9+PlnSWmfEOCFZWQ/v373/oUVZwRLMYFVplAVE91CJUEzn4KsAAAAAAAAAAAADl+9CdKY4MGFUznSa68T3qz76esPhCnNPLzqXTVdUbvxu48uf/eKhJGQmh4p5THwVAAAAfSM6Ovrhhx/mcOArUADAwAU1IQCgP/JdiE6miyIjxsy/fazR0brj16/effu/L5/1xtvrN/1U0NFGGzNpdGSIHwMfSw4AAEAf4fP5qampFAoFXwYAgIEHakIAQH/ky8fA6SJ25Jili6fPywlmKo9seXPFWe9/UaZWDpoyY9od09P8JByI0AEAAAAAAAAAAJ+G6BhGZgijZn75xqq3Xrxj+ihZL2Nvnfz88i8+GBVid2JWpwsvDgAAAAAAAAAADFy+DdFx/METH3vj88Je1j3/epq5+qflU8av/+ZQixIvBwAAAAAAAAAADFxXJUQnUhlcoVgm8xfQzYXL33116dK77vi/ex+7/+09lbVqI/SiAwBAX6upqVm7dq3RaMSXAQBg4IGaEADQH12NEF1VtjH3K+8wca+8unLVR5s3/ZSHbN195kRj4uyHRw2KFfLwggAAAPqGVqstLi622+34MrgotKNOnjxZVlamUqnwpAtBuaWlpagk7FgA+gWoCQEA/ZHvQnSLSVl3Ji9ve17ej1+/8/7b3mHi/vvW2l/lYRQHTywOkQyacvPs/zy6fNywGBEXXwUAAAC4BpxOZ3V1dW5u7ubNm/ft24ficLlcbrPZUBb6F/2OUlA6ys3Ly0MlUfmeFQEAAAAA+pbvQnSVvGDzVzNn3TZ30fIvm8rU3kHiQqMiJz3+0G0xUSnJE4c+9dy3X84YKmSw8fIAAADAtUEmk6Oion7//ffHH398yZIlb731FgrXOzo6DAZDVVXVli1bVq1ahdJRLiqDSqLy+JoAAAAAAH3Kxze60zhY1lMvf73tQPcgcUf27nr3lqQEPzqeCwAAAFwHKBRKSkpKdnZ2aGhoY2Pjzz//vHz58vLy8q+++mrWrFnPPffc5s2bUTrKRWVQSZhmGQAAAAA+4uMQ3WHGSjZ9ufKZR5Z6PfrE03kVxk4LAc8FAAAArgMEAoFKpaJofNSoUSQSyWQydXV1ORwOjUbT3NyMfkcpKB3lojKoJCqPrwkAAAAA0Kd8F6LzhLEjs1947tn75kyKdOtqj+Xl5W35Zcsna77Iq2tuaDhZ9dP3q97OrzLYLXh5AAAA4FqKjIxEQXhaWhq+jGFut9vlwmcdQekoF5XpWQQAAAAA8AWCx+PBf+2GAumlS5cWFhbKZDI86YoZy3784bd9vx5t9bjs9s4zp6qVnTobhgVxhTMeXn3PLVNiYyQsBl72iqxcuTIiImLevHn4MgAADFSoGl+3bt2qVauEQiGeBC5BVVXVpk2b3n77baPReO76SCAQ2Gz2448/jq4vsbGxPYnAp2xOl9pkUxksOqvDYnc6XO7zGivgOkDoPjVoZCKHThEy6WI2jc+k4XnXjYFWE/qiGQ8AuAgfVTJXI0Q/x23Vdu1/7cF3fj9Y2uFxOZxWTG24+/Vf/zNvRnQwXuSKQIgOAAA9iouLv/766xdeeIHP5+NJ4NIcPXp02bJlp06dOjdRE5VKTU9PX716dWZmZk8K8B2n22N1OJs1xsO1ikM17WXyrtYuk85id5/fXAHXHIrPKUSiH4ceK+FlhPlnRUuHhvmzaGQKiUi8bp4EGWg1IYToAFxlPgrRffws+vmINK5g7PPvf7MD/TFHt3313dMjRZzr7gtXAAC4ASQkJKBWKZcLk1petoiIiHvvvZfN/mO+EfQ7SkHp+DLwpbYu45dHqx/ceOS5Xwu3FDdVKrQQn1+fPB6Pw+VS6M1H6pQfHih/7IdjT/x0vKhJZbRdR1MSQk0IAOiPrmovem9uq9aoqDteyY5MD5LBje4AAACuD3a7vbm5+dlnn92/f79KpRKLxWPHjv3f//4XEhJCpVLxQsAHHC53ubzr08OVB6rbOwwWGpk0NFQaLxUE8tgcOvX66ZgFPTyYx+lyd5qsdZ3aU62d9SodmUSI8uP9Z2TshPjAQD4LLweuIuhFB+Aq81Evuu9CdL26uuzUxt2FqLmDp/wVautkTJyfnhQj6pOvNyFEBwAAcOUsFsuuXbteeeWVkpKSwYMHo3B90qRJDEaffJkMLszqcDVpDGv3lm8tbUaBX2qg3+iowHiJIFjAEbHoTCoZRtG/3qDmo8vl1tvscp2ptlN7sqXzUG1brUo3IsJ/8YiYGcmhAhbcKXm1QYgOwFXW70L0lpq8TZ/lPPUhhhnwlL/iYNj9b+bCs+gAADCgac02ldGmMVsNVofN6UYXpmt7W7PH7bZYrW+++WZpaemQIUMeeeQRBp1OIF7VR8P+pF8MzXUlWrtMv55ufHXrSfRnZkXKZqdGTYgNJhEhLO8f0CnbpDHklTb8cKqmVWucnBj0wJiEsbEQJV5tEKIDcJX1uxBd3rB7y4Y7X/saw4x4yl+xMeyO579cMHNieJ9UJBCiAwBAD4fDYTKZuFwu8ZoGlheHYnGHy22yOQsaOw7VKAobO6qUuk4Upru9UTpeCHTrF0Nz/WtOtxsdAE9vzq9o75oQE3LHsLix0UF4Hug/DFb7J0fLfzxZ43C75gwK/++sDCqZdG2Pzn5RE/YhCNEBuMp8FKL7rsKSBGcteqiwcD/a8L+FMh9alBUswVcBAADQNyoqKl599VW9Xo8vX5eMNmdRk+qJn44/9sOxDw+UH6lTKvRmh8sF8flfoX1y/Q/N9a81qY3H6pUoPufSaXPSIoeFSvEM0K+waJS7hyekBYn1VkdhU2d+Q4fd6cLzrpF+URMCAMCfXLPh4nwBetEBAKAHqsZ98bVuH2rTmn4/0/bZkaraTp3T5YkQ89KD/CL9+H4sOtl7fzPc4XyeG3torj1n2j4+WLGzovWmpPD7RqXEBwjh4++nUKvyy/wzm4qqDTbb4hExD45L5NKv5SCL139N2LegFx2Aq8xHlYyvQ3T04uamI5vzi+vPdOJJSFj6mCGZYxPF+GJfgRAdAAB6XOcN0y6TLa+06atj1cfqO6LEvKyowEHBflF+fBmPxaVRSfAI8l+gq+kNPDQXOhJW7ylp6zK/NG1YdmywP4eJZ4B+6ERzx/ojpYfr2kbHBKxbkCVi0/GMawFCdACAT/mokvHpkzkOp1XRsHtr7idr3n1jRW+rP1j/9W8Hd5Uo9A6XGy8MAABgoChuVeeVNBc2qsKE3NmpUXcPT5iZHJEUIBIye7rQwZ+hfYL2DNo/aC+hfYX2GNpvaO+hfYj2JNqfeLn+SW2yyrVmCokYJxFyrmmnK7hyYUKOhMM02pz1nQanGx5aAQCAy+bDEN3t1Ohadm1YfN/ajTUlBj+p7Bx/+bEt7z3z4KK3dxR3ms0uqL4BAGCgQDW+zen6rbT5RGOnlMO8OTXyzuHxYSIuTKl16dC+QnsM7Te099A+RHsS7U+0V/vv1dRsc+osdiKBIPn/9u4DvqlqfwD4zbjZu+nepbuUsjcyLEME3M/9HH9F1PfcuAeOhwMRcVZUVAQBcUDLaGmhlA6623Tv3bRN0mbv5OZ/0oYpQ5lp+/t+8gm95547cu7h5P5y7j2Xy2RQKa5UMDwJWQwunWaxEwN6MwHjSgAAwD93BUN0bUd58S/Pfa9XtSXcd98HOw4XnbBr08qblirqdBkffJnW3iw/93PTAQAAjCwWm72gVVbULteYrOMDxA9Pj2XTcdc88E+44dBcF40YHN6fRMIGx6eHH2uGN8rgMXQ4HHYH9KEDAMDFuHIhusmoVXa3WtQTVv73yXseXTY53NWFjky8buXTqz7+z4ORiqLCyhaFxuRaBAAAwAhnttlzmnp71YZQD97UEB8+kzYCnhl2TaByQ6WHyhCVJCpPVKqobF3zhh3oax2R4KgCAMBFuXIhus6kVPZW0OyRs2ZMihrrxzull4TjETlhXOKMGRE2VUFrr0J/7genAwAAGFGsNqKsU6EymINF3Hg/MXSZXgpUeqgMUUmi8kSlisrWNQMAAAAAw9aVC9GNVq1O10zx9PMRsP469guNwRL4+HlSmnU6rdXoSgQAAHB5CASChIQEGs3tRt6yEY4WuVZntnlzWSEirisVXCwYmguA83DblhAAAM7jCt6LjuAkbCzdYVMNSP9iQGVz0MdiJLgFEQAALr+IiIinnnqKw+G4pt0G4XAM6M0WO8Gl04Ssa/k0ppEBhuYC4DzctiUEAIDzuLIhulnbn/vhvQ8snTnlL2YufeDeD3P7tWZXVgAAAKMACiKdg0i5xgaDq9wvFQzNBQAAAIwwVzZExwjCpJbL+3pcXeen6OmTy9UmAu6bAwCA0QZCySsBShUAAAAYEa5ciM4XRc1KXLPmlTXngWYmzooS8V2LAAAAAAAAAAAAo9eVC9F5HpEzE99665W3zgPNTJwZ6cFzLQIAAODyUKlUEonEarW6pgEA56XvKezpaejVuybByAAtIQBgOLrCF7oDAAC4FhobGz/77DOtVuuaHgkIB2ExqI1Wq/34Nd3oX6vJZLFYrtzzwB12q9Wk1lvQxl0pF4+w2ax6vdVxGVY1OjgwwqQfkCt6pb3o1dfbqzWZL8eD5RzoqOr7tEaDyTZYlRwOzKpvyf80ryC5XDaYY3ggLHqj2WSxuSYHOVA0alRpdbq+Xle5HX+p9aYr+B/FXY3ElhAAMPJBiA4AAGBY0Bq15X9sSK9rkB9/VCeKTWqPHK6slPS5Ei4/Q39D9ZENO6q0Bp0r5eLpujqrf99RbbgMqxoVCDPWn/nL6vsenj8lEb1uXJj4TfaxrssQa9kMiobfb9i0b/+RVsPQNNa4I5f2CCXsvnmBgzmGAQLDlBXb9xVmlXW6Ugbpmxuq9733zc8/3Tj/oaFyO/764NfsSoUrFwAAAHc2CkN0q0XXeuzLfz/zwx/bq9CX1fHJB1esWPHEM2/sOjaAWaCDAwAA3A5BOK5JL7rFpNZZHJdheFPCbrPqddbLsapRwTHYix677LqV763f8Pn7bzx5d9/H7Y1VdQOu+ReNQucHXvfh8unTx/vS0SRBpmk4kxYkxE8PEzOoQ1mGBbuzF91oPrUXvb81S96U7jV20dz3Nry0IWk9en30v3devC868anp0WFhMPYPAAAMB5Q1a9a4/hzU0NCwd+/elStXcrlcV9LwkZ2dLRQKx44d65o+O6NJVX/0nferhHNCYuLHshR9ZX9s+Ozb3UcqSirbOtR2nU/slHA+C6fABQYAgOFLKpUWFxcvWrSIyWS6ktyD1mz9LqcOvc8M850V5udK/VtMFpO8MkvrNz5I7MOjOVNQZC6rq7VzODw/kV5RnfzjrylHjmTmdmp6qR6xYhzTN+bX97RWZLUc+23PkRKzRzy9v6j4aMquw2XlSk5IAJ9BVXbnZOT8smN3Tm5uTqeFL+YIuGyq0aJrKf/2h/2HMzLq2us6DWSFXjhvgieDTpZX1xWm/LgzJTcnK7fNYqFxfMWckzGdua+3Ni/1h62pOVnZOUotxhIGCViueU4m5cBAcyOWMMHD3tuWfTBt52+pOcdyc8y4D58nYjmDxYuS19KT19rDZeCPzIlB767UYSWroSersYdDx++fGoPeXakOG2ZoypcHhMVNWbZgcliAp7D1t1p8Cl0YHIL3nTjcnVqM6hEipFhkpcVqJpPERCVptJh6yg91kTgMi7JJ3nCsVda169edWUcOD2UW0wmiX2lie9NZHLatX9d+bNOOA1XlhZXF3e29uGesJxMzdOfXdreWVrUc3bXzwCl1w7VrgzTKppLCTZt352QdHaoMHLOttzRDquzauyc/dd/+2hYJ4R3jyaKdOKGwWzB5cX6PrPZodt2e1NQyBS04yNL6W/7hP/7IP5nZcko1U9H8mDwPPv3UOinrtjACxZb2Q9/sTT2S31jXpzcwvOPFTIxCVrRV1Eu7aZHzV4yLDw+LjAoPD/Vhsx1SA2v6DTNj/X25uF0nPfk/xbkqTmiAAH0s0kB17pEDO37fk3uiTrK1yr7WI5IOc8XW1IxDdf0YiUbDWgeXbTKdWflP5z510m1bwisEncbv2fPbsmXhIpEvjsPT4AG44q5QIzMae9EJm1rdQARR+X4csq6ztmL7rj3lvsKYBfPnBvvQulJ2lnYZrBZXZgAAAMMAYTUYFU3VlWUSSUlB0bGS6iqZ0WbX1eYfPJp9KLu6Nr+8JCM/eW9hYVFZVUVx4ZHso7tq5Uad1aTvbe+QlEjKiyWFObmV7W0Ko1Uvldfvykw/WlhQJKmurGnuksoxux3D9NLGutL03LwiSUm5pCQv+89jFaVNylOGoSJMhoGuVklJBVphXm5RVUvtqXNPZdOqupsbUbayYkl2dkFTX4futBuKwV+QSSQmmxdBpTFJZrmqt6G4uqa8vFQiyZcUSRpqpUqLuac4X6oc0DgzmyymjpLUqp5ebX9HfuWxX34rri4pK5UUHcw7VlxS22+2mQ0N+a3yAblBo+loLEvJKamvLauSlOZkZWXnHmhTmmy6zoL9RTlpudVVkrIiSXb6PklLleL4DRZOVl1vV2d5Wd3Q4ZYUljW1N/X06duyt/5RkJdTXCMpKCjIPXTkWIfGYjpx1QRhxnrzUw8eO5hRVFNWWHYsK2vfvpLS3IrqUzJrpdKuOlSBJZJiiSSvvKCqvVPWr+mXlpc3lpdUObdVVF5XUyZVy9trpPK21rb61sYmuQFzPhZf3yIz+6uZSxK8MZzi3KBd16Xoaqnv8Zoxwd9TxMRM/X3tVQeycvJLi8vQ/5RjB3IK0yV9RquhpyWnJD8zPw/V7dKiooP7D1Q01/a29zYW7d2eUVFRVFmRVZyZmn/w8FCxo8pfWivphqH13IzR2Ecmd8TEEB0dO3p6stCkawYAYLgZhSE6iUSiUBhYZ09Xc2tpdVHO/k01GOXOx97+dtOXLz83P4IoksstdrMrMwAAgGEAF4YFXf/Sx2u/2Lgh6Y35wTPVWQVDdy2VtOLsBdNXb//yo6c8fn41t9036q5Pvlvz7+cCt1Z16vv1AVE3P/Lgps3rkbcnY0ZlW0uvpqum9sBPvQ++/99vft/27qr/TPaUVWOEDbN1pKfWqErFj3yzPXnr9uQNK1QifU5G9WBIOIQZHDLrnqc2JX30adL6VyICfZXHTp17Ku7YKXf+Z/XXSes//mD981S1YaC2ffCmaPBXJo1uoK+3t0sq7a5t4ASLhAFYbXNzxR7SXS+8tXH9hk+WBnmbco80Ec6RCc6mt9vWn0mdv+7LX7Z9v25RTKCsrAodlaGo2aFrbiqR7NwZ8J+Ptny3PXnzhuVLpncmpdRrTFYHViCncsXT12zbunXbumkqm1rSdsqd3ISqNbumvo4aviHp7Q1J62/1FNm7DlRrbEZH7W868d2vPLF911dP3fugLKOu36Q8/Vf/tkwjKfK227ds2PBqVNfG1Q3mZQv+ezKzvCm9oMPYEbJy/Yav12/4OEEtU1YdK69rPvZzA++Fd59A2/q/mdeLu3dUcWPv33jfDc+ufvr959a8sSQUY1AJS2urmk42xIXxhk7vCIu6taS3v966ZHkog8lGEbu8rLK69Av5itc+2/7T9uQvH4uez9y3M0+q6z68Z4ea7f/ABlS3t2z+5jV7c09jbrWckGlJ+b2Mm7578bOkO7x1fb//nuP73Mdf79qwbCAMK6nsGfpAwC3YbHqp9DCVeuDxx0V2e2Nj4xY0iRJdswEAw8ooDNEZFLqPz2xKQ+pbr951x63PfbaTyxj/0qJJ0T4hXDHPw9+VCwAAwHCiNSqy/7hj4UPzp9z9zKuf76/s68ec93wnzg+dlTCOxyDTxnjPePj6BfFxoSwOPyRy3L+pOIpZMGNrenrSw4mJsxNvf/H7fXn1qqbuTqx594NLJgT4edAwtr9HWMS0GRiNhnU27Q8QqG6YPUkw+N0ZOPE+T+8pWH//0OaH6Lqyj30z5bYbpyQ+8Mp7Ow5Xnz73VHLJpl/XTklcNDfxsfXfHynt0MCI0+eQ8dmWZ5Ylzl9x54M/9y97Zty4WI6qqPzAW/vfWHTLkmmJ8xc8+vanW0u75f2DVzqcRUi416z/zo/h0KkYLyLY3z/O2zUDMfW16nAZ/syiSC6Dg2HM0ISYiBl3dPRZbIQVuyEudO6scVyMSsMixidyBRNcCw3SNLbXJO/c9MoT86csmX/ycNM4jKnPLB4f4eOJsfgefnHTwnHamReDx905bdJ1UYE0BtU3InT2K9eNjw4Xn8yMqlnJjqe/f3pB4nz06RY9t+n3AyWS5oqMg3vXv3TT3JvRtu5c+cSnfxb29lpO+8CorisrciwsI9O5z0M0JQV9rFLL/FsjMObgXsilRZih+O7l832ZztsJPMMXBMbeTnR2qKqOWpeGe6K9QnWbzhTMuu0GGytapdUF+tPuvm1WANOD5sEJXhA3/6bls4QMOjkwfKmn35TBbQB30dKys7l5m9Eo9fQci17oDzSJEl2zAQDDyigM0Wk0duDsh56YJvbgyGUyzNNx3ZP/tzw80kdRn5GVm1JInuLpSaNc9D2BAAAArjqTsrWheGcW5dE1Kz9K+uDlR+9ZEIbic4cDwxgMKh2nkUkkEpVM5zAZNJxKIpOpVBoHJWE9OXub9Vme967f8OX6ja8/GBMWabfabJhVz2HSKRQKCSNRUF46HUN5bVYjhUygNQx9cVLpHAqZhtlPXMSMmTpzmhur8nw/fPGdr9f/b/X9cyeGnDL3VPraXeV9DM2k9evXf77+3SeXRgR4wxBy5zLp1kX/ef+DN1euXKz+vVEu1ZpJhEUcFHn76k3vf5y0fsOmjV9/8Mrzt0zgYa4DcyYqTmbwmDiqAhiZig7q0BXgQwi7lSDZscHZaGkSFcXIdLYNhb6o7rBwKt15tEkYhtMYJHSwT0FYbV4JYctWv7ch6eMNSes/++nLZx99apofiUyi85g0nEJBVYZModGpzsVPh7PpdDqqhiSMguN0PqqSOOVkZlTNwqcufvD1Tc6R3jZs+nzTmpV3TAv38qPNeHL1/z7/CCVu3PzZW2+uXxQqOHVoO8KKqaqqGCIz1zfMWRCoOqlrD3WTjKxx08NZuLMCI3abBXNY0H8DtEGUQMEZVBobs9kIq8nBpFLQXqFMaF8YbCZGwu0EQaWSOGwGlURBH4zKwBksJoNMJqEyZVIop5UHuIZsNn1Dw+b29mSrVenrO37cuHvQC/2BJlEimgV96QAMO6MwREdfgwKfSf/615OrX1qzZs2rq19e+a95YwRCBosTNmH6zStWPzIxhI3DNw8AYFjz9/dfsWLFKBkhCcN02m5Fa5pDNDtxxg0Lp0T7+ND/1nPNTLLqfp2V4jdr8cIliyeE4DyGFmPiHBM7LFeqsBhNGGZW6uR9zU3oJBjz8B6nNLAqGpyXpKPYv78tT6tpxTgnB2TSyyUD8jpH0C1zr18+NyHQS0Q918Xr6s5MtcnCj755UeKiOVF8OpuCNgXOzjc2fGriDctvXrJ8/nj1j1Jps8ImpnAi1ayISfOXJC5ZvnjJvBlTwr3pFjIpVz6gUGsxu25A1Vicb7NccOh3Gt+TYeMRB6t6TVZ0CCzyTmlfU5EHn0Imn2sgNBcmh+0weVEwnwnLFyxE+7B88dSEiT6XYXQuNifAxgoneY+bs2T5IuenmzU+PsyXSfY2yjyi5k+fN7itObPmhQjo1JPRv91q6S0voPgI+IE+bOdAeyZD4/52O5vpExbje3KveMIQjBaSX16nsljtGKbtq+3vLiJ5eLD8o6gVMm19T79zWYuhsbiCbOlhMxiu5YaxEd8SGo19KA5va/vDYpF7ecWGhs738AhHL/QHmkSJaBbKAPelAzC8jMIQHcNIOMaNnn3/Y0++9dZbzz/2wrJoHyZOtZBwTz+vyMh4Op1EIh1/og8AAAxLfn5+N91000g7MbVbMXlV5bH0jNSUtNTMzMxWmdk2OCAbiUqm0jBSc3HG0Yys/PLGroG/1Wtkp9N8DDJeTU5aempaWWO9xqBDMbcPO2SurCkzLWtfStrR3GM1HTKN85p5UdgSNpXaXfrLvtSU1NSU5KJ6JUEKCxS41oXgVIpVQ6o6nJW+N6+sprVfe86doNNwdZe6NB19ksKaNqnOBCH6+VE4fp4xSx8e022SlHf0im2ccG3VzxkZyQdQTcgpLm7tt1IIno+6uzTvWErK4ayssoaOLtuFh5XBRWPEgoDA5sPpGXv3p6YcyCgs7tJSJwaxaZRT+trPhukd6IF5mSqy/0g5eADVxpSiqobey9FVyQ+azyBhJ6pZWkFNvZLKEXDjuY3laakZqE6mpuQUFLZrMDtB5wqMA72VZQW5zQplVaHST8wL9OdhhMmqapH8ua24s668saLY+Z/F+Sqo79Kzxwu9xp4oupS80pp+49iYQH7EvBB9r6LkYDLaaFrqvswGhZhHDxCOgBB9ZLaEx6HAu6cnq6lpm8EgFYujgoOvQ2H50Cz0B5pEiWgWygCjxwEwvIzKEP0Eh9Vq0AxIpT1SqbQhK/mzt55e8cR9DyYXDhj/Vv8LAACAq4dMtttYnbt/++y1155d9fyza95cc7hGTTgYNBrNSxzuNfHe9p3rVr/57Jf7Sqz2oMksnESmMNhMOoM2GG2RKAw+h4aiaOeaqGScw8LJvNg5Qdpe/TfPP//6y89XWf1IrIlMrkfgxIk3Pmj69b2k11c9/9kfu9ps0fM5TDqZ7Dt7QSQxXfPF28+uWv3sqvXN06hjbl4Rc7KL0iN0ricvtvOzVWtWr9pcorNgfuNPf8o2mULF2Ry0XwEJd7IUmqKPVr3y5us7e/x9UKQ4tJPgVM5L008eQSqDH7r0HY/STl0bUxg780nvH79/96mXUU348JtNhxpMdG7I7GewwoN73l31v807s5hzbuLzg3AKlcakMTkM51XsaB1knEYbvHidTGZw6FQqzgoOmhC14t7235w1Z9Vrv1TXOGZ9sDScz6DT0IaZ9MHjh5bEGc5qduoxCoi+8bZJS12H+/lnVyXtTClXUEk4h89wXUtPolApDA6DQqac7O0mYziHzaAxcJREJpNoLD7TeZn7KZl5MXcsncA/Uc2e//z3FImZP27BojcetOwerJPPrvrw86+yu8hmOz84ztxRu2vLp2szGuoq5dM86J5eKBS1qox9KDBvyfju42/fdeYfen2enF9uCY+OCD1RdGsP2+p9n3h0qifba+bCu2h27a71aKOvv/l2eXziuPHLYn1xnMFn44MXxZNxJgMdDNfz0yhMGk5nQJ29pobGh2ts3KLTtXh6RkdGLj0Rnw9BkygRzUIZYPS4kYQg7DaryWzWmUwa9DIaVEaj2mR0/m0yaa1Wo91udTjg5qnhjeRw3qt3UkpKyqpVq4qKivz8/tHjat3C2rVrw8LC7rrrLtf0BWnrJPt3ffxcUi6GmQmzUafX60J4fqs2Fz08248rdGUCAABw2UjVhunv/4neX7h+4urESa7Uv4VwEBajQmUgiMGxu6lkMosvptkt6C8UFBF2s3ZAayYcKAoj01AYhrOZZLPBQqJQqGjKQRBmrYnMolNQlE7YHHazEUMTdrtBZ9QZjCgIYbGZBJVBx3E6GbOZtEq0LoKgojiOxiSRcS6LSiY5LFqTQasd6vJm8DgsJufUsM1htZqMOjUKzlE8yUSbxVFIfkqUTthsdrMZY7EoDqtFj75yTDYSitLY6I1Bw10/Jfxz6zJKPj5U6sdn5b9yC3p3pQ4r7+wteWdfqQ+PlfbkLejdlYo5MMKsNw8dQVQ46HTFZlIaCefd5SSSaUA99KQxdNCYHBRJklFmldZosaIMNDaHasHoLBo6ZoTdTtA56KiS0BGw2OwEhtNxzGywUulozRTCerzmOI6vCsXwhEVvdlAoFAaNOrRdk4NMppwWpZ9yuFEOGpPLYjFpDrOWYLBwMoq7HXYbYTVbcTRFckXpaBM2g56gOT8RFZ1C24xaO86iUVFMf0pmzHpKNUMhPZvJPrVOOm+vZ7B4IibaM6tObzBoeyo1jXsOc19ZNM5rjIdzw8QpmU/A2QI2k0nDzFbj8aKjsegsjnCwihIW56pQlcRIZIzG5XMYDKqzwhoslKG6bzNZUdlR2M6B50g2o8VBIVC9Pe03qJNGQJ10fw0Nm9va/jAYpCgIT0i4l8US//X+DNRYGgwKiWSbXF7HYvmFhNwaGfmwax4YnlB8rlH3yvrq5bImnU6B2hGjQUlBX2zOESJw9PLxjfEQhwqEAUwm37UMuJJQ1JyUlLRu3TqRSORKuhxGYYiuMw7UZDz32f4BTbdVo+rtqi9vVqAaj0XPvGnFsn8tmegZMn5OoIhBdf1UDAAA4PK5hBAdnN3IDdHB30KYVGZVu4we68lBIb4r8dqCEP2Kstn0LS0729uTLRa5WBwVGbmUzw881/gJKEpXqzsbGvYrFPU0mmdw8IqwsDupVOfzLMDwolJ2Sbsre3tqdVq5yaTBHATV+SMyTqXSCAeBQnfCbrPZrHbChuNMFlvk4RESEDTByzsSxe2uVYAr4AqF6KPwQnerzdTXkp7W1E+lh868/ub7n3jztTefv/P6sNj4sIkzF81fvDDUG+JzAMAwJ5VK9+zZYzQaXdMAgBGKzBAwfRKChe4Sn7uVkdcS/nV8OKEw9DzjG6JZKAOMHjd8odhbrZI21h+plKQ0NhwZULRQKRRfn4jw8BnR0ddFRM4KCIwPDBwXFjY1Kuq6qKg5gYFjuVyR2ajq6iitkqRUlO+Ry5qsVjgZGGZG773oHO+QsNgJE50mTBw3xp/HGgHDogAAwJDu7u7kZHQeBt/Kl5WpXy5rP9KmNtvgNj8AhoER1hKeZ3y480PZYPS44chqNQ30tzc1Hq2u2t8jrcCpeFBQQkjIpKCg8WLPEBZLQKez7Xabw+HAqXQmi88XeAcExIeETAwOmSAU+qpUnTWV++rrDvX21JqMatdKwXAwCkN0MpnC4Hj7DBTs3Pr+fx958L57br79pgfWbimvbdQr+3tlvX16kx3GWAAAgFHP5hyiRKm3HP9GsFn6qooLM9462q42211pYJgjbDarXj84tpLNYrGYTIMDHYwKNovJbDxZvYG7u+D4cOeHMsPoccOL3WZRDnSg4LyifLfVog8NnTxp0i3RMfMcDntzc35e7tb09M8PH0oqK91TWrI7J+enw4e+PJr1fW3NYZWqR+wRnDD+xnHjbuByPZrqMysle6TSKhTwn3GDM3BbozBE57LEc+46kL6rCNn7xydPPYBhg3fkVB7+5dWVC+9YeMOObIVBO5gVAADA6NWZseW3XS9tL1E5xytB2iqrjbr2kE23xYhY57ysFAwvuq7O6t93VBsMOnR8JZVHDre5Zox8bZVZueknqzdwdy0tO5ubtxmNUh+f8QkJ9/L5ga4ZfxtaBC2IFkcrQatCK3TNAG6pu7uyrPjXlqYcH++IGTPuCQwY19khOZj2aWHhru7uagaDPWbM1LixidOm3z1j5j0TJq4ID5/l6RmqUkmrqzKyjn5fUvwnnc6ePeehyKg5WnVvWfGuhvpMm+2CD6MEbmEUhugGk7ri8EsvHCnoUtLixi958Mnk5F+Tk5O3rXnq+hhPZy+6zmQ/bRBUAAAAo5HXpEVz5628PpKDDT6xS8vxi4kZv3R8KBunOB9DBUYC59OL9DqrA33vj75edKPJBL3ow4HNpm9o2Nzenmy1Kn19x8fG3nrW8dsvCC2CFkSLo5WgVaEVotVCX7p7knZXNjce1Wh6I8JnjB27SKfrr6k91Nycb7NZYuOunznrvunT705IWBYTMz84eEJQ0Pjw8Jlj4xdNnHjzrNkPTJ5yq9gjSCZvLi/f29FRHhg4LiJiJplEqqtO6+wogSvehwXKmjVrXH8Oamho2Lt378qVK7lcritp+MjOzhYKhWPHjnVNn53epKw9/PInvVGJntFxEX4iz6ioiKioqDFBfl4BQeFxE+dOmzkzwIMOox8CAIYxqVRaXFy8aNEiJpPpSnIPWrP1u5w69D4zzHdW2NV4dIhFXl1XmPLjzpTcnKxcJQ1j8YP4dMxuweTFv+/ZvXf/gdzaFgnhHePJIqR52YdTdu05UFBS3E0PEzEMJAwnkQTefBSR99b9+mdOVmZ2XWlFaYnFI57Pott6qnsbjrXKunb9ujPryOFOLUb1CBFf9fLOa+nJa+3hMvBH5sSgd1fqsJLV0JPV2MOh4/dPjUHvrtRTmfpNveUZUruy/I+iw8nJB6tKJQ6PWC8WTdmTk5Hzy47dObm5OZ0WvpgjoDsUvU1HSuXm4v0HKtsGNBZdZ90Pm3fnZB3NaZZb6GwfL/4pWzApBwaaG7GECR40raLTpNczo2M8MMzQmb8zM3X3KRuiEKdUJJVS2a6nym1sX6ZRVvpF8v70A+lZ5U2dA+zwAD5OVdXU9bQXlVdLd/+x2yQW89miwQeK2y3as2Qmu37ucdiMxuYDf6bs3ZeafqJO0ihkTNveJMn87udfXRWYYuLaVDVSupiPU8gkVL1l0oYGWxCqeBRVde6RAzt+3+OqwFyGo6/2RBVVkL2ZdJuxOS/1h62pOVnZSmVXB8F38EKnBzMxQ5fr82adWJZj7jyx3TarkMYRidl/97mA7lMn3bYl/PuMxr6urtTW1l+t1n4vr9iQkHlicSSJdJF9bGhBJlNIo3FsNoNG067VtpHJdCbTC8c5rhzgWiMIm1LZWV+b0S9vEfC9x4RPV6l729tLNWoZj++Fgu2Q0EmenmN4PC8mi89gcGg0Jo4z6HQWk8ljsYUoncsVs1lCCgXXamRKZTeDweULfBl0tkLeqtX2cbheLJYAhnm/XK5QIzN6h4vrqinKy0g56VBFi4XpNTFu3DgvAf7Pf5kEAADglgiTUimtl0hK0CuvIKeqtU1pMlnV7dX78vLyCgtQel19jUxjVbUUlxYcyc8vlpRUVFa0KowGTWtXV1ddp95uVcuq90jKCiVlVfVluWV5B9L31Lb26OUd+ZXHfvmtuLqkrFRSdDDvWHFJbf/QU7LBZWYa0Lcd3fpHVk5hYRUq74K8/PS0PfV9PXqtvre9Ax3E8mJJYU5uZXubQq3tra/e99PRivLiiqa2bln/QG+PpKQK5SnKyy+vq+zSudZ5DoTNomkraWkoRhuSlJWUF5Yfa5QPqHql5aX5ezOzJSVlkpKagl9zS/PzO40OwmqUVzbWodpVUFpUVJTXqDDbrAPVJcfyfttbWFcpqehRa46PXHD2zEPznHPtNnV7S0MFqqjFJYW5Rcc6tRaTqb+3sqo4NXdou5KO3t6BLqW8uaRBb7E5K5pVXtXTmF3SY7cYe1taGssrnIs7d7s4v02mlLaerKIdMnlfe2lj/p9HskvKykoktfU1/Urp4E8D6rYDpaWZ+cUFEkl+WfGhI7vyGls7Oyrra45vt1E6oDJBd/s1cNHjw50fjB7nthwOh8VibGnK7e2pZrH4AQHxdrutvi4TBdtiz5DY2Otj4xIFAj8qleZa4GyYTH5gUMLY+EVjwmeQSOS21hKNps/TKywwaJyst769rUil7HZlBe5q9IboR35495WHVvzFE/c9mFw4YLzAFzgAAIBhghE4Y8btbyZtSPpkQ9JLYUofZWWVTKZtzfr2K/LsW9d8uT152/oPP1/ox2n/dXONkD73te+2J//43ZbVC0PDRIOdDA6zRdOS892nmjl33ZWUvG3Lls9eX0lsS29p7JI7ertt/ZnU+eu+/GXb9+sWxQTKyqo0aInB7YLLy2Y01/6Wa4p6/M53k39KeuH1f3dtPVzT2MOPvPmRBzdtXo+8PRkzKtta5ATWZyXlNDDuWvnyC8/cf/O82ctv//7HtZ9+s/69G6ODHFXlHeeNNQmbUVn/26ZeryVzn0xa/9F/X3yClJPZ0F2dVZqn7Vbf8cH25C3bk2+fRvhQ6lBuKkMYuiTphde+37hh49O3Lg0uONRmMukcWJ/ErFTHz9689Zt7pk70dfVPnivzEDKNzZu86pnV6z/fkPTegzfdp91dpTD295UeS29v6JgztN1tT956W4zYtcApHISZkB35rdzGjr17PVr8jTfmD/wq7Wlp15+soo8vjaR3ZLf0qqauS07amrztjlnjfKklGGE1Khp+e7Wav2jO87u2bd+R9PFLUw/taa8pOHSwt78x9rmkXzdv2/PWvfOnB8Jzb662Sxwf7vxg9Dj3ZLdbtVpZQ90hKgUPCZ3E53vX1hzWavtDQibFxy8JDBznyvc3cDhiFNJPmLDc4SCamwv6+zuio+eJRAHtLfldneVoQ658wC2N3hAdAADA6NDXlffzt/OnrJg/5aF3v9qV2ybrUqi6Sogn5wVG+HgO5rBZ9Q0VW6aN9ZgZN+bMyz0tKstASwHxbGhgdDgKjmiejIA5y+/uZPJ1ekNIuNes/86P4dCpGC8i2N8/ztu1ELjsaBzu1GeemD9pTCgbw7lir8gZ03uUNL1poDU9PenhxMTZibe/+P2+vHqVVocFM2kPLpsV4Ofh7Giy9tc073n6jhWzEm9e+d6m5PK+/vMOkKa1GiRVO7K++88Djy6bkrh46S2PvL9f0lhTU6iMonPunBaJIm0MCwxf6uk3xZmdMGP9mb+svu/h+XPvfOyFT3OaWnpsZgsWNDdq2vHMJ50j83E2DKs98tojq+dPufnfD7z6S25jl1nRUGE8Zbvn4rCa1bU55X+8+d4zyxLnT1ly4/VPfLUnu6pfd2oV1TS2G6LknPsWRGCMwc8wwdMv0fl5O6p23BMvjI8LZWEYl8GNWfAMjnuHcKI6DEE/vb4hs11rhnP5a+LSx4c7Pxg9zg3p9f2tzXlGoyY4eCKFTK2vz+7tbQgLmxY2ZppA4OvK9LdRqbh/QDxaFv3d1laq0ciioufR6Cy5rFHW1zCUB7in0Ruiz3vojfd/SP6Lr7b+uGKqiAl35AAAhrWIiIinnnpqOI4qcrnpOvNLGuvUPm8lrVmftPbpm+cl+NjtBGEzYzwGFae4bq51OKwWHR0n03H8zO9FB+Gw28wOHjrXwVFuEjprojM5dhLZQRBUnMzgMXEyiYSRqRQKxZkB/EVBQcHRo0fb29td0xeFRCbReTwGHaeS0N8UCpVOtxGYNDulWZ/lee/6DV+u3/j6gzFhkXbCgVFJJA6LgQ4ICRuormiqXau54Zk3P12/8d3/Lp419QIjwhIOB8Wqv3H5w++++WnS+k+/3fDJ1989vWhqIAfHMTLbeaM8CZ344kwKBcX/OpOqPvXlVuHUhx7Z8M3/XnvikYU2Bu58qhGVjtOPZz7unJkHWS363uLvdhum3nLj2qSP3n7lxTvHohXYrRbHKds9F4fzInpzyIKH7n/58/Ubkj75dNNn3+x4eNGkSOEpVZSw2gjcTuYwcMw53CEVp5EpTIzAHDaLnkMj05wli5FJZJzBI5EoVHH8v5be/cwrk6X7n3vgi22Z+Z0m18aGFXdoCevr6zMyMurq6qzWv/tbx+UaH+78YPS4q8ZkMh08eBC1hDKZzJV0NuibSaPu6Wgr8hQHizyC9HqlXN4sFPpHRV/H5/uQyRfxBUOiUmlhYVP8fKMNBmVTY56XV5inOESnlXV1lLmyALc0ekP0gNgpMxOX/8X8xQtDvdFpmysXAAAMSwKBICEhAUdRxWinUlQp5Q3CwGXLFtywIN6fIaSaKAwOSxRCOlTX36ceesQmmUL3CZzV0q1v6u47MxChsqgczzHkNMVATx/KbdNYBhrL84UWA51Od2UB56fT6Q4fPpyUlJSamqpWq4mLemqKzWZvaeno1xss6HxX09PbmEYEeWL6Fq3OSvGbtXjhksUTQnAe44xnplpU7er+LiV36pz5SxdPjfX24ipdc84FJ1M53HAZLTQyYtLixUuWO9c8MSTU10+vt3V09xmc8TDW31ehVbViNoNF01HSRxHGTZ+1ZO6MuDBvGUY514e7QGazzShr3KPH/SeOX7p49pToIIaGQiIY4kC8x2YqaOnFsBPP4jfrDLKWTh0qEUzRV9/SVtiJQmoWz8uk9OSLx09G+zz4ig/1Fp5aRZkctlZLb+vs1mF29BkG+tq1qmqMQaF5BEw71qnvkspR0Rqtpp7ag3a7GhP4RIZGX584KSY2ginrV/fKh+UtgO7QEhqNRolEsnHjxt9//72jo8Nmu8BTA4zGPhQtt7X9YbHIvbxiQ0PnC4Whlz0+H4JWi1aONoE2hDaHNoo2DfelX3ao0VOpVLt27dq8eXNeXp7ZbD7r88lNRq1K2Y3iZz+/WIfDrlRJCcIeEjpJJArA8Yu/04TDEfv7x3mIAvv6mvS6AYHAj0Km9Pe3GY1qh+NiWmNwFYzCEB2nMrzDFi6OGOPtAfdVAQDASEej4jatsjpnX0Zabll9p0JnorA9eYHTonpLqnIOpKSmpGXnZkutwuh7KZqm2vxd+1NT0g8dLO3QaIbGx6JyaILQGRE9fZVZmSkpaQf2H0o/1mKdwGV5CM43Xg84KSAgoKen54cffvj666/37NlTUVGhVF4oUv4Lwm7V9DXU5h3KTk3Zn5WT0aIKmxwm9vMINMh4NTlp6alpZY31GsMZcSSB4xy7MaolPzdjf1phhUR2wQ3TqUzPiJvsqubcgt170o5XBgsvhk8x6Ov/3JeakpqaUlxV06fSYgSFRKIxEjrbWo7kpGblHmvpkmP2E5H0GRwXyEzCSGwas6e+ND/zUHZeVVOf2mZ3MPzG+1MoeHX67sHtplU0N2lwCmHBOv44dCjlQOqxwpLWHpmeTKUxA6Z76aRdJQeTUbbUA2mpta0y/WlPQGZ6B/KpQl3N3r0pqQdSjpcGk8ryjfmXXds29Hl3ZxzaX9YdwWNQKT2SyoysrLI+UsgED7GIgxsNGkV7da/RaoeT+n9ELBaTSKSff/75q6++QkFaYWFhX985Y+ArND7c+aFNwOhxVxSVSg0PDy8uLv7+++9RlJ6WltbY2GgwGFyzj9PrFCql8xc3H98ojUamUfeh6Do4eMKlj74u9gzxDxhrtRq7u6s5HBGbLTToB1TKLoI4V4MFrrFR+NA1KpUmDph1nb8fl27X/oVRb8CoTJzsvCYMAADAZXbVH7rG47BbpYo973/wU0aakhciEsbN8PCbEO0vDvc5tH3X9l+27jxY1VbEn7p86sxY3U8VGT999f3eIzl5ff6J0R5GB8G0kL2igkR+YT6SbduSt23emV5e1CC+8aP/mx7jyVK0aI1GR/C0IBZGJVlUfWqzBfOMcA6rdTW/Qdz/oWsoRKmvr8/MzETBeUZGhlqtFggEKJFCoZCdX7ekv/HQtQFrf3Wdkej7/aeDO3/+o83aPuXddxLDQ8eIDDlHJF+v/zzn6EGv+Mlmr+vGePOFuKa5nzcj3oNBY/OZ9p7Ozg/eTMrYt5fmLaQELxV5B088eYwsGo2mp5sSGy+iGdR9NouFExUX7DcxXrdj26Ht6FT6eGWIGhdHLTCVbXz/s73paXsp3Eib71yeb9z0ULFQtmbrjuRtO5Tt/bz4f2GCqLmBhFRuZhkZ/pP8TukKoLDIOPcsmbkMtrN/lEYhM718MrY462RxSzc2Zk4MHrAgwj9ojHeX2lmBv81I23vQ7C8KSpjprcU71qz76sDeFDo9UBh7ayRJMCt2TNQk7/L6ot++/mrLwbTDB9NoflPDRMwBx8kqyhN7W1Wmko/Wrjt0cO/B46UROjXMNyJes3Xo8x48VtYa+8r6eZMxXcrmne9+8PnBQwezqBOWLJg2kaFrqd73c1vg9BAW4wK3dIyABwFeRjweD51fpqSkoP8F6Ey1vb2dyWT6+/ujyj9U/135Bq9v7+pKbWraqtO1eHuPjY5eIRZHuuZdYWy2J3oZDPKBgVqdrgPHuTxeGJkMP0NeHqit8/X1PXz4MIrSS0pKjhw5YrfbPT09UbSF6gCaO5Str6++q6PUQVjHjVva1lqs0fR5eY2JiJh10c/YOwHHGVarSSqttdpMgYEJZrN+YKCTwxV7iEPg6WuX6Ao9dI10xoUWqAVZtWpVUVGRn9/VeFzt5bV27dqwsLC77rrLNX12an1f4Y4bntvSN9DkSjlVuMj7358cuGuqN5vvSgEAAHDZSNWG6e//id5fuH7i6sRJrtQryWEzmox6td6KYXQmA6PQmVScyaAQhFmj1pnNNjtGoZFZfDGLSpiVeoPJaMHQ+RCN68GhEQ6CRGBUBo2EEWa9Smu0WG0YiirpHCGPTiVjViM6zSLoHDoZxXuEzWKzExjOoF3l69PWZZR8fKjUj8/Kf+UW9O5KdTO//fbbZ599huITFJCwWKzg4OAFCxY88MAD48aNo9Fo7+wteWdfqQ+PlfbkLejdtcypVI2qupQ13Ytvj+ZHe5Btxw8ZmWS36HRGncGI4hwWm0lQGXQqhUKyGSxkrnM2GbPbzUaDUuO8QJ3BpJFpTApOZ588RoTNZjebMRaLQrLbLARBkBkMdLpsMynVBrPFgs6ThioDOt52ncmg1Q7eCNGT+XgdZRot4eVbIx02g0JrsFvsaMM4k0WQ6Tyaw2wlyHYSfsp2nBwO+1kyU8iUoRjNcaJOkqgUKoNFxnAek0omE0MVeHBYOQaPw2KyyFarcUBtwAgHk8Eg05kUB5nDpGIOq05vMOhNtsHfH9hcIYtGsjpOVlHnk9nNJr1Saxxc1YnSwMmnfl4yxVm0uMNuGCxY53J0Np/LtDVU1zX9nO/76kPjhRz0X+J8hkWdvJpQVPbOO++kp6ebTCY6ne7t7T1p0qSVK1dOnTpVKBS6Mjn7yTa3tf1hMEg9PaMTEu69EvefnwdB2AwGhUSyTS6vY7H8QkJujYx82DUPXA4fffTRli1bqqurUUyOmsHo6Oibb7751ltvRX8MZaivzairOYhT8anT7sw/9ovNZomOmRcVdd3Q3EukkLeWlu6WyVrmzntUre6tr8sWiAJnz32cwYAxay4JipqTkpLWrVsnEolcSZfDKOxFN5o1LQUbtmVJ+1qHOs5PwyTI4258ZHwgl345fwkBAICrq7Gxcdu2bXFxcSj+cSW5h6vei45CDhynszgcLoeD4hkmDcdRcI0CLxKVwUTJKJ3NYtMoKIFMZTKYKBt6cZg4hTI4AhzVGT+RMBKVxmSzBmex2QycQiKTMDIFp+A05+hlQ9tBmQdzX2XDosfSgMIOqRSdyqC/rVarRqPp6OgoKyuTyWQeHh7lMkNOs+z8veim/sYj+rFTI3zCfIUnDplzGAEag+E8LlwOnc5g4OgQOA8EwzV78GZbGn0oA4PJpNNwNGdwlUNIZLSGoczOvizqYOVAZ0dUJos5tNRQZdBXF/6+dcunSdvT9h5M29vGnRWasHRmuC+XhhbnMNkoG4vFptNoDJyMagLaDerp23FCVewsmU/kOlkn0cdjorloDWjuKRUYfQS0r2gZKpXOZTtTUJVGn5mGU9DSGIlCozPYrpwcOo2KPtGpVdRZWqgeH1/VidI4/fOynT9HOD/EiYLlMOk4haxu1mhUUuHUqcFMunNgufNxnzrpJi0hqvNqtfrYsWMoRLfZbHq9vre3t7y8vLu7Gx1BFLFjmLmpaevg+HD9Q/3nXK7v1YzPEWcTSGXweP4Wi1an60Ivu93A50dCX/rlgto9VCGRwYefW1QqVXNzc01NDaobQUFBqCZ0dZbLemu9vSM4HFFXZwWLJQwKHs/heLiWvzQWq0mjlcn6mgKDElDwr1JJKRRaSNg01Jq4coCLAr3oF/b3etGNFm1H2abkIp2hfyjBbsb6yn5JLW7oUHB8p42/ce0XH82KFEKIDgAYxq7Qz7qX7ur3oo94Qz2WXLL9/zzk3HMOVnaNyeXyioqK7Oxs1/QgHMcjIyOnTZvWyIvKMwnP14tu6jcpGo/oosYHcH04VzVucTG21x0rKCms7R6c8p9286SxMdGeoyl00bYrtboWSly8GKNdaGBp96mTKAa+EmfP/5RWq21qajp48KDROHgJw3HorHXixInTpsXEx+M2Wy7KOHRb+FW4//w8ZLKa9vaj6N1q5dTUTLJaIYS7PLq6uvLz86uqqlzTg3g8XkxMzIwZM7hcLo/d4+9LREVdJ/YMLS7+XcD3TRh/o0h0eR62p9cr29qKCwt+nTrtTgdBtLeXOkiUxMUvMplw3fAluUKnW6MwRD+NVd830Hy0/Gj6m19X9trIk5deP+/O5x+ayOVc7QsVAQDgcoIQffQYCofodtMsWTaDcN8nY8lkspKSkr8OZ02hUEiTljkm3ni+EB0MK+5TJ1UqVVtbW2xs7DW/nshkMh07dkyv159x4k0mk6Oj2ffcIw4Ksnl7R0ZFLQsOnuOad+20t2fX1+/t6Gj49VcSmRxKo/FcM8ClaWpqamhosP9lVEkqlerv7z9/rv+i66OvUIhuMmml0pqjWZsTEpZScXp3V7XOoL5xxdss1slbLcBFgBD9wv5ZiE5YjDqdtCIld8fDr+z2sNru/Pfq+1Y9Py3cNRsAAIaxUROiExa92YGCPAbt3F2rDrvVaDFoCaaYQaVQLvQDLMpNWPUmMo9BJV8w8zn8nb26bIbFfb8oMt+/f/+99957aohCIpEYDIZYLDbGXq8MnXlmiI6y2QxKE4mK42zGqc+rt9utNpPBweDS/9HYroRFZ3VQHBQmg3LqmikkdD6gUBkIOs6kUmlkvYUi4tIpbj5q7GUpHLvFarejDz6Y15V2WbhPnXSTlpAgiI6OjkWLFrW2tp76KxWdThcKhVOm+N93XwCGNfD5PmPGLAoJmU2lXss+f5vN2NaW09x8UKeT+/rOjY19QiC4lr36I4bFYvnwww/ff//9Uy+mQF8UTCbT29v79ttvDw228tiqKxaia7q6qnOyf0gYv4xGY3Z1VqrV8uW3roUQ/RJdoUZmFPcVq0rSN7z0zG3Pofg89j/bftr/+usrJ4S45gEAAHB/BIYpK7bvK8wq63SlnJWhv2F/xkc3bC9VdP2NRztb+2t6jrz3e5Xm72Q+m7+5V6NLW1tbWVnZGV2IKD5PTEz84osv7rn7blfSqWwGrHHHG9/u/iar+fRD0dfVUPT7hswerdnqSvlbdBU/FBamH0FH5bQ1a42K7D/uWPjQ/LfWf7z510Pb7tiQ2fwP13wNXJbCUZQ1lO37JFepNcNj1K4shUKRl5enVCrPuIpkypQpb7311hdf7Fq8+JOAgPlGoxYFxs3Nh1yzrxG0A2g30M6g+HzcuNU8XoRrBrg0VVVVDQ0NJtNp15Wg4PzOO+/csWPHCy+8EH+B4bQuidVq1mj6CIJg0DmE3WaxGHl8HzLpQnetgGtkNIboNuNA054HX1r9wjtbJL1+yx5et/XNf02bEesp4F6N7g4AAACXj92iN5qN5jMvnj4NnRc4fdJdH14fwff8G11TDrvVblLrrcQlPP357+zV6IJC9MrKyhPxuUAgmDt37nvvvffqq6/Onj371EGtT6LQsYAFDy+bvTzB7/TjZrdbzXq1yX7GdYAX4rDozGajyX7amnFlt7o2S3fPmgfee+jOO5fOm5T49h0T/Fi4u58PXJbCsZutFqMzr2saXCn9/f0oRD8Rm7FYrLi4uNdee+2NN95YsWKFv38QlxsYG/ukn998m83e3p5TX7/XZjvtrvWrA20UbRrtANoNtDOxsU+wWH5kMjyU6/JAbSBqCU/810TB+W233fbOO+8888wzqD54eHhwuCIcZ+r0A3Q6m0LGrTaz2awfynzpbDarwaByOAg6g0PF6Wg3nOMRuvXFQqPa6BzRvSFv7Ts/ptWVdlscLBaXT1bW5BflHc1yqioqcYjjvdh0eEogAGAYu0JDjF66yzqiOzrRMXQWNFspGoW5+c+ff83NyWqzCmkcEcfc11ueJtXI9u3fW9djwhj+LJ2eEuTH1tU19bQXlVdLd27dnZN1VEnDWPwgPt1u0cpKv0jen34gvbquttVClitECyM99brijJxfduzOyc3N6bTwxRwBl6KRnljzwdQDte09Du94MROjkBWdOYOZC47lSs2qRhkrwFscHSyyGY3NB/5M2bsvNT1XUl+u5IQE8BnUi72C/myGxYjuhw8f/vPPPwcG0KknfcKECcuXL//Xv/61cOHC6OhoNpt9tLH3bM9Ft2M2udrEZTM4QrreJKvI+GFrWuahI53ttQqC1o1HzAvnMOzKusOFqVt37T+Wm2PGffg8EdXa29t0pFRuLt5/4MDB1LKmbgsrwBNvP7Bn7960/PqaXl033TNGoDda+Wxrv6L20KYtu0pUDJPA28eP6cPDLTYPPyGNSu53HdCcoTXb1DW5heeuDHU9BqpHCKoJTsb2uvbOcolEXbJ114GsrBaLhcbxFXOo6BNhvXW/7cpITt5/SmWwyavrClN+3JlyvAJzGNra6tRvnMseVWoxljBIwDylIjlrnVesmCbXmc9XOLi8IO9wyq49B3KLinJNYm8+W8TE7Tqpojr5x19TjhzJ7OzsUBCCLjx8XhiLQT3+eQsKcqV0gYgr4Jg1TSWFmzY7/6e0nfgIg//p8vO6B/QmnhcfP2Ny8OO7U510k5awvr5+06ZNvb29ZDI5IiJi8eLFd99997Jly+Lj40Ui0eDT0SkMhieNxrNa9Vptm0bTgQJjJlOIAjbXKq48o3Ggs7OgtfWwzWbz8poZGnqrh8cEtGOu2eCSbd26NScnR6/XoyBr5syZKD6/9dZbr7vuutDQUBzHSSSSWiVVKjutVmNY2NTe3gazRc/hiMXiYNfyl0arlbe2FqOQPDhkok7bL5e3CkQBAUETqFQYsf+SXKFGZhT2opts5p6OPLtBgf5W9LQc2rl+zf/eWXPclx99kt+gNbvveDsAAABO09Ulqy2uqJRIiiSSQ9l7cyrKu3r6Wlvzkv4sKsstK2/p7OntGZAW50stZtNAdcmxvN/2FtZJiiskeUeOHC2va1Ma9CZ57YHMA1kFuaWSiqqaptbuPucjzjGTvre9Q1IiKS+WFObkVra3KYwm5ck1S0oyC49lZRb1ai12bc/R6sIDRzLzJZJSSV1tc6dOo3MOSWqS12fk5OYUFZZKSooLjxzN+rWoU6Uyja7ripVKZUtLi0wmQ2ei6DzmwQcffPzxx9G5aWBgIIVy7gCAsGH62rpWWZfcYFK1dhZuO3q0oLi4RFJdU9Xd14phNgzT99R1NRZW16JjVCIpLC6o7e4YUGt766v3/XS0ory4olxSkJ17LH9PQ7+2v629W97a0treWl8jU1s1Nc41Swe0Klldm6K7sbyuBVWbdoW8uaRBb7Gh43ykriC9MK9EIkGxdrdMo1KdtzKgaqYyu3YcM7bVFR5LTz5SU4cWL8nL/rO0VtKtJ+xWvay6qkVSWjO4nvLKkuJunWqgq7GuND03r0hSgqpUo3SgV9re21QwtKykqLiosqW2W2HVdEhQnsGKVN/YJDfYCO0FCseu6+lpq0YrKSsryj52tKmvX2fSqFrrinalHy0uKpaU1NRVdPd1De6xWdna1C4pG9wxtN2CkjZ5S0d5V1VKfnZJeVmJpKmrR+W8/mDwdzGbrrW4rr6uUm7FHHbM3FVZVlHXJNXBRSPnoNPpOjo6GhsbPT0958yZc++996L6/9BDD0VFRbFYp92o7+k5LSTkZvQ+dMV7T08ZCptd864wtCG0uaHr20/shmseuGQEQaAGsKGhwWw2x8XFrVixYuXKlatWrUpMTPTy8nJlwjAmS8Bg8lH87HA42ByR1Wru72+32SyD/+8uid3u7ELXqPs8xMFo5Tpdv91uE4mCyWT4CcZNjd570Zk8kdjbz8dLJOKSyVyRyMvHz1ss4rlXdxMAAFwcGo0mEAjI5NHQyBcUKrXdfvds2/7ntu1fLFc263OPVWvURkf9H9rYu55d/+rKu6ef0lvfJzEr1fGzt+/5Zvsva8bY/BUN1dIOZW1KkvzRJU9v2bz9k9efmu3bX0UhrBgWEHXzIw9u2rweeXsyZlS2tcgJ7OSat/3w1X/uuL4v65jKrG/O3N7G8Rjzvx3bfty67bH4UBtT24cR2o7+6t//VzNx/qqNm7cnf/f2A08FbNtf3NU5gE65RpHa2tqenp7g4OB77rnnq6++euyxx1Bw4pr3dzj0/R0VBQcPBj/71ZrNydv+e/+/x+CZKKzErB2Zf3boxCH3Ja1f/9H6tz3Vsq6aanSM+qyknAbGXStf/m5b0lN3LhP9VtJHHbfqqX8vW/3S6v++8OEXN4QLmYNXsovi4mcu3/D0ovve/mX96ofvmR7MdqbaMbtcsmdrJydg+sbkbdt3btv+wLKJU2ectzI4q5mvc2GXpl6KzNPnseQvf0zesGwgDCuplJotmu6cL/Pt8+6+dUPS+tUPvhDXsqdU3ly2N7VGVSp+5JvtyVu3J6+5d07YQElzZSt2U9Ib7yetf29SoGd/XqZE3y/ZXRYy9/7/ffbTn+vWvLEkBGMMXYt/zsLBWDG33P7o2q82JH301ppnKJmGge42WXN7VeP+Q7Oe+njbd9uTn7hzYhhe4Pq8u8rk7HGz0Y6t/d/6+coOaU9GRqq0vx5fveXjH3ZveetE4aAmhR8zfQxVwGxuVRGEhZCVNYviqf5xMW558aU7tIQoPq+vrxcKhTfeeOMHH3zw4osvTpt2zugXBcaRkQ96eU3T6eSNjand3SVX4Yp3tAm0IbQ5tFG0abQDEJ9fXhaLpaioSKfTxcfHP/7446gZvPPOO318fFyzj2OzRVyeF4qllUopj+dFIVMV8jadVoEifFeOi2UwqJUDXUaj2sMjyGjU6PUDDCbP2yeaAncxuKvRG6IvffqTTfuKDv/+ySerBIJVn3zy++GifZs+eXqpazYAAAxnsbGxb7zxBo83Gp6Uc8MNCTeuXBCCYShkiQlLbONEtSnVHhz63P/OTwj3PDNuCJobNe3OaZEYmYoJw+LCfILFOnVbV8PO2xZPjfHzZGIsvkfo2KmzcJrzUcDG1vT0pIcTE2cn3v7i9/vy6lVaHXbKmtn+Hr7h04KsNGptS8ZskWrurHFcDJ3xeCTEThQEB2OnrxnjeEZHzn0BVxqw04cLGvEGBgbmzp27cePGF154wdfX93w952dl6O7XUMrxF2dFcL04GCb2CwwMvxOzMjFU7Lm7Xnv1uZunnH6Mgpm0B5fNCvDzoB3PjP2DUcUJKzYgqbEso3kumHTKUMoXqAxnGJ8gXjp/lgdGJ2OB4Us9/aZgFpWlJ68g57v3H7v17vlTElfcesvLm/fXN5dX/RkgUN0we5LAdU7W1ltekPbhV2/dPuXGxCmJN698b1NyudJuEIVNIW/4NjNtl6RvcAPHnb1wsMEOh7bKn977YP6UJTde/8RXe7Kr+uWtrTpchj+zKJLLQHnRXgWG3+D6vKXbk95e+RDasUVzEx9b//2RUiMnCjOFbHn5vYOtmv4zflMKDPcwYuLqxgGreaAuR+zN9vDzds1yM+7QEqLALCAg4Msvv3znnXcSEhIu+Pg3Hi9i3LjVvr5zr9rocTA+3JVmt9v7+vr+7//+7+OPP77//vs5HA7pbM9b4PJ8RB4hdru1q6tCIPATeQRqtYqGxhyb7cQlOhepr7ehvb2UTucEBIzT6RRotSyW0EMcSqbAMFxuavSG6EyeyOPMXnQP6EUHAIwMOI6Pml50FhNncp1diuiMB6cybCSqzU5QyCQmj0nD/3LTN5WO09nO251JKJjGnQ9hIwib3aZnMek0CoWEkUhkKo3OcK6sJ2dvsz7L8971G75cv/H1B2PCIu2EAztlzSQKmYLTqQ4SZrUZGWSCzqChzaEV02h0MpWKnb5mDGXGGTwMreOfDXM27E2ePHnRokUTJ07k8/koPj/ruen5EHaCwCwYn4EP1mgKhUrF2ZiD7Cz2GVOuf/GVjUnrN3yzfuOPSS/dc8eUQCZGJZE4LIZzU0OZUTj6TzbpwOwWi4NFIjPoJ05fL1gZzkDDyUwGA9URVOVwJoVCwxyEg0w1x917z/MffrAhaf2n321Yn/TdHRPHepBRHWQOVp1BNrs5KmjMqhc2Jn2Esm384cs3n3pu2QQPXuScRz5/eQZHf3j96jXvprZhpqELy89eOAQZU9clH+6lhU54J+njjz5579HZEQF8u9VKkOwYj4mTSYN5aVSc5fq8IQuve/CttWiLqCQ//znpkRtvmZM4cekDH7w2m5H2+Edfbv4lv/3kuFXUUG+uUcwqqZTpKgu8xByOt6ebXi7rDi1hRETEkiVLZs+e7enpieLzC9Z/MhlnsfxiY5+4CqPHwfhwV8fQ0yuuv/766Ojoc8XnCJVK4/F8PL0iOjsqzCadpzhUIPBtbyt13pd+CePG9SvapdJai8UYGjrZajXJZS0UKt3bNxbic3d2LdssAAAA4JJVqLWt8gEUaFgxXV1jRYheGeLl4Zr3d+A4l8EJK+qW9zufVWsx6uVdLY12m80kq+7XWSl+sxYvXLJ4QgjOY2hdS5wBfZPyWAG1ZvrQbtgwXWd3m6FfgTFYYqH3tOKqFqlKY8Ewk6antz6VYNPQJl2Ljg4+Pj5+fn4XPwwtnUG3O0SNjT0qmxHFpVpV/0BfIUY2O4tdyxjj4R23cPGS5c7XtNgoH96lFi6JinEC/anlNm1t6/Ebgf92ZTg3Kk5msT213R7+Y+NnDe5t4uLFUd5RoZOUBlZFQ7vBGSsjHIbYyo4gMcYsmJe4zJlt9uTJoZ4MnOcdt2jGuMmzQgV8mr6kS28ZGoj97IVDmDFZZ7bGZA2NXHZD4oLpkXwTi2zFGVy7g97c0qlBAZkzb2t/XwWGonUOX2AeEPO8wqYO7hh6jRsT7uvvGRqXuHBafFy0QD5g7JWpndsbwvH2ZvL4ymPlFcfMkTwW35vhmgH+SigUBgYGove//0sBCpIFgtjQ0Nu8vGZarZa2tqy2tpzLfl86WiFaLVo52sTg+HC3oY1CfH4lUCiUoKAg1BKeMfrAGUgkMpfnFTpmhsVq6u1roOJ0P79Ys8XQUJ+tULSj6NqV729zOAidrr+5uWBgoFMkCggOmdjbU6fRyPgCfz//K/iAN3DpRm+I3lVTlJeRkppZVFhvsdQXFmWmpmTkFdUMjZsCAABguOhXyUqqC1PSDuxN25tWLZ/E4E8OEbnm/R00jq8oNFHflFZ4ZHda6qHsvKqmPrXN7rDTaT4GGa8mJy09Na2ssV5jOMeD0tE3qVfgdCvhqCjak5J28EBagaS+W6s1YwxesE/Ubfa2/QVH/ziQmrI/KyejcSAs1IPHdV5FD/4umlDIE8TR27IOpaYeSEnLLTjW1ifDyAQq9jlkkqO69Hd04FLQq6C+q/fco5ZROUJbf097ae6RdpXZdu57O50hevjYED1ZXpCFDmjqgbTU2ma1VfC3KsO5UVk0nv8k7+7e0qzMFOfeHjqc3iA3MQOXsKnU7tJf9qWmpDo/gs4WggvGdFbv/DNjvzNbTnlNi0Jr1bRVZ6YeKWzR2XzDA+MZDBuJNBiin71wMAIjMXG6RtpalnUw41BxdYdcb7bSBMFcvgej44/Dh1JQhcwrLmnv68dIFIwTFO2pdXQOfV7nq7K1r6enobXiwKEjRS2OMQEib3/OaZdnc3282ExOX3qRakwkj8+/2F9fwPmcGLbtSoweB+PDuScmUxAYNMnDI0TW14JiaaEowN8vTiqtbWstksla/lFfus1mUav7WloKOzolOM7w9YtBIXtHRzmNxvbxjRV5XJ6B4sEVMnpD9CM/vPvKQyvuWfXue9s0mm3vvbvqnhUPvfLuD0dcswEAYDizWq0qlerSx5hxexQaeynL2NtyeNXzyNvFpMTxE2+MC6DgNDafQSE7ry9HX3UUKs7m4CQymcJk0Bns49cUk2hMGo3OFof4Trz9ccsvR5JeeP7ZDzftaDBHXs9i0nmxc4K0vfpvnn/+9Zefr7L6kVgTmTjltDWT0CSDzaKQBDHX3+dp1RR9tOr5l198/vcevT/uG06nsv24EYkvx6SW73jttWdXvfnDkd+F794zJShMCP1UfwOJhJEZDDpOwz19YmLn/tf/0Pevv/fiqud3HEwfYN/JZ3FQsa94YhKP6jxGz65Cr8+T88t7LOgQMfgcGjrczrVQKBQai42TSSR2UALWVl3047q3szrVVnxwzSQSBacw+Gi+81p1Ek6h0lkMKhk75YA++8zzz/5RaI/iXaAynIJMYzAYbNd4bmgXmDSczqBwGIIJSz54gdN5cM+7zr199fWX9lar5YLZCyKJ6Zov3n521WrnR6jqD146dfJs320vrX3pcZTtox9+P1QvNXQe+fXN59agj/nuwX3HeEumCBgM1rkLh8MhRSTcivVrd61/9rU17x7s9Z6FC7xonnHREaFPev/4/btPvfzsql8P9yrZS/kMOgkLn/7E/4V4D31e5+uXIxWlJSlHtqK/0T68lIExseDw056RKPRikLyCsxQzJoeKxBxXovsZ7i0hCpuvxOhxMD6c20KtCofrGRYxh3A4pNIas1mXMP5GLterubmgtuZQX1+jxWIgCLvrmptzcDgIFJ9r1H3NTcdKS3aj6eCQSXy+T0XFAaVSGhQy1T9gHNqQKzdwS6QTD9AfkpKSsmrVqqKiIj+/S3xc7TWwdu3asLCwu+66yzV9dkqtNGfzlIeTpIo6V8qposV+qzYXPTzbjyt0pQAAwPAjkUi2bNnyxhtvCAQCV5J7kKoN09//E72/cP3E1YmTXKkXj7DozTa7wUqYjSYUJ9HZfC6TgZPtVptZT9B5+GD4hM5W7GYzxmJR7CaLnWwn4UNROmEx2jGKg4rjmM2s7debCStBpVKoDBYZw3lMKmE36Iw6gxHFiiw2k6CiiIhKxewn1+yw2+xWsw1n0ckOq1mv0+tNVpSZxmaSSHQGncqgUVAWg0JrsFvQORWFRmbxxSwqCheH9v6yWJdR8vGhUj8+K/+VW9C7K3VYeWdvyTv7Sn14rLQnb0HvrlR0DkqYTVYqGQXZZDthNSjUeoJwYDQ6FWcwCQqDSyejI60bPEaDC+BsARsdfofdarCQuc6CJmN2dIzMZhKTRSU5rCZ0jEyEncUT09ERQXE5BSfZCKveROahwJxCstrtBDqeTDqZ5LA4M6MD6rydnM0V0ihWk/l8lWFwD4YQFpPVYXdQXFG6zWhxUAgSjUF1fiK9Smu0WG3oDIxMcVYHnILZtCaDVjt4EevgR6DhdpNBqRm69J3K4DCZLCbZrFVqzc5Yk06js7hCBpUwm89bOCSbXm8w6E0OEglnsTASjUuj4lSHyWocUBucQyLQaHScziIodGdBnvy8TkyuiE622s2n7hWTQT3lQ+qqJQWSn34nP/ruilARi3F6jXafOum2LeHfR6Cja5BWVKyTyQqYTG5IyNyoqGWueRervn5vW1uW0ahF8fm4cavh/nO3gkIzm81cUb6npSkHtTLx8TcIhH6S8n3d0mo6jYWC7cjIWRyO+DzPMzeZtN3d1Siql3bX8HieCeOXs5j8jo7y2trMoOBJ8eNvEXuGwePWLhcUNSclJa1bt04k+ifX713IKAzRrTbTQGd2eZvJcrar1Dg0Rsj4OYEiBhXaKgDA8HWFvjMu3eUO0cEIDtGBGyIwTFubvD4ts7WZNGnSbXfdNNmTTz9zuDz3qZNu2xL+IyhK12gaGxp+lMsLcJwWHDx7zJjrqdSLGeHYZjM2Nx9qb8+xWi1DXfQ8XgTE525IOdBZW53W1prPYnKjY+Yz6Fy5olXaXa3VKbgcsdgzROwRzOV50+lsFKvb7dahnnO9bkCt7kU5tRo5ivI8PALHhE83GjUoYh/o72JzvcZPvNXDIxSnwfDYl80VamTOaFRHAxthVckqKqpLSzuMdOG4hctPM3/xwlBviM8BAAAAAM5Ect7U7xUREjd98rTJsxJ8uLS/DmcPLrPLNXocjA83jPAFvqFjZoSETrfZbI2Nef0DHTye15jwGUFB4x0OR19vY0NDTmVlqkSyr7wsRVK+D70qJAdqag51dEiMBrVQ6B8ePj0oeLzZpGtvL+vv7+TyfWPH3uDpGQ7x+bAwCttVu92k6EzfsnnD+x9uTPp2++6UIbk1NVLN0PVdAAAAwD9nM2nkPVWSHp3VNOIHAQCjlPOy/8Dp99/8yJMP3Dk7goOdevE7uKI8L230OBgfbnghk6nePlExcYtDw2ebTPrWlqK+vkY6nR0WNjVszDQv73AcZ6BQXKWSKhRtSmWXSt2j1/ejBVFwHhQ8ISRkklAUoNcN1NVlqdUykUdoZNT8oOBJlHNfHg/cyigM0Tl0btz8ZxZHTY+xtxVkfP78Y489+n/33XL76s8/31vcJJX19ulNdgecXAEAAPhHHDZVf1NRzrafS3r18IvvqEQ4HBaD3mI/z3DxAFyCoUvTL2L0OBgfbjhCUbpQFDhu/E2x8UspVHpT47GS4j+6u6t4XK+xYxdNnXbnlKl3TJ586/gJyydOumXy5NumTP3XjJn3Tpx0s69vtErdW1aWXFi4S62Rh4RNHz/pNvTuWi8YDkbj1UlkOk847/Uvfk4tGnQs68CW58QJqq1bX75rwZQ7Ft6wI1th+MfPOwUAADC6GVtzFfIa9YrXZ/jzPKCjYjTSGg2Vf/xe2dUFJxHgSuHxIsaNW+3rO3eoL725+ZBrxnmhbEP952hBtDhaiWsGcHtUKj0yav6865+ePO0eJktUVXkwMzMpLXVDYcGv7e2lCkWbSiXt7+9QKFq7uirKSvfs3/fhwbRP0R96vSo6duGiG14ZO265QODvWh0YJkblDUQkMpkh8PD09nPy9PZkYBoSptfplPJeZy+6zmQf+c8pAgAAcHk5+PGe4YkL4wQC+l+ewgVGBYIY6kW3w0kEuFLIZJzF8ouNfcLPb77NZm9vz6mv33uevnQ0C2VA2VBmtAhaEMZvH15IJBKOM3h837DwWVNn/Hv2vCei4xbxBf5Go7arq6q+7mhDfXZD/VH0R1trqVY3wGKLg0KmTJp696zrHouLv1EoCqLTOWTy8WdAgmGCsmbNGtefgxoaGvbu3bty5Uoul+tKGj6ys7OFQuHYsWNd0+dgt2h7i77YtTs9+UBWVlbmkSOZhzOLK7ujI2Yuvf3Bm5bOnTZzZoAHHR4XCAAYxqRSaXFx8aJFi5hM9xoYRmu2fpdTh95nhvnOCrtyjw4xWnQt5d/+sP9wRkZOdVO3hR0SxMcxsrI698iBHb/vKSgp7qaHibgMjrmzSZL53c+/5uZktVmFNI5ITFHp2vK+27ozM/Nwndxi4fgHcAhMXvz7nt179x/IzakqlTg8Yr1YNKuyrrW9vLRLXbzr12oDm1CacLOeFxWAm1oO/Jmyd19qem5ti4TwjvFkXdERtfJaevJae7gM/JE5MejdlTqsZDX0ZDX2cOj4/VNj0Lsr1Z0NVNf19JU3NauPbd6FziWOKrUYSxhEp1oUlRVY2Bgx295SV5jy484UVK9ylTSMxQ9im02qhoxKmbJid1HWvuRj9eVKTkgAn0GlkLXtF66E/OF0hu0+ddJtW8JLQSJRGAxPGo1nteq12jaNpgOF3EymEMfP/IxG40BnZ0Fr62GbzTY4PtytHh4T0OKu2WD4IJMpNBqbwxGj4JzL9UIRO1/oJxAGopdIHDr0EnuF+/jG+PqN9fUf6+MXKxaHMlkCtCAK8l1rAVfAFWpkRmEvOmrQuqq3ffzNB2s+/ubnHQeLK2q6DX7zJ8974KGVz7/01n9WPz8tigtjHQIAhjeBQJCQkECjjdrrre2EVS2vltRLSiQl+cUlZXlNSrNN2ZtXXpaZnycpqaisaFUYDXpFb3eLpKJSgrJJSspLC5o6Grs6OhqTs3NKioslJfVtXTKNzqpur96Xl5dXWCApKSvIy09P21Pf16PXyOvyyzN+z6quKytv7hnoaJfK2tp0DsJuU7e3NFSgFRaXFOYWHevUWmD0uJFmoLrk2NFd+3Nq6pw1pzgzPaNQcqzn5LNcCZNSKa0fqld5BTlVrW1Ko9YkL0/deagoP7+quqS48Ej20V21cqPO0H/hSqizudYL/qER3BKeGPLtXKPHwfhwIw+JRMZxhsgjJDh0akzckvETb5sy7d4Tr4mT/xU79oaw8FkoUEfBPPScD2ujMEQ32C1dHblihsNv0o0PPLF+R7LLc/+9Oy7AlQcAAIa3iIiIp556isPhuKZHHQ5DMHnRJ1+8+vm3699/6OZEQX52jcncXPyHQiRc8cZ3v23+bsvqhaEhpMrs2r5a8rz1G5LQ61Zhq73rQGZpV8E22r2vff35lj8/fPbh5aEGbWvWt1+RZ9+65svtyT99s/qNh3p2HK5p6tE6sDotuU/m+59Pv375nrnhgYM/7pJpbN7kVc+sXv/5hqT3HrzpPu3uKoVxwDy4U2AE6ZO0djYxfB5L/vLH5O/eHSPgt/yW00FgmGNwLiNwxozb30zakPTJhqSXwpQ+yspqNYaZbVhmDW3sU3e+m/zdmn8/F7i1qlMv7yq9YCVcETNq/yNfqpHdEqKQ+1yjx8H4cAAMa6MwROeyxHPuOpC+q6jo14+efmji8LueHwAAwAURZo0q972XHluSuOyuJ976Lr+jX2aLDEzMKVfv+HJ7iQplwDBdW0V92qffv3tH4vwp6PXQu1/tyjUQfCxw6aZ3kvblN8jR2a5Vq1B1lRBPzguM8PHEMNwjwHf6zXf3aYR6kwmb4ie+afksIYN+6pepDcNqj7z2yOr5U27+9wOv/pLb2GU2W1zzwIgRNHfWdfffNssDQwefEzIuiuYR0dePwvChEB2F8F15P387f8oKV71qG9BgGJOJ3XnbuLEBoWyMww+JHPdvKs7+O5UQgHM51+hxMD4cAMPaKAzRySQKg+3t4+Xn5yXkcWijsAQAAGCk00vVTWkvt06Ycu+b6z/98NVHb19os9MwPHD+6gfuWHEDNee7R/69Mb21Wab3Gnf90qc3DnVgbvx669P/vmvBpKlT7v/8g5sYPVvWfL1h855qDWEzYzwGFadQMIxEoVLobI6dIDscBEajUFhMBpl88kY/q0XfW/zdbsPUW25cm/TR26+8eOdYNh13HI/bwIhBpdMZHBaD7HxQOJlKwzEKdXCs2cFDrevML2msU/u8lbRmfdLap2+el+DjnIcqCptNo1GpJOfjlKg0DolEImyWC1bC5NqTl9ADcKq/jh5XXb0LvWB8OACGNQhQAQAAjDR2Y7+2u7SHEh0zeeHiWZNjQzzkKBHD2L5T48bOnpMQFuRPqW+Rmx0su8mL4ohIWLI8ccnyxUuWTxkbGejl7RVxw/xJE8ZHi6x2Y4fCxhKFkA7V9feptWglugFVc0k+n2mg4We7vdVsM8oa9+hx/4njly6ePSU6iKGhkOBO9BGov1/V0d1nGIzJ+9vytPYeqp83C3NG7BimUlQp5Q3CwGXLFtywIN6fIaSaBhc6CwZbdMFK2NLYrOvM+6qgrWkA+tTBmVD4LRDEhobe5uU102q1tLZmoRf6Y3B8uNvQLIjPARh2IEQHAIARSKVSSSQSq9Xqmh5lCAqFRKOMk0pacg+m5RYca+uTYQSBqXpLc4syCyVdVlbUZC8une871gNzmKvTd6empKampKWWVTd1y2XNDWmph3Ia1ZxggV+Qh8iTFzgtqrekKudASmrKgYNZh4ql1rEo6mKd9bSXhJHYNGZPfWl+5qHsvKqmPrXNDn3oI5BJJ5fWFxWmpqSnpiQX1SsZzIixAczj51U0Km7TKqtz9mWk5ZbVdyp05w7RveIuWAkF2ICuwxmiNyvPuR5wVqOnJTwxIBwKztHrxKRrNgBgWIEQHQAARqDGxsbPPvtMq9W6pkcZXOjvETc/5uCGXe/89/kdB9MH2HfycQ6pU/LduqRnVz3/4ocffN0akxDsEb9k2fKwG6Pyvnh21Uso/dkfdqYVVlcf3PvsqlfR5Jv76jsdYycnsAKm3fWkoTrz07XPrnp5487NPfNeXxg3zpeHMxkMNvN4oE6l0WgMhoDOCZv9hK7YmfnDTTsazJHXs5j0K/nMNXBt+AvMXEXBzmdXvfLsqvXN06hjbl4RwyOTaCw2jUIJCp3F5jvr1VMvPftzmcaf5B3BoFJIFCafTcOHagOZSsY5LJxM8Z994Uo4PoRMY3uy6VCT/qlR1RKigDwy8kE/v/noBePDATCskRyn3yGXkpKyatWqoqIiP78r97jaK2Xt2rVhYWF33XWXaxoAAEYr1IwnJSWtW7dOJBK5ktyDVG2Y/v6f6P2F6yeuTpzkSr38CAdhMSpUBoKw0ehUnMEkyAwuxaLWGM0WC0Yhk+kcIY9OJZPtRpNRr9YPjefGZHIYDNxuUWoGL2CmMdhsFptJIxGEWaPWmc02O0bGyXSuiItiJYfdZLXZCQqbSXV2ntssFoJAW6GTj2cmUSlUBouM4TwmlXzlYqt1GSUfHyr147PyX7kFvbtSh5V39pa8s6/Uh8dKe/IW9O5KdWdNv+5upTeSEh4ZS0NVx8HgcVhMDg2dU9mMBoyOKhZmHqxXVgyjMxkYhc6kUmk0kkVrprBQfUTzCZvDbjZiLDqFRCYuVAlZONVuUlhpfDrVuW635z510m1bwiuEIKw2mx79QaWy4fp2AK6CK9TIwM+xAAAARh4yicxgefmIffx8RB5iLpvNZ1LINKZQLEIpPt5eXgJnByYJI1GZTK7Yx5mIXkI+h0mnc7g+ft7OSbGAy3QOKkoikxkCodjbmcfL04vPoJJJJIxMZdCHetEHbz8e6kWnnpLZS+wp4rAFHNoVjM/BNUPCcRZfOFRVBBwOjeKsdUO96Kh+uOqVr4+PiC8QcZhMBk4hUwd70YdibDKVhLNZOAnVjQtXQrRGGseLTRsW8Tm4hlBYTqMJ0AvicwCGNWjrAQAAAAD+CVFcdFjE9KFH4QMAAACXFYToAAAAAAD/hCtEZ7gmAQAAgMsHQnQAAAAAAAAAAMAtQIgOAAAAAAAAAAC4BQjRAQAAAAAAAAAAtwAhOgAAjED+/v4rVqxgMt1uOCsSeiHOp0lhZzz1E1wEVIaoEE+UKgDgVG7bEgIAwHlAiA4AACOQn5/fTTfd5J4hOotGpZDJFpvdaLW5UsHFQmWIShKVJypVCNEBOIPbtoQAAHAeEKIDAAC4eshkkg/P+YxoldHcpzW6UsHFQmWIShKVJypVVLauVAAAACMeYbObNH29PVKkXzVghF+9Rw4I0QEAAFw9OIUc4yvgMfBulb5BpnSlgouFyhCVJCpPVKqobF2pAAAARjxtpyLn8xsWzpuCrHrvuYNtrnQw/MHXOQAAgKuHTqXMHOPjwWGg2LKovc9OwO3oFw+VHipDVJKoPFGporJ1zQAAADDCmfqNRK1+3LtrP05KSnpvEXWK4tuUZgy60kcGCNEBAGAEkkqle/bsMRrd7kpyGpU8I8w7xkdgsdtLOmRHm7rNNrtrHvgnULmh0kNliEoSlScqVVS2rnnDjXOsOxJpaARB+M1muHOrIQzdpCW0aaXK6uT8DmO/yZVit2il+euLGxraNa4U96Worm5qzGk/vut/YZFVS9K/f3vQn3nD4RONEGScLfKJmrRoydLlSEJgLF3bosZshGs2GNYgRAcAgBGou7s7OTnZDUN0Kpk8xpM3N9IvWMRpkKu2FdWXd8k1JgsEZn8fKitUYqjcUOmhMkQlicoTlSoqW1eO4QankBlUCgrsdGar3Q4nmMObWw1h6CYtoV2DQvSUY53GgeM7Yjdre/I/KamvHwYBbX91VWNjdvu5ytCq6utolJSUFBeW5O5NL25q6HW7750RisbjCqOj/XCcgqG2U+1hU0aL+Bjc8DQywGEEAABwtS2JC5gT4YuisYz6jqScyvJOuVJvQmf2NoKAXtRzQSWDygeVEiorVGKo3FDpoTJEJYnK05VpeOIycBGbbieITpXOAOP8D3MwhOEgh4OwmlS9eqPJcoHrhOw2k04jlQ4O+aUY0BgtNpvdouvTWUxD/aHE6ZOIgyBMqn55n3MJmaJPb7UPtZt2i0mndCYiSp3WaLRZjHqrs+kYnGk0G3Qmu/M3PsKi0yhlKFdPb5/GZEcNi9VoNqo1ev1Ab++AxmC1WIwGjcK1Ju2Jj4AWtRoHFP2D6ceXNQzgEf6zn0ve/Vvy5pdCRSy1HAYZuZqGDkpDfQ7RURSaMAbDqa4ZYFiDEB0AAMDV5i/k3DVlzIMzo6x2IrOh65WUvP+lFR2s7ehU6iw2dLY5eEYJToHKBJUMKh9USqisUImhckOlh8oQlSQqT1e+4QnFciEeXIudKOuUqQxmVyoYnmAIw0EWs6Yh8/0l21Kzy2SupHPo68z++fMpUwaH/Hr4pQ3pJZ2dipKfb9hSkt2hdc7Xnj6JAmyzRnnkvf/cv8S5xO2P3PBLrcIw+MOWrCx761vOROTNnzelpnZWZeyow4Zm9pWmF+39IVOBme2YtvSHjS/+C+Wat/CGz3MUnVpt86Hc1I8/2/XbSwsWvLQxpaZSkr5/48NDa3rr++yyLucaMAytqDbjuUceH0w/vix3zJiQSRNDMMKOKXr9Q3zE/t5DucFVMXRQkpv0lJA3E2MwDCL0kYF0xplQSkrKqlWrioqK/Pz8XEnDx9q1a8PCwu666y7XNAAAjFaoGU9KSlq3bp1IJHIluRmd2dooU6dVd+2RtLfINVQy2ZPD5DPpTHRSTyI572QFp3JghMNhtNrVRrNcZ7QRRJgn76aE4MVxARFefA4dd2Ubnkra5T8ea/g+py7eT/zW0mlTg73d4C5mcDHshOP9g0V/SpqFbNrzC8fdOiGURbuWIcO1awnNRmVd6suL2+Z+O+m65dNIxU0H1j72m41OwtiD/1kJm0nTkT3hP7/etixxEi7tKKxpG7xlvdnix/AJvSdGvXFj/bQHrp+YEMxoL2/I+HF3xLN3xfvFCp0LO+xWi7ymrEEmV5t0mgFZX2fc7U9NYHXU7izLKVLRbwsJQXFaQGwUuZlkVO2n/evhsRiXhnVm7WxobdFc/8wSY8afTRSdkeRLMxIWfb+EFn33WHNVSk12ScvMVTNY3Ngxlqb9dZIyBefuOOeqWn8op0ylxj/8/ERtyU/PlRvm455jvLn9pr6GzD1xN745f9osP35/U1f5n2+1ht86Y+acMd4eDOdnBFecpV/XUf7DO20e00Ii58WERvh50FxzwFVzhRoZCNEBAGAEcv8QHTFZ7b0aQ36LLL+1r6ZH2Tmgl2mNOjMKP2Gc9zOhgJVMJnPoVC8uM1DEjvUVTg/1nh7m5cNjMZw3Ig5v/TrT/qrON5OLNSbrozPjbkkYE+4pcM0Dw4fZZs9r6fnsSHmTQjUv0vfdm6YEe3Cu7RAJ164ltFmNiuZDW5XBK/yCI320xS3pH79RFO7HxT2Yztl2s7avdJP4rm2LE5fP5EsVdZlbD7fpB5qqTOGi2MQP7gls/uaLrhl3j4kPFnVU5vyS6//E43E+XKHr5w47hvVVb08tbuis7e9WdzZEvfjrEsrBomx9o3XyqpcneWOYs1HoOtrY1XtGiK68buWE0sf/d0SgJcRjvSlWo7Epwzz/nX95DlSo6jqt971x7xgWtWnbrv0nV6XMev3Pbl+Fzw3/CW/++r2t/rf9d+qMyREsja6rdtsLvwsfv3/C7Chxm6T0t9/3TH3g/yaGJAx9QnDFafo7WitS6zr6vOPvjA+P9OC50sFVBSH6hUGIDgAAQ4ZFiH5CQ5+6sru/pkfVMaBTGSyDd6RDkH4aEomEQh0BixYk4sT6CuL9PSK9+a55I0JV98AnGZV/lLWGevBvHT9mWVxooJADfenDBfrvqjVZansHvs2tPtbWE+rBeXBm1GPXxbhmXzvXsCUc6uuWU4OZHAGnv7g795s9/h8uixVFCJ1zLVpp5fdTisckxcTMDLOU7z+8L+Nom8mk6qcmRE27+f1nxuP5H/2mWxYawPI3dv22j/PQC9N9+ENXyxB2q0Zeeyjru/TcRmmLXUWyaSe+lHqjaXOlwUvmf+sr1w1uADlbiK6Y+YB/ypQvcgM6td6DoTQNw+JvfnqpV5fc1qsLfOlf8RimP/r+H92nrKr+150tnBZy0GOBFS99gv3r8bkzJvlznB9hoPL7lzqnPTYmbqyfrKMmrd7jgcQgDnN433UzjNhaa7Lzt35YFf7ARAGH5qwbHBEjeOycIC5j2D7dYziCEP3CIEQHAIAhwytEB0BjspZ2yP+zPbdVoR0j5q+ID7tnchSbjtMoZCqF7Lz3AbgfdAppdxBWO2G02Kqk/T8U1GQ2dNGo5P+bFf3kvNhgD64r37Vz7VpCh9040LP/rRzxwyGREycQ5wzRoz24WkXNU+0zcx+K82XUZfzW1tzOu+WFaWLFoQ37cD+yNNgf+8W6/N0FQiFjKO4yGQda9j37qfWex8bNnBimKmg/8uX+0I3XqX+o7BdIxTe+uNSHOnjdDQrRazukf5Bu++8kKo9qbUnfVdvSoU98MHDfrIKA9XETl10fhh+P5JSVu441t7hCdGPOul/bRVLvFW8keqIMtqqfdrXx22iRq4Kq3lg/cOMjS6ZPDhGS7WaVrODLt/vnPxo5bmI0w2LRGzEOD/2HpcB/1qtDWyfZv+vj55JyMcw1gMeYKd73v3PgnhjvobspwFVxhRoZ+JUFAAAAANcYh06dGCR+a9mkOD9hk0L9/bHqlTsObymoLe9WDOhNdrj1wf04RvQQhpfMYrUbJNIZUd7iKC9X0lkZtQqaQTHLz5tOIWPtTUUy6QGUSsExccK4frm6oqKsVzY7Tkg/EU1jJru5vzcnlG3lcDkGlaJVkpdrNZu5YeOYNWbtzwW1gwOIDWlTareU1eotNkxVIjnalHkAI5Pp3n6zMgs6siqbXaPP/QVX5N+rMBdXNioxjEArqd/f11WE0QV0cdhs8oam9rp6GQoK5caO7N9/DDSonLshry1Ife+91BaNHEZ7vGo4Y2KXP72xqCgXxYhDfvsOxediFgwYNxJALzoAAIxAKpWqvb09NjYWx+HXdDA8EA5Hv96c1dCzr7I9p6lXpjX5cFlCFmOoLx360d3OcBjC8Bq1hKb+phpJSoZ84i3TxgUGCBn27nP2okeGB4vq9/+0NrPNk2abGkU3hE4Ujf2/l64TY5bOPV99X6frDJzz/q3zPOnY8d5pq1Ujrd644evarhadRwCHGh/eaVqw+Y4YEqVk/4GUtJ3dGh6Gkec+ePfcMQnmsk3fbe5Q8myhc4Pt6mhvtu8DLywg1WQkf3qoqLVNwcNpbCzhvmfvjuKUNXQf70Wn6aR5h3/ac2Bvebdz9LEpEWxd2FJh/NIXpxHyY1//tKW2rFNvoDFplJBJN9y9dFlEZKBjoORY1te/Ys99ODdM5A9jxYHRBEXNcKH7BUCIDgAAAAxrSr25ukeZ3yorapO1KrQ9aoPKYDHBo/jcDwoYR/AQhpdE01hXWfV7rmnhfTdFc+RGM0Ons4sMxfXchRFezKHRzu0W53BxUtFyTx8fTm9V2fb0IhS3x48LYQSM53uFzwpmYVj3vid29gYqwx99b654cL0uDqvR0Jz+R1ZjSy/Dw0M8bgIT818Y58PkaqprJfm78wafkBa/cO6kyIl4d33W7sMtmMl3RowPNcaPho+ZPYaDqau355U0lLVhGJWBhS24eW6wSKnWqyy8WXFDQ81p2o9UlWSlVzrXNC5+HD1gLM87cHYQBdM15+zOkrT0KjAOgx2x4J6FUV5MHtWikXa1F1dhMxYGC9GkcykARgkI0S8MQnQAAABgBFAZzFVSpaSrv0WhkWlMerOVgBDdzYz4IQwvnkJSWVvxYxlpRhCPblA7vOK8YiZO93fNvDCr3jTQkV3e1lS/kxpwXcy0h2f//WUBAFcXhOgXBiE6AAAAAAC4pvS9FQdS1z/9UQ6mNt1293P3rnp+Wrhr1t+gbu0r+uWGZ7f0zXvmuXtven768DshB2D0uEIhOgwXBwAAAAAAwOXC8oxZeseGosM56Oz97ddXTghxpf893EDx7P8eSD9S9M79Kyd6uxIBAKMJhOgAADACNTY2fvbZZzqdzjUNAACjzzVqCUkUnMUW+fn4+vn5CQVc2j+7O5tMpTB43mhhIYdLG9139QMwWkGIDgAAI5BKpZJIJBaLxTUNAACjD7SEAIDhCEJ0AAAAAAAAAADALUCIDgAAAAAAAAAAuAUI0QEAAAAAAAAAALcAIToAAAAAAAAAAOAWIEQHAAAAAAAAAADcAoToAAAAAAAAAACAW4AQHQAARiAajSYQCMhkaOQBAKMXtIQAgOEI2iwAABiBYmNj33jjDR6P55oGAIDRB1pCAMBwBCE6AACMQDiOQ98RAGCUg5YQADAcQZsFAAAAAAAAAAC4BQjRAQAAAAAAAAAAtwAhOgAAjEBWq1WlUhEE4ZoGAIDRB1pCAMBwBCE6AACMQDU1Ne+++65Go3FNAwDA6AMtIQBgOIIQHQAARiCLxQJ9RwCAUQ5aQgDAcAQhOgAAAAAAAAAA4BYgRAcAAAAAAAAAANwChOgAAAAAAAAAAIBbgBAdAAAAAAAAAABwCxCiAwAAAAAAAAAAbgFCdAAAAAAAAAAAwC1AiA4AACOQQCBISEig0WiuaQAAGH2gJQQADEcQogMAwAgUERHx1FNPcTgc1zQAAIw+0BICAIYjCNEBAAAAAAAAAAC3ACE6AAAAAAAAAADgFiBEBwAAAAAAAAAA3AKE6AAAMAKpVCqJRGK1Wl3TAAAw+kBLCAAYjiBEBwCAEaixsfGzzz7TarWuaQAAGH2gJQQADEcQogMAAAAAAAAAAG4BQnQAAAAAAAAAAMAtQIgOAAAAAAAAAAC4BQjRAQAAAAAAAAAAtwAhOgAAAAAAAAAA4BYgRAcAAAAAAAAAANwChOgAAAAAAAAAAIBbgBAdAABGIH9//xUrVjCZTNc0AACMPtASAgCGIwjRAQBgBPLz87vpppvgxBQAMJpBSwgAGI4gRAcAAAAAAAAAANwChOgAAAAAAAAAAIBbgBAdAAAAAAAAAABwCxCiAwDACCSVSvfs2WM0Gl3TAAAw+kBLCAAYjiBEBwCAEai7uzs5ORlOTAEAoxm0hACA4QhCdAAAAAAAAAAAwC1AiA4AAAAAAAAAALgFCNEBAAAAAAAAAAC3ACE6AAAAAAAAAADgFiBEBwAAAAAAAAAA3ALJ4XC4/hyUkpLy6KOPHjhwwNvb25U0fCQlJYWFha1YscI1DQAAo5VEItmyZcsbb7whEAhcSQAAMMpASwgAuKJQI7N169Z169aJRCJX0uVwlhD9lltuEYvFFArFlTR8REZG+vr6MplM1zQAAIxWFovFYDDweDwyGa6WAgCMUtASAgCuKNTI0Gi0Kx6i9/X1FRYWuiaGG6FQSKfTXRMAAAAAAAAAAMAVg0L02NhYHMdd05fDmSE6AAAAAAAAAAAArgm47AcAAAAAAAAAAHALEKIDAAAAAAAAAABuAUJ0AAAAAAAAAADALUCIDgAAAAAAAAAAuAUI0QEAAAAAAAAAALcAIToAAAAAAAAAAOAWIEQHAAAAAAAAAADcAoToAAAAAAAAAACAW4AQHQAAAAAAAAAAcAMY9v+uOIzWTNz/BwAAAABJRU5ErkJggg==">
          <a:extLst>
            <a:ext uri="{FF2B5EF4-FFF2-40B4-BE49-F238E27FC236}">
              <a16:creationId xmlns:a16="http://schemas.microsoft.com/office/drawing/2014/main" id="{00000000-0008-0000-0100-000001180000}"/>
            </a:ext>
          </a:extLst>
        </xdr:cNvPr>
        <xdr:cNvSpPr>
          <a:spLocks noChangeAspect="1" noChangeArrowheads="1"/>
        </xdr:cNvSpPr>
      </xdr:nvSpPr>
      <xdr:spPr bwMode="auto">
        <a:xfrm>
          <a:off x="10195560" y="42146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127000</xdr:rowOff>
    </xdr:to>
    <xdr:sp macro="" textlink="">
      <xdr:nvSpPr>
        <xdr:cNvPr id="6146" name="AutoShape 2" descr="data:image/png;base64,iVBORw0KGgoAAAANSUhEUgAABTYAAAKWCAIAAAD881EPAAAAAXNSR0IArs4c6QAAAARnQU1BAACxjwv8YQUAAAAJcEhZcwAADsMAAA7DAcdvqGQAAP+lSURBVHhe7N0HfBNl/wDwy947bdI03Xvvwd57CCoKKuL6I47XvV7Hq7xufUXFhagIArJlyoYC3XuvtGnaJs1q9t75X9qwFJkt8/l+IjbPXS7j7n73/O6eex6E1+uFAAAAAAAAAAAAAAC40ZD+/wMAAAAAAAAAAAAAcEOBFB0AAAAAAAAAAAAAbgogRQcAAAAAAAAAAACAm8IF7kV3u90qlQr+1//8loIe4H8CAAAAAAAAAAAAAMMDiURSqVT4X//zoXCBFF2hUMyYMQP+1//8lhI9wP8EAAAAAAAAAAAAAIYHnU5/55134H/9z4fCX1P0ioqKFStWzJ8/n0gk+otuHdu2bYPz8xkzZvifAwAA3MFMJtOaNWtmzpwJTlwCAHDHApEQAIBhZbfby8vL586dGxMT4y+6Zn9N0ffu3bts2bLKykoej+cvunV89NFHkZGRCxcu9D8HAAC4g1mt1sOHD+fk5NyK8RwAAGBIgEgIAMCwGgwy8L/JA/yl1wZ0FwcAAHB7IhAId911F6iVAgBwJwOREACAYTUYZJBIZFNTU0dHh7/02oAU/cbwQl6v1+PxPdynHx64xDcFAABgqDmdTp1O5/HAQQYAAOAOBSIhAADD5L777oNz9T179gxJkAEp+g0Ap+Iut8PqNJrsaoOtX29Vwv/Cf1udJpfHBWfv/vkAAACGSEtLy/vvv28wGPzPAQAA7jwgEgIAMHymTp2al5c3JEEG9d577/n/HCAQCPbt27d06VIKheIvunUUFhYyGIyhugdgaMGJt9vjNNk1CqOoU1XZJCtokB1tVRa2yE+0KgrblcUdqspOVXmfvs1gV8FzIhEoNAqLRCAgCH4AAABcEzwez2Kx9u7dGxAQAP/hLwUAALiTgEgIAMDwwWAwVCp1SIIMSNGvB7vLojZLOlUVDbJjcHLepijq1tT2m0UaS6/BLtfbZVqrVGuRqMw9Un2H1CCQG4Uas8TusqKQaDQKB//rXxAAAMBVgSum8NFCq9X29vbCTwMDAwfLAQAA7hwgEgIAMKyGKsiAFH1Yed0el8HWL9Y1N8tP1PYdaFMW9psFTkhHwKGYFDqNRGJR6QwyjUokkvB4Ag7j9Bj1tj6FsUthFKotfU6XHYFAYpA4DAoL/+FfKnDH8UCQQVpR3dSh7HPhAphEFGhcAVw5DAYTHx/f0tKiUChwOBy4ggTcTrxup0PZVFXTKNa5UWQWBesvB4C/AJEQGAoet9OobD5Z02DQubFkFhGEHOCMIQkyIEUfLoMt2/VWJZycl3Rvrpbs1Vi6GSR6JCciLSwlIyI1gR8Tw4uK4oRFBIZGccIjB/7gs3gMMhODRtucFpG6UWoQGO1qFBJNwbEwKBzSl6WD1OxO4/V6bHZ96c5XP/phj6CeGD45NwQPtgPgaiUlJQmFwtLS0sTERCwWi/DdTQMAtziPy2WUd+z79J0vfilXETmJI+OY/ikAcEEgEgLXwuMyGuWVe//39Ipf9CpiSMJIPgg5wF9cY5ABKfpwcbkdGoukpHtbUddmpbEzgMrOik7Pi8mC0/JAWgAJR8KgMSgUCon0/YdAIlBIFFxCwpPgOUPZ/BB2MAaF1lt1fXqh3NDp9DiYpGAsmgjP6H8D4E7hsOu7Cj5+4jvKrNyHHv9gfjIDiwINKoBrERYWhkQif/zxx/z8fDwe7y8FgFuXoae/cuvdb/RmPfHG44/MG83HYUCUBC4FRELgqhm6T1ZsffrfkieWvr74kbsS+ThQMQMu4FqCDMLrPa//8L179y5btqyysvJWHEDyo48+ioyMXLhwof/5jeNwWcX6lrLu7S2KUxBkj+CExPFiAmgsODOHU/FLnkeBV4rL7TJYDTKtokPeJVHJ0AhyevD07JDZQdQYDAocSO4odpddKSxtkdCjQ0J4sSyCvxgAroFOp+vp6UlMTMRgMP4iALhlOc06Ta+grhsZkhzND6JTb9b+W7wej8ms1mp6dNo+q1Xn9XrsNiMSiUajcUgUGv6DyQqn03lkSgAOR/a/BhhOIBICV8Vm0fZJ2jq6MPHJMVwuDQ+6jAL+CRxkmpqaysvL586dGxMT4y+9DCBFH3pOt12ia6np218l3oPHIqM4ETFBkVxGIBZ9xTeqWB1WqUbeJhUIpB04FDM/7J403hQ4S0chwbHkihl6TjRVnzzSiociJ84bF5fAw9ukre0ndx3vgmwu/zx+ISNG5EUkYfpbNx2phCCHv5SMJ8VMfGBKXCDBX//zOiGTsGjXyfouuTckNmfGooxACHumlYPbASlrNx2oFIjVA8/htZ8zZVFGciyLalMbe2tX7640WQaXzSKSc+YuzQjUVFSW1wtMzLOLsiukrTXHdxa0mAkoPBKNCQ+JzZ6+KIkDQfDEv30jKhbeZHyL3lNpig4dlzlyfBh74A0AALizuAxWZfuR3493RI7JykoezTSp2go2HO822xIz/JEBPvRbeor/KK83aClJI6fHQ6UbSjrMcpN/AX4BCZFpqbNTEe2r91SZLIOxDEL7Y06ws0YAh6DGwVIfMjcyZtzdU6KIBMzgmegzEcmCSBiRljd2dNi5p5jPTvVHSTgU3rU0I5TCwjsM58dn35LHzp3C7aveV1jvCWJmjVyU7A9vcCSsKz+2r8JOIBGQSCT73Dey9DQXlpeVtSrPLhlyGaWDvwYjc3Z+WkJS4PW4h9RkUmnU3Rp1r9GgMBoVdhv8Q3uQyMEDBrwufJUxj8eDxRKJRAacotMZfHZgFJ3OPz0PANx03A6jomb1wSqTGAkHiry7R4URfXfhqXpOlNSc7O0cqNiEomRdA/ugxP8iCArPiD27/9oUzafqy0tLxQPPYL6Yc2ZRp+s5p4PMeXv3gDO7s/l0pCDFjXtoUhQk3F5RrZEh08bNGx1FhgYCkkEtaKodqNcFjpz3t33/7FR/zQyu1027N4MsrNhz8vyYA3/BExVHqyptBAIJQiL5Cfn5eWOSfJ8Y/j49RafK60tbvYP1ulAKlgANRrN9x7vCM2ZNSEvgcXADizk983m1vr9/I1/EJYVPfGhCPJtH8dU+/+Fn9zs71R+vz6l8+uqtVovwyB8nO7oGYz2WCGXPXZQZCi7/DCur1Xr48GH43+QB/tJLAQ3dhxh8lFWZe+r7DtdLD9lcmozwzMTQuEA6C4O6mqQafhWFQIZTQ4fLKdV1mxx6PIbMJPIImFtv7dxopp7ja/745sP/bqg4IWImZ8REhVC8/R3tp/44XCfrrD9VcPTg/sLaDo3LplMoUcG8MDxVUrL36fe+bOnvN2j1SmF7Ve2J/e2mxKwoHpVNQiPhde2yOkR7v/9g5ep124rkZmfynFF8LAHti5Mem87YW3Vy34ZVf9bWtYtNGoVUouyug3gjozlMq6n51KHdm7/+s00hl2n75X0inUKEiZ6bROzctnnNzxuLpNzRi1IDIJxVKqg/uXP3n+t31usdGmW/uL1a2NWhc3NC+cEUAhqprl93YON7b/1QdkLkjklKiOAHUNFwVbd272Ov/bDXaY2ISgcpOgDcmRwqY9ex7559f509jB0VM4ok7zn+zdPvr/vzoNTB4kVkx4YT4Uilr9/03pqfjx3rosROSoSqthTXixrqqquLDm7dV9Dc7zRoVVo3GRvATg3sOwxHleL2WqXGCoezfo0MG5Uez8OKtx3Z+PF7qzv6HTatqk9YU1Bb19LuTMpKDqLi0b4o6dQYuk+sfPKdn/cdKDZSUSHp4+LpcC3UFyVdBl1fS9Wh3RtW7q9VyMXafoVEpJR3QTFzowO9HnFD9a7d29fvKOk3yeUKhaxLaXFZKRn59IYdH371c61BGpq+KJkFf091Z1X5/t/27T94qter75fLO6obxdpeByU0JJhFQKGM9QVr1/zwyQ9bq+r1YTMSwxgcKtqtah/8NbppuZHRscmcYUzRfV2J2AxaTY+4t1bUVSLprTEblfDXJ5MZdFoQlRpAobBIcE5OYpBIDDyOZLcbTaZ+je8yu9huN3k8bhQKg0ZjQaIO3IRcFrVw72OffL/3txNSFUTPy89gYyEUordh3a8b39uxrok7ekkqz9NaCu+D327Z3mdCmNT9cL0HzSLwY8aFkiC7srOq5PiBvYdPFTdKdAoZrLdd5rahA0flwWmnQzOwd+/Zt/9oh12nlP1170YirGqBqGrn/u2/bShVyWVylULW22+WWGmj8yINpe+u/+XQn430xFljIomQ784XW097wR9f/uu/v5w40YJNDg6PSg0h+fcrh1raVn7qjz2bfznaZtPJlHJ5b7vO4cZETkxClW17/0t/zEliDHzmowfW799/qK7Hq1PKZR1Vlb0au4MSHBLMJKAgc8PGtWt+/viH41X1jrAZuWEMIhVtUwlOHvvm1ffXmahZ2TGxgym6F37XvpPfr9m8Z28HMm389GjawIeEo+bpAFXfa1BpDf2iuubKXZW6wGBeCJdFJaKdDkN31conP/9538YSgwbFHzfWF1WRvqhqNSt6BYeOHdy+5kiLrKNP1S+T9YkVbaW24NEx/AgW0axQth04uu2nTae6mrqUOrmoR9R0pN1GYARwWTQWEVz8Gy5X13scuHViKHnhrM3jEPSXN8mP6+x9kZyYxNAYJpmOvoZR0+AsncvgjIjNCQ+MkBvbmmTHe7VNHq/bPxm4TC5Rb51CUIQmY7GIqpL2zv4+I44VPWHWO3s2bd/z+8cPzxsZwoxKn/rm+t+3797z6WOPjQrztTLEkqGcJ1/88tetW7//6uXJaa7iX389XitSWXxL9Hqc1v7GojqLRUnAqY2G7eUtBofL45vitEgb67d/sPjjPd6Mxf9ZtW3Pnj27d2z4/b9pudEoY+uRfeu/evLnuown/vfNbzvgSTt++/ibF0ICKX+5kcnjEB7+bdVPb+yS6J//9udtO/fs2bzqncRU97b/LPm9UGrSuU+3f3GYoMpVJcXNTb2Ov7QGAIDL5HQ6dTqdx+PbfoHbWkFj+6njZUqb21dDPA2DJUeMeOa3r9bu2frNqy/Oj8eS6dnLVq74dcee7/7933uSaYNJdcK8ea9/8zscs7Zv2vPOrAnRrIErWfAhbuqTX/7+647N379132SypPj7n453m1UD16E8Bo2hpWq7E6smoJVSSV29oN/tG6ACnuLUtjbuXf/Bk7/syXp88be/+aLkjt82fP1CWgAFa2+pWvvdL2/s22948Y2ft22GJ+1Z9/W7S0fjkTjf5zjN64Gc8rKNb/3wc1WF+6n/rt+zY9eePT+9M4XVe+yXjz8/JFfbzm7QVqttx+6DNSKpznnO9x5mcIJtsxklvbUVpevrqrdpVCI2KzQpadKIEQ/m5S9MS5+VkDgxIDAqiBcfFT0yNW1GZta8kaMeysicGxaWDnndrU0HTxV8J+woMhoUbrfTv1BgOIFIeJV6S2TF2/+sNBsc8G55IcGJzCe+XLvlD9/e/OG/3hkT7HVbbL0Hf/v38q92mjQT/wcHlt2+aZtXPX//wlAs6nL2bpe1t3Lt5p//vXy/6a43fv55IFJs/uq9/47C03EXuKHULe/tFgn+QJBRZERnS3trV5/O/1k9DnnZke9Xf/VTTd39//3f5h2+mtnWVR+/dH8IBkKdsyCv2+aUHlz/5hc/VrndT/k/8+q3g1jibb98sv6g1Gk7UzGDJBbb1p2HBCKp5cIhZ+ALNtXVypCRYWPunxAF4f6WKIx/9O2Pf92zefV7b892dfz2ws4TNY1KLxxVHYaWih1Oq4aAU0h1NfW1Co9j4Iu4Hb1dJ9evXvTSJ7vnTFj28zrf77Fn57bfvn0+ND0MjfI6daKikz899PTqqqCpL674zRdyN3/66LyKr1et3/NblWxwIcDwue+++wgEArxSLjPIgBR9KMGZs8YqbVUU6u2KqMCYUfHZVAIZhbzWHxnO8Gkken5MNo/B6zd3tyhOaS1ykKVfmZ7OSkVfS1j4ksX3k0h1DV0ikXwg0b5M5GB2dMzoXA+uQqFR2Yy+IofToagvKdTzc7InZc+k61zr61rNDt8kk1BYfvi7b1tM8z5+ZP6YKVG+xk9IHI4xfkIMVtKx58iOQgT1iS/fnhmRGOC7eoMNCAgcPyEJhzunaQS862qrT+zubIDSQu9f8UACnQgHb0pUyrjMcYlW+9odJySS/tMN8Afs//rIn7tru/3PAODKtLS0vP/++waDwf8cuH2JjhUf+2VHgQqyD/ExhBIcnhiTwvO4ixUqu83uKzJqu1trt7uc986cEZ7NFOkrGupVkNP3vkZh6Z+Hdxe2UJd+/OasMQkBviiJC8AFTYBDobls5Z81DV25s978bWEuizgQGDkBATETxjNxuHOOpy4b1HZ4Q5FCFD5q0uP3TGBDOBQEheVNzI+bjlOc/PRwvXEwVg+wG6HCz3YcriwWXknkvzYmo7KpYV9ZyVqDXhYRmTN23OP5IxZhscTOzpJjR7/7Y8fbO/9490TB6uPHftj/5yd//PHugf2fNjQcMpnU4WFZo8c8mpU1H4vB1dfsqKnaqlQI/AsFhhOIhFetu673lxc3V+ksZ3e6i3HYTT0Fqz851hWZOnnhK0uyGP6EhBKVmZI/NYvhsiEvuXf3HN2zv3ajKG/KWxsfzmGFDEQKSkBA0vgJgTjc368IK/oquwUtJNKSJYtJ4boGaaOoQwcXD1S3dq85UmZExC/58t8TIqg4X82MHBUQkjUh/rzM2WUzth75rFiBi8if8thd/s8cnvdQXlwETlH82ZFW4zm3TTqMpuJPvztcLhT+5e6hQafDl5Ecfdf4M1//AiiM8ISMJWgMSaI2qIwWyKgzt9X/5nImzpiZncVSGaqKmrV2py/fU9TsOXlk407WlGd/e3haXghn4OVoIjHhgYUpoSEck1DSULPjD7r17hVTxqZnBPpCLiF0wj2P4PgtJzpP1Vf7fg1geE2dOjUvL+8yg8y1Zo/AGV6vx+rQ10oOSHQtJDw6ghPCINFRQ9Q4DY1EcWiB0dwoLMbTpa5uUZywuyzec6+CABclERyW9rkJoXePfSBnEdGjaepo6f7rTZcXY1Xp+ySNHWjnlNigIIpvaA2HwS5rLDlpYvPyp06cOjKR6NBtru+06EyQTdnV1VFbbvXMysmJD2L778lEIJB4vF3c2NIjUOAoC/Lzgqh4zMDpWQQKhcLjMecOfO9xQtqm+nJ5F5HDmpSUS8JgfWeEkRheWGR07Cy7tqq4sVtlsPlmZZDJY5YtW8QLaKxuKSxsuoLvBABnhIWFzZ8//5dffuno6PAXAbejCfPnT8sMcItOfnWy02gf2mY3FpW8W9JlRaNnx0bgKSS4RKUTd9fvdjimZ0+Zencmj6JSVZe06e0uD2To6qoX1cpwnntzc7hU9ulQiECh8Rih6JBUpOQQ8rJGxpLI6MHACEdJDB6PPPfSmMth7qzdoFAQgoJSMpMC8aiBS/1oVlhUUmICwajeUNdh1pkHZg2OIt+/dFmeW3ewvOxk59l7YoeTQt7WWL9X2HGKSmGnZ8wODUnVaCTl5VsaGvZLJI0ej4vFCuPzk+MTxicmToqIyA0MiMITaGqVqL3tVHX1zs6OYjKFnZt7XzA/SaMWNdTtEglLXa7zzswCQw5EwqsSP3LkrDmzIvrla3eXSPvUl9HiY6AGVXRUJU2I4eVGJZGxp+s/SAwWiyNgPZexdzfV7O/tUmAJOWNyo5mkgTtr4NcPRIoLdcsskdZKO1sJxIVjF41fFErRiPpaGnpMvuqWpqm+VCrAB1CmJOfRT4cZBAaFxuIxcN1t8OUwk9MiqN+o7icl8NNik7n+z4xmJ8ck8xNI/eqN9QKLc7ASxo+KWrj0kVx35cHympNC1UDZeU6Hr4iAgKzEqDNf/wIsJnlPxyG3yxZAJdKIOJOut6N2l84xI3bqlNlZvBS1qrC0qd/udMJfsKq3tRzrGDEmL4XJIaMH0w/4l8CQSFg02qns6u6sr3JgZ+XmRnOYvvveESgMgZGWdy+d2N/V21wP/xrAMCMQCMnJyZcZZC6yVQBXxuVx6KzKFvlJl9cazOTxWTw06urbt/8FvI/hMLjwwFAOnW12qtuVJUab2u0B7ZovhxuCpMKiTqmFTh0xISshaepYDKavubutR3LJqylOKyTYv3P1io/eX7e92MV/4I1XnsjPCqUS4NVtUms6qov6QoNDE3JzcxNiI0Oc7QcaeqV6q8tiNBk1aiQykkUjY887k+s0anVWkxOLiWLR0BdpXuH1QDaNtt9hwhExfCrtzI6KJ5BJlEiPR63UmOyDzdrxGHx48ozF905FkpWFx3eVtpngTXFgZgC4bHQ6PSsrKzo6urq6uqmpyV8K3HaC0yZOmZWXGyqv2fxDUZdZM3Ce73KJS0u3/fDp8uXLP/58+ZF2gdo6UGq0mmv2r/5sxQcfrCvTuTIffuOVB/P5JCoc+QwyaY/wcB8ma2xSav6ELC6XpxUXVXZqHHCmaTBqLRoHFhnFhEPhOVESDl56Q5/TYidj2QwGfvAGywuDs1y9ptPpwJAJNAb5zDIwRDKNysB4PJ1avcsxmCyQ2YSUSQsemB/vaKkpO7Wz+QI15qGlVnfDGbVc1kKncWPjxuBwZKWyS9RVoVR0UmncyMhcOC1PSp6SkDgxLnZMTOzo+PhxiUkT4cLY2DFBQXEul723t667uxr+pcLDMzmBUUaDvK31iFLR7nBcv1YAdyAQCa8Kgxs/bvzsUfPTmko27K1oliv/HljUvcaDq1d8/AEcP77berioy+C2aJRyj51NIbAIeKNUXrnxf59+CE+Fp/+4vqjF4FKpLrF3a9R9VosNj2EFMnCoi0SKQSphc5e0zUEdNy0rPnvqCDhCibtrWyRmr8drv1B16wKcbjjkCD0OLIPAIFPPdGGBpZLhAqzDI9ToXf47Ushsfsrk+xfP5zpb95UXlvwt5Fidtt7Gve2UiKyUzOTIfxi9oeHIprUrln/wxU+/HlOkzX9+xojkWJZFL+1uPCxxZo6JSM0fk8VNClJLC8vb1Q6Ty2RRWw1qPJIbyCSisNrmE3vWDfyePjtLBEL5BaqmSCSaxorCYJ0mq05rBHfTXA+XH2RAij5kbC6zzNAh1bdT8KRgJp9JZvgnDJ0ACjuYwcNj0WJdi8oidroHa0jARXmckL65usbQqTIanKKGY81iutOmbBALOtuUl4pHXjekF3e3lh7/49iJAjkqdeqi3MhQui9Dt+pk3TUlrQ68RtrW2dHZJnXibM7S483dSsP1XisoHBScN39WTiZW1nbw4PYOq5flBQPzAVeKQCDcddddSCQSPmaAK0i3LVJYwrgxU0Zwg05s3HJS0mNxQKf7Fr40k0LR1VIPVyvq6qslep2/obzT7VSJW+tK/1x7rK5Lzk2f+mB6JBEDR0mrvLO7q6bU7WQomhtaRTK5EafStBZWdRsc1ut9GhGDwfPipz8xMcto6jmx72CbBqJ4hqf+4/V6zGY1nJ/LpE04LAFOvwkEmlhc391T43TaQkJSU1KmpabNiIsfFxaWERQUz2DyGQxeQGAkn58Cp+7JvqkzY2JHkSlsuVwgEBRCXiiYnwxn6WpVV0f7CZ1WAu5LH1YgEl4NWmhU5sgnZ0e6C7YfKu9osTlxvtaG57CZnJLWhroaOH40d0lkpvOuMHkdFmt/Z0Nd7ck9P6z59rvVvxW2GiHXkLYTNXVVt8o7BXYDXdJwvF7sNNjsInF7XZvEDp29f3wIYagEXvqMJ2Zkm+p7ThQfajdAFOhMr+sem9rQU3G8kB6UlZaWFfJP3fpqJML2xuqWbpOFc/eDT785Mzc2DCtX9ogKytw2hlzU0CKQyTVYlaOlqKrLoLGcH1XtWllPR2XxseM7vv/4w//+UdLeA+7euGlcZpABKfpQ8Zrsmk5VpdVlZFIoDBJ1qJq4nwuDxjApdBqRoLH0yQwCm3OwDR9wEV6v02ZrqDimMwpEVcL1Hzz74r//txeSqIRiWWt95+m+Qv6Jv7u4jz98Iiuu68hXz32+o1ktt3kgt1Et7ywtLXdg209u+uzjtz7+bNNJEcrh2lnZ3a1RelEIJNrrhTcJp+v8DiGQSDQSiYIL4UkXvU8BAaGwWBwS7XF7LE64Ouaf1e12uVwmCMLhsfCCzt17+Rn35yfF0k31Px7rdMS4kDR/OQBckfvuuw/+d9u2bYNPgdsPPiwpOWPCAgL24N7ydqPGdvlD7ZzpLm7Lhj2P5ubyBi/9+LuL+/iNyVn2Q0d+ON2Tk8chE1V3thbZXdCpn/69/OUPVh6tqnUYnGVFtb1WrQOJgqOhy+M1OeBQeE6UhOuwKCQWgYRcHrvDcV6fdn/la8CJJSOQXpfbOdhT5wCP2+V0OrwIBBmLQZy9tIbEQYz8MXMjsrBC69GyUj3b4RmW+o/vAnh3lUhYDHndoWHpVEpAXe2enu4aAp6Skjpj1OglHE4MxncG4x9RKAEJCRPz8x+Ac3i1ure55ZjLaY+OGRkYGNnRXiDprTWbNf5ZgWEDIuGVIgfEJk14Zkpgd3F1c7lehYnyl/ud013c9288tiCZgkD6GpoirC63w41gRUfMfPe3Tdu/fy13Sopv9svZuwdGOoDcHofd4blolg2HGFtn0zGpVNAvEe79/NkXnv3fb12SLqXY39cahEIjECj7+dWtC0D6P5TH4Xa4zvlQLhdc4EEOfKizdywicARa/ty7IqKxXbIjZU16OnQ65Hjt/ZLeU/u3ITIZkWHhgf94RWWwu7iBiLt2SQ6TR/Y4pT1dnW077S5s4c+rl7/y9tdH99U5Ec6K4kZpv96JQCNRKDdksztcXg9v9KJ/fbDj1xUrl2XTyb4r/ki0b2wI3PlVU7gi6vSNHIFAw3XOwVsFgOvlkkEGrI+h4fK4zHatytyLQqB5TC6DPFwZEpVAZVHZbo+zV9tocmi8/9B3JnCaw26VFOxcq+yjTXzgo9VHKivLiyoPfPZ0bjzULa1q7NDC0dU/50WEZ9w1a8rzOUbbyc+O1LfJjZCyva26/LMauvG+FSt2HK+srDy+Y8WKxWY6aV1HT7fOyqay+Gana11ta7f2vJ5TKMxgAoXVrTX8Vttqvkj/60gMxE5LzaVFaPoMBztb4Q1ssFwp7e7p2ILDpo9Mj2D7ruafRc8aNXfKPWNwxp8/++yQsW3YG3ICAHCL4oSkj1v48Xxi47cb1rcdr/aXXqPwqc/Nyrwrp+10T0666vpTnSeq4ll3f7bxeFFJZeXJzR8tf4hndxYWNStUCDKbROH3nNPLph9cJ+Gw0nAU6Ny+5S4MjSUlZDxMZehF8paGrjPLMPZ1t3Q06jHoh9PiSXSqv3TQwIdMjWzb+9mn64zGoT/H7fG4LRZdS+N+yOuBk2pOYFRz8xE4zQ4Ly8zInBsRke2f7zJQqYHp6bOzsuc77Oa29pNabV9a2mwajdMhgLP0Gv9MAHDzwAWQI6c98+bEaNHB41uPb6j3F18YDo8O4EajUOQDHYoq6d97usVgSAmZl9i7oyJSKFTo3P7SLsxth1QFBbuVDZqJec+uPgxXA+E6249PPzRp4LUtejstMBiHZ1WfX926AAocctIXo+lnu5oboOsQNUobdHT04vQEEnag07pBaAhKmPz8/RmpxrbdGz5bD50OORadSlRXVeXIzY6JZgf/Qyv3CzEKG0/WnKyksO567bdj+4t9UXXduw9l2x1VJXUiFQodCdcxVY6TRXV9dt1Ah53nInAjIiJT052uLedUTV0Oc2vtbwYtLYKbmBp5zmcHbgIgRR8abo/D4jQY7SoyjkrGkTHoc+6tG1JEHJFJYhGxJIWxy2hTuzygwdtFDXZJclyrYieGZ6VlxfJ4waG8hNF5ecwQp0hV2dCkgS4S2E9DY0OTk0blL03Subftrm3qq+6oErUecniw83NzU2OieTxedExqbt7dWKz7iKC71sFLGjHurel65O7/bD5YVtTjuyvL43Doy0p7SClZk1IXRzbLf3tn5fHezoFeVZxqtbqsVOBwnO2pA4GEkAGZ46ZHx7ibO//4z+5OvRU+aph6mkvqilrduAV3jQvlB5w3/BCExNITMjKzR8w36h1Wz0XqtQBwcWPHjl2wYIH/CXAbQqGZIZxRM57KtnOwzsGu168dmpCYPGFU/myCrv+33SVSQU1Vc29XN4mZP2Z0YkhoKI8XkZSWkpic4jBVljb2aOkx0yaPWxypl6/7z7fHyzrVvijpUDuUFaUd5ODx94/NDEJVHFzx/N5anXUgMKrUalFpmd5xzrhACDQBkzjr7jx2UE9JwcY/SzWQb2JfTWFl21ETe8RTs9IZBOr5N6gOfMi8nNmher3Jc/ELb1fFYtH2dFcajcpgfjIOR+rpqe3ra+HzkyOjctnsCDT68m8qgJBIFIFAhXP70NA0p9PW21vncFiiY0YhIIRC0a5SdfnnA4YNiIRXCIUiMvnT5s+k0WLNNtPFezZEUAj09LvfuZ8f0Xqw5shPhX/rwxFDwCRcYu/mp981eVz2GEz50RXPbq/TSgcihUmtFpSVqh3+bihgHpdd31pUqVA5eOE5uQPVQLjOlpmXERLCVqsKy9r7XRGjHpuTOs7d3Lj5ne9Ke00Dr7X0qGVNpULonIspSDSekTjjqVymWVResPFQk37gGo+kdmtlu8jMzH1qRiIDf+6VaDj6YAgJo8bnRcwON+lNkD/kqDo76it/roamzRifHBJIOj9GXYyhq6uhp76biB0xbkRKaAwcVSOTY9OSR6U5vOUlHV0OfPLk8TPGxGsKVm04Wds7EFTPgaBE8VMz75qud+/+z4myJt/t8Q61VVK653e1NHJk9KjUTCZICa+rrVu3wv9eJMig3nvvPf+fAwQCwb59+5YuXUqh3HpnUwoLCxkMRnJysv/5deRwWfv0bfXSw2Q8OYYXySDREH/vTnJoIEw2U7cSDmeomIBcFikEjTzTZwXwVy69WFG3e+WGKmHC9LGT8mfFs9DwekEToP7q5rbONi2WkzsxMxDjkRQVljc06qix4+6eEk0c6IPdoBE01W4vqoycOGt8fEJoANFtxCnK/jzRraaxLK018lM1jdaUe59YkhtGpePgOq8HibA3bi7sVIeHJiSPHhUdz8ZTNJ31HfLGutrWqqITBSXHD2jQaSkx8UFxJDdG3lZQLxU1lteUFRYcrSsrs7PHx1OU5ZXlDR1mZvaMBzIC0XQaDUf2us2StuPVio7q4qKCQ9W9fei4GfMWzp0aEURCW3pONtVUF3XFTnxwSnwggU4i4BEImr73UJfS4kzKHJ81cnzYP93jBAD/BA7+LBbL/wS4RbmM1v62o78XdESOyc5KHs00q9pPbDguihqzICs5LoyBRuJJQRi5qFEuVeBpkWlj54+JJkEYJORQNrfVl++t1UZMXDwhns2joiHI5jD21v60u8pkVevF4paq4pOlJ0/asTwawlTRcTYE0QKIJqOuq+xwSbc+gNB/vKG1qQ8dPvm+JyaE4whoBBID2XVyRUVBmSQwJS8jKSWSzyfiUbLOE/Xy7sbamrKigqMlZWUa9sTEaH4IF4cxKkV/FnZYBTWlRcUnj5Y1S2SYuAyOtGJfYYM3iJk9clFKIISnMslEnE2i6iktbhY1lpwsPPJns57GGXHPg/eOTg/E4ew9zYXl5R1mffb0pZkcCo6Ap2AglEHRUiHWQ0H58/PTEpI5Q3MM9XjcGnVPa/NBFBIRFT3CZjX29tbCB5zklOkcTgycsfvnu2xwLQKLJWBxJJNJpVb1wMl5eHiWTi81m9RoNJbDjffPBwwPEAkvye0wKmt/OlhFJ8Xk541JDicj0WQGTSfrVsjrZGgiJfuupRmhKJkQ3gfLWiUWvUMI782nTrYoxQ5abAQvICQQSzYZ+nq6SqtFrZUnYSdOVKg4pIQJ989J59KoAZSL7d1EMoNKoTHQBlPXn2Ud1raa0orik8fLm8vk2OT0KEfH9opqjRyZNGJ6jOvYyj9KhaiYsZOnzcrjoeEaHgoL6bubuxvbGlTc0VNHxkRymGyv29jbdqRSKmksLy4sPH6orlNu5+bHEzvL95wajDkPpAbiKUFkstcuEfeWljeL6otPnjy6X6inZoxYMP/eUbGBBISj11efHKjILcoIhHAEEhllHgg5MgMUkT9vQiS2sfPU4U0VCY+8+qCvAgmH2PO5jdLzwvXppkC2rmMH9xfsFqKgSfc9PyE8gIBGIjEIh86lKN9X0kdOGZWUmpwawaYRTJLjVX3dDZVwUD1x4lRZc7UgZtx9c/Mzo/l0IouNJ2k6W0XK2qqaupKjhcWlbcjROfPmzRkdn8i6gnOIwLWwWq379+93Op1wxpqQkOAv/RuQog8Nu8si0bXU9R1gUwOjuOHUwZFch4fBauru7/V6ETEB+QHkUAwK7FT/yG3RGWQdtSZK0KjJk7LiMwKJA+c1sXikzeCB3LTAsMT8jCAsyqJQmiAUOzYjf0x2MA7rGwDIadcbDUo7lDV2YnZ4GJMCZ794nEdi9SLZQWwbmo3kU5InT52TG8XCElEQhEYi8FiKUIPBxcamxyTkJoSH5WfyIalY1tfTK5PJ5AqtypmcPiY2KSklOiQhKdDR0iRUyaXwJIXGa8WljZkWxXapdCYIGxiXO3JcNAPCkAPDI/gJdKSjqqpNKZfI+g201ISp9730eCYPBx9fIKdJZjR77eSMsdOyw+nwx4CPWBRONF2kR4WGZ48cn5KWEnh+M08AAO4MHqfbbpJJLIT00Xkp0UkMyG7WiM20jDHTUqKCA4lIFArP5nPdGohIC4nMzsofnRRMgODI57HpDCarDsHJHDc9N5zG9EU3t8dp1XaqnTSUy2Xoh2OWTC2TcaNzwzg0k/ucEETBIxFupKff5UVQOQF2PD0gLD5vwsTJMQwEnPxDaBwC4cFBGps7LDk/PSIyMio0JD8xAGptlqnkviip0GhtuOSx02L5QVGJYREhJFJvY4ta6XtDmcaOZoTljc4IdGhkJoifEJeRNi6MBgdzemhaWJCb4GyvrJEp5DKZ3h098q4Fix6cEon1DeXmMun6TVZcADdn5KwYBgGDRJEYJDI5CKlx0ONSRk3LiQ8L/Xsd+ao47Ba5rKWzvSAsLIPJ5CuVnWp1b2hoepyvR/crzs/PIJEYLpdDq5VoNOLIiFynw6rV9Tmd9tDQLCQSPWwXAwDg0rwep03T2e9OiEzPSU8NDcTB+zklkE+y4AgONCcpOXfSrGguxmaB90Gzk4wyqZXwLiqT2UnYgPD8pCAshZ8az+NZtYbmpsaB/VzvZlMTJoyYPG52OoeAwDIuvndDaHJgVHBESDixt6lVrRhYQr8d5Q3Ln5QejDOLDHY2JSQ9Jy/E21WrRwUl5EwamZMROlgrwuCRHgPS64ZQYWljM4K5/MRofgIb7WhpFPYrfDWzfoOXFJQ2ckwU2aiSGk/HHAaEY4emRfJcRmdbUxVctfN9qDEj592z8MHsSJwvhLqNcrg+ebYih0STaTQyiQ5pEYy4zJHjo5C9x+tLWmXsZU88mhRGw/z9BKHXaTk/XPvLbYp2odqsC4hNHjdxfiyT5IuqvrvoB6um/NSRidFxSfFh8ZlhjNpqYb9M6IupJiOCFxF135x7MpMjKTQiizlQNRUKxV3CLl/IdZKTHn7jsYlJmUGn3wYYZjqdrr6+vrGxccKECRfJz2EIr/e8tl579+5dtmxZZWUlj8fzF906Pvroo8jIyIULF/qfX0dGu7pKvGdL7X/ig1LHJuUHMQL8E4YavL56VZJjTSd1RuPdqW+n8qaQsHT/NAAAgCtntVrdbjeZfAW3xAEA8BcadU9767H21sPjxv+fxaLrElZ4PK4RIx9ksULhXNo/01UxmdTCztKamj0ZGbOJREZ3d7XVZh49bhmTFXaNSwbOBSIhMOw0pXu+WbO31ER74du3xzPoeNC2/M4CB5nq6uqdO3e+8847dPol0jewcQwd/7kO+H9Df4fbuZC+M+cou9vm9oAbjgEAuFaHDx9es2aN/wkAAFfFaFBotb1YLJHNCtPr5Dabic4Ivvb8HEYiMRhMPg5HVCg7iSQGhRLgsJvVKpHH/c89WwFXDkRCYNjRs6a8+Omn6335OdXX6AC4s8BBpry8HM7PqdRLN3IF28fQQPjuGhv8MREDj+HiGyDB7bQ57VQcG4cmIM+O7wAAAHDFtm7darVaZ8yY4X8OAMBVsTvMLqeVQmE7XXaDQYFGY1jMkCG5yg3XLvB4Co0epNX0QV4vnLEjkEiFvM3tASn6kAGRELgekFgClckMYNHxyLNDQgJ3hsEgM3fuXDqdfv64yRcGEryhAR9BcWgiBce2OmxOl8MzbGOheTwet9vt8ngwKDwahT1nCEYAAIArAB8qdu/eDYeU5OTkmJgYfykAAFfFZtU77GY6PchuN9nsJjyBCv/tn3bNMBg8jcqx2Yxw/o9CY9EojNWiA6OuDgkQCQEAGFZXF2RAgjc0UEg0EUOlE7gGq97qsMCrwT9hqLk9brvT7nQ50UgsBolHIcB9aAAAXDGdTlddXd3Z2ZmVlXVDutgEgNuM3W52Oq0kEtPptHs8bhyWSCDS/NOuGZyiU6iBHq8Hzv8hrxeNxrjcDvgP/2TgaoFICADAsLrqIANS9KGBQmDwGAoBSzM5DGb4OD1sd4jZnDatWauzaKj4QCKWhkIO1wDsAADcrqxWa1NT086dOx9//HFw1QgAbn5oNJZCYSERKKtF7/G4UGiczWr4S3e/wJUCkRAAgGF1LUEGpOhDA43CUnBsLjnS43GrjRqTzeSfMNS0Jp1cJ0cjsRHMDCqODR+w/RMAAAAuzxV1WAIAwE0FiUIjkUinw+od5r5pb3sgEgIAMKyuJciAFH1oICAEBc+MZGehEJg+jUJl0A7H7eguj0tn0evNJgqeFUJPImDBQQUAgCuWk5Nz+R2WAABww7lcDqNR7fG6sTiix+N2Om1kCht0RnONQCQEAGD4XGn/cH8BotKQwaFJQdQY+KEzG6Va6XBcSNeatFKtzOpw8mnxgeQwLIrgnwAAAHDZeDweaNUJAEMLg8Gj0DirzQj/gUSi3HAe7bT5p10zOEU3mzVejweHI6OQaI/bjcEQEAjQJfQ1AZEQAIDhcHX9w/0FSNGHDBqJpeE5idxxKAQOTqSlGsXQjlvu8rgkaqlcq8AgKfGBo6n4ADS4ER0AAAAAbgJ4PBWLIxmN/Xg8GYsl2h0Ws0njn3bNXC67yaTGDSzZ4/W43E4MlogYzhFeAQAAgKswVJ1QghR9yCARKDKOkRo0iUOO1BqMHTKRyWYequbucLavM+u7lD1mmyOYFp/Mm4jHUkAjNwAALofVajWZhquDDAAAYHgCFY+jmIwqDAZPIjLsdrNa0zsk46LBC7HZTHqdPCAgHIlEG40qu81EpwcjkKAzmisDIiEAAMPqWvqH+wuQ4w0lFALNoUbFBOTj0fTu/q7m3k6rw3btfa7Ceb7JZioXVHYru2g4XgJnNJPAAx3FAQBwmQ4fPrxmzRr/EwAAhgGJxCRR2GazVqeTU6gBcEm/UmSx6K89Sx/Mz00mNYPBt9kMFrMWT6Byg+JRKNCS7sqASAgAwLAawk4oQYo+lBAIJB5NSg6akBQ0Ho2g1PVUt4oFeovRcw1Zusfj0Zq0jb3NArmAhuMnBU2MCchDI3GghRsAAJdjsMOSGTNm+J8DADAMKBQOkxnmctml0hY6PYhB5xmMSlFXhcvl8M9xtfqVXWJxPQaLDw5OhhN1o1FFIDBY7CgkEu2fA7gMIBICADCsrrF/uL8AKfoQQyJQHEpkStCkWPYoo9Va31PfLu1QGzUuz9WMlO50O+U6RZO4pVncioIoidwJiZwxLCIfdBIDAMAlwYeKa++wBACAy4HFkWj0YCotSCxu8Hq9LHYYHkfu6qrUqMXX0m+cwaCUyVqNxn5eUDwGg1Orez1eLzsgEocng5rAZQKREACAYTUcQQak6EMPhyaGMVIy+TNi2SN0ZluLuL1F0i7TKCx2y+Xfmu72eOD5+9RSOD9vkQhsdkQSd2Iab2owLR6DwvtnAgAA+AdD1WEJAACXA4lEUSiBoWHZep0cTsvJJCaXG6vTybpEFXq93O12+ue7bHCeb7ebxb11/f0iApEWEZkD5+dajYRMCeDxU/wzAZcCIiEAAMNqmIIMSNGHBR5DiWLnzEp6ISVoot5iqxbWlgkqu/t7jFaT3elwe9wXvEEdLoLL4ak2h01v0XcpRSXtFQ09zS4nJpU3ZUL0klBGCg5N8s8NAADwzzo6On799ddHH30UXDUCgOuDRGZHxYyBU2iJpNFqMwbxEmk0jqD9lFjcaDSqPFfSmM7r9TgcFrm8vV1QZLOb+PwUFiu0W1TlcjkDA2M53Hj/fMClgEgIAMCwGqYgA1L04YJFE3jUmCmxS0eE3UPD8Trknfuq9x+uO9HY26TQKaxO61+avsP5ucvtsjisEo20uqvuYO2xP2sOdPd3c8jxE6IfmRTzOIccgUHh/HMDAAAAAHAzQaMxFConMnq03W6ViBvcbmd+/gNYLKm56TD8UKvF/vkug8Wi7xKWFxf9ZrMaIyPyAgIiamv2yuWC0PDckLBMFArrnw8AAAC4HaHee+89/58DBALBvn37li5dSqFQ/EW3jsLCQgaDcZM0ZEJACCQSRcCQGQReADmcgmPbnFaZvlumk0o0MrFK2qeWy7X9Ek2fWC0Rq6W9/ZIOmbCxt7lV0tKrEhutlgBSTEbwjJyQObGBI5gkHnxIBl3EAQBwmUgkUnx8PJ/PR6HA6A8AcH34jvsUSoDNZtRqJWaTik7n8YITrVa9St2t1YgdDiseT0ajcRfpSWjg4jlcFyvs7CyDl5aQMIHFDlWruru6ytkB0bEJE9kBkaAv98sHIiEAAMNKKpVWVVVNnTqVQCD4i4YC4i8trvfu3bts2bLKykoej+cvunV89NFHkZGRCxcu9D+/Obg9LqvToDKLezT1PdrGfnO3xaF3e+1er9MN2bwDzdt9ncFDSCyK7HJ7MUg8Hc/lUqODaXF8ehKLxCdgKP80xJpD2dyv0UpoozMCIUPrphI1ycwauSiZ7Z9s6JGqdVX26ClRRHN7sRbLwPKTwoi+KbaeolPl9aWtqoH5oNQpizJjaBibtqqPOiWTQ8Ci4NcKmmo2HWkYnAEKz4jNOmfJAAAAAABciLSvqa3lsELeGsAOj44ZBafocNatUffCh3q4hMUKpdK4RCIdg8GjUGiP7943j9vtghN7i1kLH9I1aonFosViiWFhGXgCVauRKBQdLrcnJW0Oj59CIND9bwMAAADcaHDWvGrVqs8//5zJZPqLhgK4ij7skAgkFk2g4NkcSmQwPZ5F5NOJQRQcG4emIiGsoFXsseO4rHAihh1EiefTEqPZucm8CWnBU0MZKQxiEA5NRCD+8XS7taugq7O+DDkmNQBSnPp+b011rZ2UHpZAwcLvC0H9De1Cwe99oeMjif1FvwsNTgs3ORRrM3QXFNeVF5Q3NTQKZQPoMbmhDIdW1vF7OXJ8agDBqRBUVu8/ULy/vkktk8llsi69Wul1k+ghwRQs2rdoAAAAAAAugEhiIBAoON9W9Xc5HBY6PYhG46AxOKtFp1b36vUyo7EffhgMCp1Oplb1wNm7ql8kk7bJZO39/V1uj4vJCg0NTWMy+ZK+xj5JEwKJiUuYGBE1Cocj+98DAAAAuAkM01V0cC/6dYJCoIlYWhA1Jitk9qSYx2YlPn9P2luLcz43VUYwFeMezv58cfZnc5NfmZnwr/HRS1KCJjGJwXgM+Z8unv+DMekobbxx845Ks8HxT33Hu50mef2O577qoLDv+WDPaS/Nz006e4Hc4xAe3rKt+aB43Ld79uwcmGHdI2E56rXP7aiXm5zu8xpeAAAAAABwFgqFCQvPzsxeEBySJpY0NjYeNBn7IyNzR4x8KDZuDA5P7ld2tbWeqK/bV131R13d3vr6/c3NR8XiBpfLERycnJExNzV1JonEaGg8IOqqRGNIsfETEpKmYzBgPBcAAIA7AkjRbwA0CkfCMugELosU4jLg0A5aADmcTeLTCRw4jUdffTcwfRR+KtYytu3FzY06i9FfeD57v1VRtaPr+f8bNe2hTI6/8Dxwaq+tPrGbHum6//nJCfCnHSjlZD40bdT/Pd+1o0ph7bcPFAEAAAAAcCEoFJrFjszKXZSUMsvhtNfU7CkqWiuTtQUFxY8e/cjUaS9MnPTUmLGPjRj54Ogxj44d99jEicumz3hp8pRn4RzeYtFVVGw5evQ7aV9rSHhudt4D0bHj/csFAAAA7gAgRb8BEBACgUAiESgUAg15fXeho5BoJAJ+oODya+gTzoWgxISnJ86cU//JkdYmqclffA6noV/bWWlKzAwK4rCxF7xE74YghbI2jepITUogYHyf1geFZdMZ+PDAU3KN3eIYKAIA4CbW0dGxcuVKk+kCcQAAgOEHH+PRRCIzLn5i/shH4hOnIBDo1pbjFRVbK8q3tLcXqtW9Vqve4bDA/8I5uVYn7RJWlJX+Dj8aGw/ptLLgkLQRY/4vKXlmQGA0uH5+1UAkBADgVgRS9NsLmsKIjM69KzW4qVAuUSj+drnb47Q7DP1eNg2Dww5eHv8bLwRZ7ZogjItFPe+WNzQK7caTlDaH2w1n8QAA3Nx0Ol19fb3DAc6oAcANg0SiqLQgfmhmXMKUhKTpoRH5RBLbYjUqlUJxbwOck3eLqkRdlfAfPd21CkWn3qBCIDEcbkJc4pTE5BkRkflMVigWO9DLK3BVQCQEAOBWBFL02w2aEhSYOPVxjlLXJRFIjE5/sR8ShUbjKf1Wm/0f82wEBBFwTBuEt9vPO6K53C6UzRyIx4KBSwAAAADgcmEweHZAZFzCpKyc+1PS74qKGcsNSiRTOB4v9uSpco3OisVR4dSdzYmNjB4NZ+bpmfekpM0N5qfByflF+osFAAAAblcg9N9+MFhi4IgHx5pFvYIqgdLm8hcPwOCpJE60UN4l0+utzoFu37xeyGm2OlwOf84O59+cwAyji9ov7rXCGf5g33Buh0qntXUrx3KZOOJV3ywPAAAAAHckONnG4cg8XnJy6uwRo5+YNO3VvFH/2rJDxObMmDHn3Skz3hg1Zml65t0RUSPpDD4Y+RwAAOBOBlL02xEKB7En3JMtg4yVO05I/IWDqFxKdN5rfW+WFhYeEVp8JS4L1Lb5aJO4Vjkwg2+TYGSNj+xtFH//36Ot8PSBUkXNhkPFP30deU82hxCAGygCAAAAAAAAAAAAhhRI0W9LCAiFD8ycGhtKD7U1+8sGIfB4Ruz0J/+bbT545KMFc2EPPD73GNmNI0Yz/LPAWwU2avx998ZNDT757Ny5830zzX17h8oY88LKe9K4ZAwKDIsOAAAAAAAAAAAwDECKfmvDcpKD48bkB0E4FMROGhMTlxx+ulsZDCs+Nm/erBmz5sSTCGjE6alIFIbGTZ05cuSEMfl5WbDMrKyk9EQulUUL5PHj5+QHEeBlkXmx2Rkz54yalJWV45sJ/t/E0ZnjpkTS8GiwzQAAAAAAAAAAAAwLkG7d2rCBScHxo/OCICycoiePjolNCjvb8yuekzR1xIzFc+EUHYM4ZyoCgkhhoxbf9/S7Pv9+9d0pcbEsAoTj8ELi5+bzCIODsVHDYkfOH5jD55n7po4OA4O+AAAAAMANZVMrhLV7B9UKBWqrvxwAAAC4XYAUHQAA4DaExWLpdDoSCYI8ANxOPE5lW9WfPy0b8MR3m7c29FrP6xYWOA+IhAAA3IpAzAIAALgNJSYmvvPOO1Qq1f8cAIDbgVFopJMSH6scsG1Mbahiz9Ee/zTg70AkBADgVgRSdAAAgNsQBoMB144A4LZD5IWGpWTE8wbEBkXSiUxwFf0iQCQEAOBWBGIWAAAAAADALQFDpZBZLDIEuSFI2lfDcymDOCz/NAAAAOD2AFJ0AAAAAACAW4jTZVOKjpS0d3GxuLAotr8UAAAAuD2AFB0AAOA25HQ6dTqdx+PxPwcA4PbgdTot/fL2ugOvnvJMSoiel8T3TwAuAERCAABuRSBFBwAAuA21tLS8//77BoPB/xwAgNuDSdiy9/hnS0QR616bOCcxiuwvBi4IREIAAG5FIEUHAAC4DTkcDnDtCABuO5LmalmXjHn35zOy4rgBRAwG4Z8AXBCIhAAA3IpAig4AAAAAAHArsCh6aktO/Lltf8lv33364UfLly9ft2dTk8o/FQAAALgtILxer//PAXv37l22bFllZSWPx/MX3To++uijyMjIhQsX+p/fCubOnZuVlfXuu+/6nwPAdWGyO9Vmu9pkM9gcNqfb7Tk/EAA3AgKCUEgEHoOi4rEsMp5FwpFxGP+0KweH8VWrVn3++edMJtNfBADAzUQqlebk5MD76Zw5c/xFl2RoKtq2d8/u0jb/cwhKmZIzff47Y8AN6RcGIiEAAMNqmIIMSNFvMJCiA9cTvLe73B6Lw9Ui0xZ1yos75a1yndxgtTpcIEm/4ZAIBAGL5lIJCVz6qGju6GhuYhCDiEWj4cTdP8sVABVTALjJXU2KDlwhEAkBABhWwxRkQEN3ALiDwPm5sN/w2aH657eUfHKw7lhbX4/aBGfsID+/GcBrAV4X8BqB1wu8duB1BK8peH3Ba80/BwAAAAAAAHC7A1fRbzBwFR24bnQWe1Wv6ruC5sY+jdHmZJMJOaGc2EAGh0IgYNAIBOh06AaDo7HV6VIYrQKltrJXoTJZKXhMSjDzmQlJ2aFsOhHnn+/ygGtHAHCTA1fRrwMQCQEAGFbDFGTuwBTd5bSqhMc2nMSNjItNHh9G9D9tN8tNbG5k2rh5o6PI0HXrIhWk6MD1Aefkld3KH062HG7pC6QQcsO4+RHcOA6DTyPTCTgsGglS9BsOjsYOl0dntUv0pnaFtkwkr+iRK43WqYnBT41LzAkPhDN2/6yXAVRMAeAmB1L06wBEQgAAhtUwBZk7sKG7w2nurvn58z0n65v6HR6bVic8sXX1J59/9N577336+Xdbt1bLdQ7QrhS43YhUxgNN4n2NvVQ8dkp86JK8hIVZsVkhgRwqEYdBgfz8ZgCvBXhdwGsEXi/w2oHXEbym4PUFrzV43cFr0D/f5aHT6WlpaVgs1v8cAADgzgMiIQAAt6I7MEW3ux39/ZWeXGpwciDdJhd07v3lu1OIfigwMMCkVpV//2uR2Oxw+GcGgNuB0+0pEykONIvxGPTUhNDFufFZoYFIkJbfxOC1A68jeE3B6wtea/C6g9cgvB79ky9DTEzMc889RyaT/c8BAADuPCASAgBwK7pzu4vrUxtUxm55W/XhT+tsxvufW/HHts0fLZ8e6y6Sy+1um38uALgdNEu15SKlRGsOY1D+b2RyBIvmnwDc3OA1Ba8veK3B6w5eg/B69E8AAAAAAAAAblN3YIqOQ2EDAnKQHQUrPnlm6f+9++MWN5S4dObonKTMiCh+UAhkc7v/coM+ANzi6iXqDqWeQcRNiOUHUggY1NkdH4mE4GdX/QBX4ocVvKbg9QWvNXjdwWsQXo/+CQAAAAAAAMBt6g5M0bEYIj/z/jl8h7znZMHxVq0s/a4Fi1ITQmzqxjZBTS8ylkZDI6+gUyYAuOkJFLo+rZlFIoyMCMJh0P7SAUgEhMVCeNzVPHBY38uBYQWvL3itwesOXoPwevSXAgBwq9FqtRUVFa2trSaTyV90IRKJpK6urr293f8cAAAAuPPckYOueRyQrnrbl1sK6rskzEh6zv3Ll2TxyUrBpp2HDgnr/E+x1ydLBz26A9fBo+tO7KztzuAHrlwwjkMhos5JrNEoiEiANBarwmj1F10GwkCvZgQ02mJDuFz+QmA4uD1ehdHy3LaTtRLl/IzwX5eM90+4FJ1O19PTk5iYiMHcFKccdRa7ymTXWGxGm9PuG4kfNFYaMvD+DO/UeAyKiseyyHgWCUfGgfPMNx2xWHzw4MG+vr7Y2NjQ0FAWi+VwOKZNm/bTTz9NmDBBfVpjYyO8c6SlpU2ePNn/SuAa3GyREACA28ww9eh+B6boHq/bYVHpPCQ6joBHe20Oq04H0ekELB7hslntOjOSziZiUYjr08AApOjAdXD3qiP7GnomxYWsWzwFhTxv0x5M0U929B1sFlscLrPDefHMCYnwZQIxgbSZyaERbKrdjgQp+nBzezxL1h851i6enRr2x7Ip/tJLGaZjxpWCc3Gn22O2uyq6lYUd8spuZbtC3w+n6R5flu6fCbg28F5JwKK5VEIClz4qmjs6mpsYxCBi0ehzz8YBN5pWqy0qKnrmmWfgpDEmJmbkyJFwjeW///3v119/HRERUVJSUjrAbDYvXrz4+eefj4+P978SuAY3SSQEAOB2NUxB5g5s6G60qAo3z5iyZkNhrRIy9hYW/jJlyi+Fhb1GSFlbuGHNlBmbC1WWKxvdCABubnAyBD8GLrVdeJeH6/SL82OYRNzRlr5ddd0XeRQL5XA+kBnKjg6kov9hacDQgtcavO4GV6K/6NZhsruqe1SvbC97cWvp9yebi4UKucHiBD1+DCl4w7A4XD1q07G2vk8O1j2/peSzQ/XCfoMLjB96M6HRaLm5uTNmzKBSqU1NTWvXroXzc4PB8NZbbz344IMff/zx4cOHVSpVRkbGuHHjoqKi/C8DAAAA7jx34FV0rVFatCbnMdOLa8YsnJNi2Vu05bHHoDVr7h89h9i4d3PhY1+S11Q+NppHYfjnH17gKjpwHcz7/tC+xt6pCaHrH57mLzpt8Cq6F+Ex2ZxyvQXOwP9s7K3s6VcY/trunYBBTYoPnpcRkRXK5tKIJCwag0JbrBC4in4dLP7t0OHW3tkpobue/usa/Cc3w7WjPp35WGvfL8Xtnf16l9sbyaZl8AOiAugBJPzABV5wiXdowMdxq9OlMFoFSm1lr0JlslLwmJRg5jMTkrJD2XQizj8fcKM5HI76+vo33nijsLDQ6XQOFqJQKHgNejweBAKBx+Pff//9BQsWhIaGDk4FrhG4ig4AwLAapiADUnSQogO3v0um6D1aQ5tc53R5koMZHUp9Qbu0oE1ad7r/cCYJF8uh5UUETooLhv+AMwG1yZ7IY/DpZNDQ/fq4FVN0rdm+t7FnXamgtEsZzaaNiQ7ODAmIDqDzaCQqDosCbbCHDnwcd7g8Oqtdoje1K7RlInlFj1xptE5NDH5qXGJOeCCcsftnBW4o35pyOD777LONGzf+vUM4OD8fN27cO++8k5eXh0af168ncNVAig4AwLACKfqlXVGK3jbtqbCxOWH2ypbCr1dCzz0/JjEH11N5queHQ/G3d4ru8XrVZrvKaIPrcya7y+Fyg/amQwjOOjAoJAGLpuExbAqBRcLh4CT4Rrtkil7SJd1eLRIo9Q/mxeSEsc1216kO2a667i61kYbHpoewJsbzxkQHuTyeeon6SIvE4fY8Mz45LZjldKJAin4d3Iop+ol26XcnWw41S/h08n0ZMXNSIsKYFMTQDdPnsenMyvbqDrXd6YYgNiMwLD6TR76ht2+5TVKTxaLDR/PJviEJbwg4wteK+3c1CPc2ilRm67Pjkxbnx6byQXJyEykvL//hhx+2bdtmsVj8RXAoRqODg4OXL18+bdo0LpfrLwWuGUjRAQAYViBFv7QrStFXSVVt/pJzxbN5y27XFN3t8cIJucZiL+qUF3bI68SqLpURTtfdHnC/4pBBIhA0ApbPICXzGGNigkZHc0OZZDwGjb6hlwwvJ0X/qbBtS3UXGYt+Ykz83RkR4SxKj9r0S0lbCo85LjYI/hbw0/Vlgp113b0a04hIzmf35IMU/bq5tVJ0+KACh5q3dlXuqBFhkKgFmTH/NzKJgsf6Jw8Jr9MsqW7e/8VLv1RpjQ4ENCpjwuI3vp8TC0E38HqxuWVLe3dXVfC/H0iEyDf0urVAqf25pPmPemEwnfjcxORHR8ZhbtQ5A+BCfv311y+++KK5udn/HIJYLNbYsWNXr17NZrP9RcBQACk6AADDapiCDDhm30HUZtv+JvHTvxe9vK1sQ3lHjVilMtlAfj60PF6v3upok+t21/fAKcqzm4rXlgj6tBcbBffm4fV6TQ7Xz0Vtr+0o31TRGcOhfTI/97FRcTg0an15xxPrT60tFfTpzP65AeAfwPl5uUhZ2dNvsDnT+ezH8hNJQz4GmFkoEvX+IZy3YuPxAwWVRwt++PrDyXB+DhoHD4pg0f5vZHIYgyLRmuF10SzV+icAN4eRI0fOmzfP/2RAZGTkk08+SSaT/c8BAACAOxi4iv4Xt+1VdIFCv6NGtLNO1KP2pYvp/IDkIFY4i8og4AbuCQW3hQ4NOEU32hx9elOrXFvRI7e73IEUwrjYoCdGxyfxGDfqQtZlXkXfXCUcLCTjMCFMcnYo+57MiM5+Q0W3sl6i6VUbbS73YMAAV9Gvs1vrKrrB5vi2oHldqYCCwy3Min0kL2EI27f7KUtPlNb+50TQj+9Oj6QTzu0Pzdy6bffBgj8rJAQKc/KyFePjmFzS4BQPBBlb99Ro7YJuh/DPY1Jo8nMv53gcZQUH97dJadkLXn80mw+ZOiU6nStsRLKvzbyxqazDrrRz5o7gQlB32ec/Ha9pbWZE0jLvf31RFo+kFG7fWbDjSBGWBCU/tCRJ3FN9cPeJdh09K3j+c6/neRxGe1urMFh1ZBv00MMTyK76khP7SzsgAgTNXPTqlBGZPNbg5xoeeqv9m5P1uxqEIUzS46Pil4yI9U8AbgIWi6WoqOj999+H91O73R4REXHvvff++9//ptFoSDBSxpACV9EBABhWwxRkQIr+F7dhiu72eNVm2y9F7duqhT0ac1wgY2IsP5nHCmdSAylECh6DHPLa8x0M3qEsDhf8g4u1xlaF9lRnX31fPxqFnJUS+tzEpDAm/HvfgFvTrzRFh8FbBfxZ4VRcqjf3qk06q8M/YQBI0a+zq0jRpVIpHMmnTp1KIMA54XWlNtmW/V54SiAbHRW8dFRKdmigf8IQMvY015/4ed8RMm3KuNlT0mJ5AXCa7nZAqtoTzd2tQqlRrUEivXTSuOxZmVHhLIrvNXCKrir5+vMmi1MTHOOVKfqRCjojKcCBwPbLFGaPaNSSZ0bQsR3dCoUj5e5x8JEWqTm5q8LcbQl7diZHdPJUV2dXr9GsxWBRdG5A1qx050Z5rbixk+bm4KGwiZPD+mV1+46WC6SsaSlT5y4MEzUdby+tUWeOIfURJ05Lx7tFrY0VrX3wp+hH46fOHZEdlxMwpI3/z2dzuUuE0k+PVmst1oU5UR/Oy/VPAG4O8B66e/fut956y2Qy3X333U8//fTYsWP904ChcwMjIQAAdwKQol/a5aXoJqum5ehLK/drDH2DBR4XZOytaOpRaEw4WkZM/pur1s9KCyBcn9Zm1yFFtzpc+5vEnx6qE/YbU4JY92bEzE4OJ+OwIDEfbm6P91i7+I/6zkKhFN7R3pmVOS89nM/wX9G7ni6ZotdKlNuquv5s6vWXXko6n/XqtPR4DsPhAD26Xw9XkaLfQAqDdeY3B9rkuiV5Cc+PT2eTh6VmbJZVtBd8svpoeGxKWnhmenhsVDrTaSp999O6cCwpJD8E5TDrGjZ1Jjz/UNaIxDBfC/jBFP2NemQiffKyBaFm4bbpK2QPp468+5FsyNp17NET0a/P5DPlir+m6KaA/xvp3v7qOtPodEYEj2WWmuX1v5OffNC7wmgPVgc99uC0aBYWQiHOvxfdeHLX2upaEWPO+4+mUiEsErJpBDJJu6DXBomP7MHNH5mV/2DaMJ4KhuOPwmh5bttJeO+enxH+65Lx/gl3pJuwn1S3yyWTiN987D4rhLp78RPzFz2Ex+P9024QuFKAQiLwGBQVj2WR8SwSjjzkt6gAlwf07Hs5wBYL3AxAin5pl5ein8fjsjn0Yl315off2VbcKoscOXnaC9++PZ5Bx1+nlmbDnaLDUV6mtzz9e1FZlzKKTX8gO25RNmjueF2d6JD8Vt52TNCbGMT49O68MTFc9HVvx3jJFF1hNDf0qdvlOn/ppQTRiGNjglhkos2GACn6dXBrpehwzBn56W6JzvzShIyXJ2UO5/BqTghqPfj0fzbrOOh7Hv/fRL5oU86HO2wNEjycEkMQDoJGPfLRK3dNSYvxnXMdTNEPWcLCwuaNjbJpNMdeP059MiQqewRPazK1/b4emjyVY/t7iq7BPZIkeG/xZxUWqx4DZ+IQRGJCC1d8my1vOdZ6rIf+yDsPpzEpAVS8u2O74NwU3XcFPvKFu+N97+0w9ZR/+eeO71cdQkAeu3nqO/9aeM9Lo0LgScPH7fEsWX/kWLt4dmrYH8um+EvvMDd1P6kWg2f/SkRwPCI6BwoI8xfeOEgEgoBFc6mEBC59VDR3dDQXPmwRsWg0GCLxOgI9+14+sMUCN4NhStHv9FuejL2Fhd+Pm7Lsi8K6xLuWrl613pefU3G3z88Ch3U4ylf3qOC/J8byZyeHD5YD101eGPee9CgqHtci05Z2KQb7ArjZwCn3xLjgJ0YnXOZjblo4h0pEgZYYwIV44Vqm1+P1euENZJhrSmgIShj/4c+vLeHMMq7c2QFZXdDkZSu+3FJ51NeHXPHRgq+fnJ4Yce0tV3AUaMRrr/+4f69vsZVH/zxy9MkxI0bc8/Arz77/f4Hqbyfe/8G2I4J+q3/uCzA1/Fqt4rpmHz96tOjo9s8ez4oP9U8ZRiik79eH1wT88BfdeW7qflIJZOTM5xBZMyEW319yQ8HbicXhgg9Sx9r6PjlY9/yWks8O1Qv7DS43SA6vH9Cz7+UDWyxwG7uDr6Ibmoq27d2xcVelRuAds/ze7PyJI6KiYlnXuTfV4b6K3irTfXeiGY7yeeHcR/MTJ8eFgqzqOoN3sFaZ5oeihn1NommJ/CfHJk5OCPZPu14uchXdl0ShoKtIo1xWU8/xX/sjZwQER4fcqFv8nGqzpOH3T9UJS0cmXEnnWzZxUZ9C1sFaMD4Ewl9pJ+Ca5i6Z8pg184FUCmngWu11cGtdRZfqLfkf74T/fWVS5quTs/ylw6mveHmToFqYsGai6LFvJLMSc6c/Mi7sb4k5XGm7jKvogiqhUMN6aFkWFVIXvvBLG0XOmvZJXv/qB1fSly3Pnz426byz5C6bQSxpPPXHJl3GE3OisZXaf7iK3vPnknJrojvhpfujLaaqz15pzkhLyntmmK+iw26tLWfIXZd+UuHtyti69wsJOp6S/kB+kL/0wrx2SF+z53slKi46456ky69mObUdWsHBasYjGcGU090fDj24Qmh1uhRGq0CprexVqExWCh6TEsx8ZkJSdiibTjy3W0ZgWICefa8I2GKBmwFo6H5pl5miux1GRc3qg6eaDuzq6lFgYhdNnzL3oSkJbB7lBozXM9wpemmX4tXtZTVi1VOjUxdkxMQE0v0TgOtIabQcbRcv318ezCC+NDn1+netfJEU/ao5TZrm9a9Ls58Mj89OHOiM6wZwGWwq0YltxpAZCaHRg12CXZZrGr9aeqpO2LPWMO29SezrdkfMrdVd3PVI0Y09na01fxxv8D9D6in8iIljn4g2Hdl85IhI5SYROHiMrxe3WaPjYrjUgW7ZLidFD6NoKsoKT+3R0iKIEJ/WXe9ORgVP+mAKpvH7L04pGHoClUiBsERyxsylwcZ9nW2Chh4XvGS3N2figpHRhKbe8hNbyym0qXPvDRM1dXrOpOjqmo9PFotrxRw62x1A1x20jJ2Uk/c4SNGHzXXsJxWuRFnEZX+oUCGEqPHxF6+heZ2QWVj2pxYVzIscHXb5ZxXtsip5+Y/7gz6dFseMHLbDOFwhdLg8Oqtdoje1K7RlInlFj1xptE5NDH5qXGJOeCD8u/lnvXXcKt3FXcct9vZxW26xwC1nmFJ01Hvvvef/c4BAINi3b9/SpUsplBtV6b56hYWFDAYjOTnZ//zCnA5Dd9XKJz9fV3SkxUMISx01e2yYU6rs6YS/u0Ag7e6FKMEUHBp5ffrd3rRpE4/HGz9+uDryaZPrfy1pN9ld92fFZvADb0h34sBAa1PEnsYuvdWRFcYeEcnxT7heNlcKBUp9VADt7rRof9E18zis/Q1HjbxsOnugM+0BZllFR2tNbaNA1NOjRweQcBicS2MwyNv69aaqshZBa6vGZkCSOQSPsbegvrGlqVUg7PTPjLV0i4VN1XWNwu5uoZNCI+BISLPBoGqXaFzisubWVrkZgUCjoP760qqG9n6nG42jUQloPAEXFBjMoZCxKI9NZ5IOTBW0aW0IFIlBQFhVbWKDpUfY3VZf19ErNqFYLJRRJGw4WVovaNcRvUQKi4TDOxRyUUNJVT38YYRqt2/JZNy5u8p5S1b09tvQnVD0+EgiHm3WdrZ2VlTWiURCPZpIwhPh2OF/0VDaWS8UqvSxHNrCnMtdg21tbRs3bpwwYcL1r5ga7c6fi9rgf0dGBo2KHJ6zvea+7raqnUdKFQoZ/NCysoIz59+bxMKz43ieanVPW3WjTKHSKLBRybG8IAZx4PwrnEq5TUozjhPA4AeSPW63WWahprAYTDbB7fE4tVpCSGgAJwBltvSfOlnar5AFpU4LDs2PYwUmRoTyUoL6mxuF7S0d8NvpjYEpU8iaQ22NVeWNCo3JwZ26MDuaE0zBWLXa7pKyVk56Og9HwFCxBGZcCBV+byKZoe+Wd1VXCPR6Yvy4UFZ0ZmggP4Do+1zD6Sq2nNuD3ek+1ib9ubhNpDalBLHgI+DCrNh4DpNFRkNWhazlVHWTQNBhsUNYEhOPchpVbScbmlta2jUaA4oSRIHr9S5tZ2d7AxyRerq7XE6XzIbxIBFop1Ut1aLJBCQc1l0Gg0HbKfcwyCQsJpAawGNQvAhDb5veomuo62oW9WpdGDrRKS1ohGOdwhf6gig4CItFs1iBQTQmAeX+6/uSMZBDJ5Lr1D3S/s7qqiZhp8ZNIKM9GnVn6ani4kYNxYElkkkEOsJ8JiIJ5UadG8dmEOHIczaH8/WD21NTV9fQ1CSUqSReWhAZ69ULB7+R8Ey8QllM58TYlj6jESKEc2l8Gik5iMWhEJ1uT4/GWCdRM4m4UCaFQ72ps9wLuoGR8Ir88xaLh2tuQz9u5W0B/lnQKCQZh+HRSEm3yxYL3HKkUmlVVdWQnwcEg679xe026Nqfjb13rzoCVz/XPjRlWmIYOAt7Q8B7mVRvnvH97n6T9T+zMt+elemfcL1ct6voov2P/Lr1yB/lXiyFlf74L8/OTk5DVNW3VX3ViEvf8O0xk06YNn/U3Uu/nhHU/ceMT7coakVuuO4LYdhj39n+CO1QyeG9aw93eIl019z3Vj4wfhJH3tRct2q/eoxx1R81WmLWk9Mnj4/p/+WVH0qV/LkPLX5w6exoom3w4md8ZDjJLK1pPvYNPFVjsGbN/tfdS56eyFefWv67MUZ6srml8JiGRBv94DfLJ1k379+68ecDbU5qKOHBFd/dnZJoLDiwa92nWxrhOq4rccGiBxctnZ0TdKYRu9dp7qlq3v358xtq9SZHbkZq9Kh5qvD5701iEN1tVat+2vnzjgM4KpTz7FtPzZmWGsJED/1edhXXQofptO7luP4N3YF/cmdeRff8cz+pXpdKUr93/3dv/lqDNNnvufvZB5c8mRTY33Dqu2VrTqnblXkpoxc99/VdmTi35vjXq7fs3lTSSyMS7pk7Uxq5cHxWZB5OVXW4I2Px9AAyAWdsrGsTrq0KeW9xSv/hXToOl54UxG7d8WYHN2jrhq5Oqy5z5sIXZvNqlqzaraih+ULfd/cm4pCNu/9wcDj8vDyG+a/vOyeTaKheuVNsaWrzdG/b0AS5Mu567/WZ0VL1idWvrzplQ1Fx8/7z3IIZi7nSuoNfvvFLlc7o8ISOyZ65+P0nZ/BxSH/s8bo9Vo2x4veXvt1a0tyNisgJuH/5lnlh1pof12zes+1UNwJLdqU/9p9/LZgRZeptqz8dY40thDG5sxZ/+NSsILRvhAKYQKn9uaT5j3phMJ343MTkR0fGYVDXqenQULmBkfDyXWSLBa7IbbDFArecYQoyYMO9zfkuGw30MoJCIkB+fqMgEAhfv02IgX6b/GW3p5CJK15eUXm0oGTnxl9mCqvMank/BKk7bLUb3LG/7ltZcPynuakTxQVlVnb43Qe+XgfPuW/dj98/Pv6Nf00IS5209MnlW48WVB7ctuN71im3XiIyQ5BYDe1thxbsen/jtocDFKJV3+9ivbtmW+Gv83ujXcerxf739VHVisSiwalHC44/nZOELjoigMwuaF0zlDVuydqje1b/8p+wjTUdsqC7H16y9NsPnn76yyN7Hx8zwlu+rVp/lPbM9oLKwwWV8JKZuj/3Nhj9i4WZhaJqwfYN+W/8emRXQeVrSzIioQNwnQqCtA2bmq1hsx4oqDy6b9/RR9yq/v5ykcX/KgAAbpCL9JNqFRX3SCSdMw+v311+tGD5y0syGBKh4MBW133b3t8I78gvPfUgeu/WOpvkyN71WGbEm78WVO7Ytn0saz8V6vEv4qIcJnfFV3L6Ix+9tu/jFyfpi/61pCZk3avf+kNfsRqynz4GmP7+vjvabBYnBB3ogXCUkV8dPXzk6I/5Eoe6yp027p5X1r9711Mrj617bvHDPGl1fe0bwnmfbDx+oKBy0wvRU9BrfinWms8s2tFvFJ1Y8YZt/KIVm+DotO5nOD9nS7Z/Ws6AJnwMB7GDO7d+n7lG1FHpi1dnY6xvUXeRNhzvgGynx+mIYNH+b2RyGIMi0ZrLRcpmqdY/ARhSoGffoQK2WOC2cQem6GQCM3fu2g3f77mg7zesnZvLvE6Dol9fID+/OdzWXSujndLWP9etevHZ1//97o8Hy+t6DEYrROWzU+4bmxQWGsqNTogJi42g270oNJHDDKA6u212GTb72enhbCIRr+87umXni8tee/2FrzbuqWhT6eFsNzAAO2VydnRYZHAsJzQvMil/RF5YcDAvNXE0JzDW7va/L0wtrWw4+vn+L//15ivLXn7xpQ9/WL+rSiTX4d2eaakJqSmJIdyIyJCMlIluiIMikclkFp1KZXIDKXh190EKXpufOzKaywvi8lLzZgcwYywKjX+5EGTr79J7ZPb7pqaHhUVweZFROWHheb57SrXNTWXbN3z33+UvLnv55X+9/NHq34vru3Tn5PYAANwIKqOtsENusjt9vW3xWGTcQF8EA3C0QJzVbNzwUXU/AaIwaGSDWVxTsXrnT28//w4cOv799mc/bSlqFYlaTqqzwwNGZaZyebzgsMTkmRTKZd2ghCbgEu4dlZwSGxkeEhSbwY+6JzcxIjLUH/pscBLtPwKo9X9732KBVOVyO6G8yJC83PRQbjCfm52RTyRFezF4Ei2ATqKwuAFUsl1VY9dXjRk7KZ4fyufy4lPHRsWOMYoVXrc/IDqN/XpxpW5OfmRyXDyXxw1gMzGOnsb1EeHMzNR0OIgFh0TkjHsI5yHb4Xh1Nsby4mOyYiJybM7TnxGCMChkIIUwIZbPIOI6lPp6ido/ARhSF9ligSsCtljgtnEHpugYNJ4TMWXahDkXNGHalAgOHg36l7gd2BVyUeOBQ20am/OcVA4YJvBvLG3b1S4VoZlpOWlpWSmxdhzG14wdRyUEJvIYGBQGwhBIJArd3x+xTVwq1aj0zJiEJA4RY+srK+tVmhCxWelp6VmJbAIOA78WIpGQkeEcEgqPxKHJXHpQaEggDo1CkKh8PPG8vpZsFvhIbI5LG5manp2Wlj962oTRUzJD0PC80RwGg05GQxgsisqMQCL/0h2y2dBHxDqCOSy4ToSA35AVhcezILvdPxn+YlajE2lDJPJovq8Awe8Lvzvk9UB2jY7ApYanZaZlpWXkpY1ZMD8nPp077HcXAwBwcTqrvU6scrjdvt6wmdRzG5ChaJEhSROnj47HdH67fc3Og0XtcjNk6kuMS81My8hKy5owdtSEBSNDcFa1l0/Bc2hwuEAi0VRGFAZ7WafuURgUOzGYSSXg0Wg0JZDGSQ5mYPCY80LfAKvzb+9735gwX0c4EJ9O5nAYGPiNISozCIP9S9NJX6xzqSNDuAS0rwkvnhpEoodDVuuZ878ep91hVnnjuST4YwyUeD0uvbYzgI4LpFPhIIZEYqhByRgEHnI4z4mxp4Pb+XAY9MiIIBaJ0Kc1CxQ6fykwpC6yxQJXCmyxwO3hDm7obpIK6kv3nlVc1SxVO/wT70Buk1TaXnzo4N6BR21zp9rsn3IDeN1Oh7JeqtFpbf6SS3Oq5W3dghqpYaAJsu9eaWlPd31Ts1hrdV9N83KPTWeV1/donb6Gh3/jsZltCpHC4vJdFQFgXhdk76ot0rlYo+96482X/vX43EhS4GD18O+8bsgu72zv1BJIARlJXMiDgtSdBzuMmMTsV955+cV/PTQ2GK7X+me+PHAFmspLj5j05JMvvv3KG+++9sYzS+4fE0uGLnljOIkabHFg+xS+vR+u4ZrVQptNDeHODtaCwuA9ELpfBW9IvptG4Pqx2SDxjVaHIxCpvLTR8x78F/x2A485I0cN9A0G3AyuJoz4uGwGibTxiEg90Oj4XGapXKXs0l4oIgA3E5Pd1aUyutzecJavN2x/6SAch5sydfaz/8qkinpLj9Q0dimRNGpYdO7C55944R3fXvzMk8/MSAxmMM1Gq97s2wQ8HpdBK3Q6fINgQS67x6TU2txOD2QzyDQqoWrg9OSVwyBxf3vfaQmBePQl+3T1nZ1Es7rEcuvA6M/wxzDruiECwReUBiAxOCyJjWiTmw3WwW0fgUTTGNH9OrtSZxj4Rk6DrMnptUHYS4dZDBIZz2VScFi12S71NW0Cht7FtljgCoEtFrg93JEputcDZ1/qpj9Xf/rq3LOef3flnuIejdl5e7dE/gceh15YeGLT+y++uOxl3+PXLYc6lf5pN4DXaTRUflvU3Nl2trnxpZgFdbtP7P3Zd3vyQIXJJG0zmpTkGU+MCCRdRjXkb5zaTmXZt/sFRvmFzlU4tVJVxZ4KpVV7B5/WgSuHZl2/WiGVy6UKudzYr1dHQxaG1S7vlopbWo86TRfehryQ22KTHNzXxZKbGOEIqRxeglGu76Y6FUinWSLtEzXV1xn0ev/sl4dMj3Ej+CeO/9km7pHI4VRKc86tmX+FQGHgOGDXyJVGGyt8ut5CLik92SmXyuTShqr9Kp2QxDl74QpP5SLQNGF9UWdfL7zkLmFlT3c5vAiIwQtVFxkbT5U3+H4B+KE32xygwcZN42rCiI/dIC6r3vz6sQ59v9Vf5CcrKqur2tM6kKoBNzGHyw3Xzj1eL4OA+8uoS16X1WpUqXQ2QuZH8+eEZEQhIZKLPfJIUXFTR3svvBcrVWqjE0XmJKqlvZ0dTSK5VNrX09K032hU+CKHQ4/sr64WSLrE0q6WU00tR1rhtN2/7CtCIQb+9X31NrfnH6ofCCQSgUK7tEqNwYRjZ2KpmWdiXVtTUZewmBbCQaD82T2GEkDjZ1N3FQkbW9vg0NSv0jixYSmLhV3yqroq+Bv1iUWVRZucaDOefumxe1BIBIdCwGNQFodLbwXnp4bFRbZY4EqBLRa4PdyJKbrHbtCe+ODZt79YvbvKX+TTePz3Nz965aXNbZDlqo63tzZDdXmbW3a6x6zBTnSGfcTeoUXNGv/0gqUfTo6FoMEB7rk5GWkzzz4Fhpodgoq3fbbk/2bnTJ6QM/eeeT8JkiMYh5v3LJw34bH7l9SrJzuhC29DDru5p3jdJ6d+fvqDF2bDr508a8bkH1WOUZJO0UePTph776KfW0lp9vPbsV8SIWJK/ogRL5Fee3XR6BnwMh99/fVNNTp4f/dPPw+BE4E06qtenHLvL4WliLwZsbpM0dJ7J+RMnZDzaGmGNWLhA6nn1FzZGUlxIWeW/Nm62i5oBlwNhqD48a8/zSd2/rHE9wvAj0+2Fjb6uvsBbmlEVuzMya8dWJTJ5t+OvZLcCeA895/6SbWKjhxZ9djgDvtoKbqNmDcpe8y4/3sr/pdnPr5vJFx435PPriizGcPuXxp9yuSLZjn3LLj3lHqmAQrzbRs8Xtoo+o8vzLl/Ws5nf3TqWA/lQtBV3TdMYMX+7X2LtcZ/OK+IobDJvLied+e9uHL9b1LeuRFp0TrFCfYrL41iUHCna3TYAFL4mMdfEh9Zu3QR/E2XPHH/rh4V/94z32j6gkVPq/+dkjpmfMRlXbD1dXcKx1KvF374i4AhdZEtFrgKYIsFbgN34KBrTrteVPa/BW9s5FHyx81flHT6vitJ86adxZVm3aP/W/NsVjj1aq67XoW5wzzo2r7G3nnfH4L/WP/wtKkJoYOFF9Cz+7tDilpr3CfPj2OePXPjdJglDZve3Vmj69amxmZOf/jV0XDOhTY2le3ae3B/aQeBAE2eOdoUNCI1jhfm1Fbs1LKC9+4v7HaGpoyZ8NgYZPVbK49rDYwJiybOWZQfBB9+jK17vjhUWFcpCaYwZsLpdBxa2NihbmsVBkt3bWuCzBHzZk2fNCvOqStf+/73W4S2IELugklTxi4Llfz+6YY6vVkHnfMxIEnb9p0FO44UQQQImrno1QQmgYrUkfNHwJsu/Eaf7C+oL+9FExn0pPuX35PNj/QKumSd+6XooC0bysxmadKUzEnzXx5x3n13LptGfPyl345pBFI+l0nJTtcokz6dk8iM9DTXlBz6YuMJeJ6Y2S9OHzsiAy3ur9pfm/JYNpcS9E/Nuc8hN1imfbcT/vc/szL/M/t6D0M1HIOueVw2k6SwTWzTDrQyQGPxISljGLYGpUwh0ZDRaF5IiInIiaKj3R6HVewKiGVhMSiE26S22qxGPBXqLuvutxsG7/hGY6GQ9BSS2qhSdsudaDQjJARCM6IZRCTKZRHrCLF8CgbtNsm1FqsLH8GD8yakWap14uwYagDOJJFAAQFkIgnjNCu0kopmMeRwQRA5iBUclswn6QVydAiHRCXhIafbdXpmnNWgkHS2itUh6el8JsUukknaBdKBD8NLjOLzopnnDW557pKZTDYtMMRJHPhGHo1cKOrplg3e7saLy+UHcRiXsT1cqasYOkun0/X09CQmJmIw1/uazJANugav5fYj76zarzVaocEdNocFiY9+sW5/TXsfBJ0OIwy3pqxd3N5g5vVu29JoNkfmzJw7aRyX2nJOGJk1/8Usuqnh1+//qGoUaXlxOZOWvDU+xCjaX6O1C7odwj/3dUFQyqxlD47JjWbqpNLaamjiZB6egBIXVZ3a88M+3xidozNi9fyJ+PARL4ykQPAW/PlPx2tam+Fki8KcvGzF+Dgm99x7jS8cJzH600smQSq5qK/2mCVrURaD5JCXbS08uOvP9sFoNmVEJu/KzlH9gztz0LWLHPjcJqmiT9QoGmhZ4d/Z0W67RlJSJ7Y74GCGowYERGfAe7dDWdkthqMZfGAwQJ0r2yLfT0ubOJ5nt+t6Sxu77Q4XkxtEY/OdLl+AcvTLnTgchoLHmhQCOzeEjqfi7RaDuV/sCowNwGFQXl/os1soXBbW2C/34HB4xoXfFzL19rsJBAKXRfKdYDTKZQMz0xFOk1xQ3dbPiuHzeWE4w9lYxwwNCInKDDrvfJLX7XSqWxo6lWqDDSIxcSHJI/gUV3+V/xsNhNxMPjMAjoSmMzEWCdnUFpu9H8njk+Ekx7+oQbfuhnQDI+Hlu9yqGnDZ7szQB9wQwzToGuq9997z/zlAIBDs27dv6dKlFMqlmz/dbAoLCxkMRnJysv/5hVntho7iFb92ceaNW3T/4rtHZMQNiuC4NaoexSEBd8b8+EAS9vr0p7lp0yYejzd+/Hj/86EmUOo3VwrhP+5Oi44KoA0WXoDHrVE2SYWlbc0uUlgoBY/BwgdrTZ+s/ojQhvMQgpgUCp6MVSJpcQGQonxdQ1ufEhMTGh7ApZkaWtxoRkAoUyEuWbnJkERCk7g4s10prau2k2gYLM1mdNPsHm5MGE5Ts0+ks5owgTQqk0mG5BgmH93dWdxcWy6jxwfjSDyUtQFPJhBZUUyPqk/UYmcmB8XlpseGxtEQ2n4rmhnIJGHwJJSSHRFHcygq1jc39yiQEYERwVxufFIGyqCyaeWomCicsmZlUadFhwoODmazqF5dkYkWEkTFyLrr61fvMsVHUAg8usfuQtk9QbHxNAzkO90Ks6mN4orvDzU5CSE8XkQA0YbQ1Tki7omjqhR9PQ3dFiKJwuXyKJCZQCJgcFh0f4eck8Ej4yiXcZneZHduqGyD/x0XGzQu9nqf/4K3AXhLgDcAeDPwF10zBBKNo0cFh8VFR/sekRFRLHjd04IDg+GnEZGRbBabR8XjsVgijkANJKFRA78yEkvEEqkULI4SGBUS4X9tdGR0NJtMoQawueHR0VGRkTz4tQwSnoCFq6bkQDp+4LUoLJlEYlBw8FvDC8JSCHgiGYtCIgl0OgGD9bXw9M3BjouIHFhmKA9eBBqFIQcyiPDK8n3kc2ZG4uAKcVBkdBSbTMKi0AQWg3P6w3CYTMJfa3LnLjk4OIRFP/2NUEQym8cffGF0HIdBJgxPm42d9UKhSh/LoS3Mudw1iMfjuVwu6nTb1+vJaHf+XNQG/zsyMmhU5NVu7XaFvKn5+MZWVTCLF8TjR8RH8tmR3u6jq2t6UDhqcFAwGYO19FbRwiMZSEfzkca6onZ6MhtL5qItchxFgadnUixnw0gYLdLVdlhos7oJbCaNQaAi+hH0OILk+IY2hUJOjgwiELlIbTMhGE9nhrq00poKW0oa3S3vOlpdUSR3xEZEcHksRIceTccEJGYH6IXHvmnsRlmpoZxgMgNj6alisCOZjEDiQB8GXgiyiEvWXihOetWDS8bi8JBa2SOuPqKOGBNlF5VI+sT9CBaZwuFSEEYinUwmB9POdohw1a5iy7kNXOTAh8RSKOzQ83d2FBJNpkdEhw4UhofwA4lelKWj5mhZbW2HSC5TqlQGSnBs4ti4YA6NgEWTAsIjYuA5g+FNguoPUPBS8QQiFoVFERiBZAzO1wcGBoMj0uEnA/FrIPRRSGgEEoEnU+AU/ELv64sqaAKDSiQTB2og8OtOz4xAo3D0wIjo8IHPfF6sC+YGUf5aYUEgUSgSlxcS5ZshLDScjkf7PuRgfPaHXDj0+SLh2RgLp+5EDJ5Cx50+Jp7j1t2QbmAkvHyXW1UDLtudGfqAG0IqlVZVVU2dOhUO1v6ioXAHNnT3QF6HQ+8lMqlUBvGcy114IoNKZRK9eofDe+HGsbczZlJOAn98kFpQU1Gzf39BnbBTozVKWhu3bW+wRbMiM9NSCES88MgJgcHQXV8rsgekTXvx3ddeePW1vFAWDTtwa6bTjbD0EZNn3L/slXuycsmqQ5XEiCdefvSV50bHhLglHQaLrHXb7w19WERQZlpqUFSY6ESRQNJvdpvceExE1F3vPvvyu8+Px4filGInLyB1/qMzU2ctWvrA7Ln3pERg2Skj52TmjMpMS8IQiV1H6xQ2Y09jSZOGFpcHf4w3/v3aG5Nzo5kDZ5WcLouibdthDW1c/oP/ee2Nt59f9ugIXXm/QimzQC4r2qoLil/2yqNvvP3MmPhcd6/ADLlOr2ynoVfVtqsau3Dc/W++8sZTi+/NDkXoUZDX2V9bXltX0uVKS8+EHxRFhbSjRnhlN0oDAHBl3PousbCtsDdu4dLXXn7j3dcWzZ0f7jF0Fx1sZGdNeeyFN9595eWHHr0PI6gUKftNbsjoxWGxUfc99dxbr704NS4cL1dhzw0jc4PN8saN2+sdGHZMWnoGl0joOXxUqLeZ3Wo3mR+Ws+S119547bkcPMKuUpzdt+F9v6PHrqPN+dcb7776xruTM9kcohHyWOx6UcmBOihn5oyX333ttTefefQBdlupUqnQDN4k5esNUdJ44Tj5d3AA0nUf39/YINfQM9PSEtOS5O0dHS2danAP5Q3j9UIurVLY2l5fXV9f3SwQWSOeig2LCbn1rlwAAAAAt6Q7MEXHoXDckPG0nqKK4kMVNdIzaioOFVcU9dDGh3DhWfwz30FYCYtmP/PDt5+Ow6977/vfNu9urunvban7vXz7Jy//97VlL7/58Xcbj0kMWoOmucU5CcMcmRIEQWg0FJE4ikRN8i2AQcLmPzIiIZxFxpMYwempWY+NjSPjSJRwHocTwza5bK3te5v2f/nJF28ue/m1t/7z5R9tcqXG5bInxjMmjMimQ1gkxAufwOKkDnycs7xup13f03To5S8/fPLl/674akdRq0Lm0jQJznyM85ictj7B3rviafExIXgIIuPIUSMfQ2PYkNkK0SMC/J8KIgfwgkJjuP4XDTAbJXLRvhlj02ICWXgIT6aHxKVno7EYs6S1t3zr/g3/HehIb9kXW4+Wdujsf+lHCrgmXl8X+Zp+g95odbjdNpvTezWd8AO3E5uq14xRoR8bG+nbYX2cJq1B1uh5OJ8XEcCCIAwjKDBj2l39RprVboNSA5lTJ2XT8HAcCQpPYnJGDbzkDHjv7qhZ27b1na+X/+vlF1/4YOXP+3p1Kq3X7ZoQE5KbnUA+P5r5WSSttigMaXZ6BBztoIEAFZgKOQxObW+t53F+UFQ4E/4cLHxQzqS7ZHiKBQ4yPh4npGs5G6AutORzwGm9UFzUfPyHNav+s+zll597efnakw2d/Q4QY24cJBaij5j75lefbdqzcdOetT//9uqUiMgrHGMCAAAAAK7aHZiiY3EE/oT5jwQGt+xevXRBzhkLlq7e3RIc+Mj8CXwC7vq0cr/5UAjsMXdvO7J8RC2/f/cJcTiN/fL7207u8nUgV3l024ZtL02IouCutp4CV7OXLP3wj02DSzt4/OiHC6bEBlyyUYhT3SIv/WEPc9VTX5Qc3bf5+9euunueqxc69qHHvz7u+9gDj89fWTruFutM7+bmsUPqgt9ffeib/60+UtuvKi5os9tBr9nA0CLS2Pd/dGDdnsG9+OCuHW/fFUv1jYZ/U5gxY8nqX09HmKNfP//kuCjQVx0AAAAA3JnuwBQdgcCQ8akPvPvu/z07MZbpv4QOU/JG3LXgxXcfSMWTMXdsf5pIBBJPDOQycA6UG+ml2qlph+tkEIQL4HJ53MCAQDoRzQzkdnU5O8S9RghyuSBRS7HZ0Ox/+UXgkBgKO+uIyK7ROZm+pXG4XAaJgEFd8qe2W5Rq6QkGi88NCqWjbDaTuBWJdtITYzHHnJqSRvjjnYeMwQfHztndpm/rENt894CbhCVrXE4VRLrUyQAcjkmip+0X9EqNcHpoM+nE7XVVLoeTROPqOx2dJXIrl8eGPzmXx6RR8KCb+CHk9kJqW/D8ZZExJnnFe2+W27wO79BesVK3FjWf3FalgxznXp33OCBdaVlDT5vYZpZVNO5+eFWR6AKjXlt7uk4eXvX03kat1SwrKquvvuxht0zisjUFm94/KIJs132ciI6OjpUrV5pMt+q5Djw7lORku9ac6jLZB8c9xJAZ1KAU5G9lUlG/GoKcWpmy9tDuAIqegLtkD33w3k2mpZ+sl+ggHN23F3MC4XCGQVw8ABFpXLXO2dLRbRhojy7tLlArGyAsFcMIzUD+IpEJuzW+k4g2WeWx3UE2I9EfZJBIiB7AuXCclLhcfwhEVqMZsonbOtpK90EoK8SmxdVpScJuLdUXG+EHi0rBY+7Aw/MtTiUX1R/4uVRpdlzZTQqyoh3793+yp2lwMzvN6TDLq37e3SySwlv7FRkYMfSbA+2mC44Yeqe51SOh7wDUUfbT/k7z1R9F4Bd2lpW2tbVenxFHJG1l1UV/3Z4v5mLHXwC4U92BdQCrwyws/3l7RUFNl3KwL2o/o0rWUFix/edyodlxx7Uw1DQXH1j32SfLBx8/d4ZpKaPzMiJS7k5w/7Fq6xf/hQu/W7v+YKfdhorIyCKblCdW/2/5Z199/ll5r1rvuIyrPVgMKShlcT6h9diJr31LW/H1/7bXyuXGCx9yEEgMkRdjLN17aN+evb1uKifefnD11m/e/3XviTo5REWgkTh+SkYErr/+0JfwB/74s0+OVnRq4MowXI1HEwPiF+Thmgff6INvVq/tDJ3A5/OCLjW4DJYeEpg0N7bnt8NrP/jskx/Wb6/q9dLcEAITlJsSQeLp937zyfLPfb/PzoNFPVc20DJwcUg0xEhIGTUpb+S49OSMzKwELhY9tFc3bZo+dV+nwg6dN+yw755huVxl1BpdKBydEpgawiDAaZt/6hlIPJHJDkkKpGBQKLNU3q+47GoEGk/ns3jRAcQLdL803HQ6XX19vcNxqw7cj6JF8kLDs+mnNq36+At4v9u0Z2c3khI6cmxYc8X+77/6ZPn/ftyyroaYPSKKF0C+YE9Q54URGYWTuijLueXklo/+By/tux+/O9SqtLkuPow9vO/HMozUjpUrBvb9ozUqhYUCIYk4avjIMRG60t3bvlj+2Wcrf1hb6cgaE8zjMAfP3CHQEC7ygnEST6GwQoOE61eu+9/yXw8WNmowgb6Enh01PT0A0d3yLRx5fBF4Y0F9W/+tuuLuYFaLXtXdLLc63Vd2nw6OwQ0IiAz0dTx6TpzweJwWRXOXWm+2+Usul8ems8obunUOC8h3bv1ICLkMBp28uUfvPNNxzhWDX6iXy7RazfWp25q0coVUpL78X/xix1/gH3i9XpfValOrzVKpqbfX2NMD/2uRyexardvh8A6M4Qfc0u7AHt1NFnXt3sde++FgySmJyuAv9NHJulsqRLVN3NFLUnkU3FD2yvfPbpYe3XWCysqKE2V1CoUMfhii52dmjJucyGMGh7gKjrdKezsVMqMHS4wckRzI4oW4xSpRTXWdQqNSsFg4c2ByREhUCBGyGdGh2VwyluAxWdwoEy4knYvDojw2sxOuKgdEhAdFx3jr6nsFLY0KmUqrx0SOjmEjEAgSlsCMC6H6PoZda0Yx0aTAECoCQ8RIyquFJqQ3NHlibET38ZOdfT1mGo8VkZfM5mVGcdhctrlP3lVd0aJQKxTcyGwOjUqnYMih4UxycLSravCN+g1WdNrj/8pOCOSgz/1UCI/N5EJiIFYoFw8NXklDYok4WiCn93BLh7i92wVhAuJHptP5uRHB/BiuneTpOFHYqPT9PnRmaGh4LJVotzkDojlEDOEyeoq9lXp0N0s7BU2VNXXC7m6hk0JDm4zdbc1V1c2dXcJOF4pKJJCQcJ2hv73H5OppampukZkMEJoNKdtKylraFToXGkej4LxOY2+T3mGWiro6a6qbBxdFwJGQZoNM2FxS1tQp6Oy02CEsiY5E2FRtehxa3apXGVQeflBQcGgAGYuy6DpbOysq6zqFwk6Nm0DGE303Gp/mNMnVOqnU7FFWlFcJ2tvkJrcLR6dhvMbeHisGC2GxaMjpdurFbVoEHmNVtuu0Mgs7wlZfJhC0tmtsBiQ5iISELJ1t/SwymR4WSCUQw1icIDoBjbar+8XtReVVwk6B0IKGCGR2AIPMY4RglE2VJ041SsQ6L4lIYjGc6vqatvr6ps7eXrEJBe8LGJRLK9UrhCqDtrqqyoRg4sl8NovP5hDxTqWotqa5saG1UyoWQyQeBYtGXn4Xw1fROa10eLoYvRxD06M7mkwgI9nMzoLi5j6xRIFmEfhJo2NC+dyu2pb29rYupYPojpj9r+mJoTS0U2eDsARGXCgc45CQzWxGoTHkkFDamTDiDs+cmJoc5TjS3NrX3ilTGN0GUnReUgBCayNwAhj8QIqvG3abTodjMGgMCsppteGjoukUHgfqRasqTlb6AmNQ9Bhm5Ggeh5vAobKCufLaRmF7S4fSbvJETnluTko4neZfo/BmSmHzXP44qdMoIqIjlORUflBYaiidwPJHs4CIoOgRIwn0yLQIbmQ4Tt6vrimvHIjAUFA6P5jPpw1BWx3Qo/uV9I8NR5V2UXNZddOZmIP2mKTS5pPVTQJBh2AwyDBwXsjY06U3yjs65HXVdf7g5nT0NjWfLC2tkzhJBByNRiR6XapeUWFxXaegQ+12w3ER5/IYetv0Fl1DXVdzQ5NMJfHSgshYNBZNobD4LBaDgEBABnlNdSscVcQSkcaqqxeTMuNZXBbZpjNJ60urGtoFbUK5UefGsRlEeDs7k9B4XDZjb0F9Y0tTq0wq7rVZRFL6lBg2gQGdjWZqNwntGwjjaq7N3Lob0g2MhJfvYlusQylXaeuktPFpHLdaZND2ieXS6tp6oR5NJLns4g5hRWVTb6+LHEzAojFOte/grLG7uoubW1pb2jUaA4oSRMRAyvZWN5lMDQmluJ1GVdvJhuYW/1QuEeNQihR6lUSg6qquF/gWhTZ393Q0VLf2Siw4eLscGJXAalFecnumBJFtqrqSqlP1rT1aF5FIZLHcqmpRW01to0DU06NHB5BwvvEOPOdsz/Bu5cFzecwI//EXcc4bdQq0NgSKxCIiB2oUJk1HV2d9XV3Pme/7zwfR2zX0eZxOOAm3SKUGoVDb3KxpaNC2tGibmnQtLfqODqNIZOrpsSkUTqPRbbfD8QEJ/6LIO/By7HU1TEHmDhwXXW9WVGye8dJvCk2nv+Rc0UzOwysOLMzlkK7PqBc3y7joV8DjMGstVruvyZXLCvX8+ZYoNjMu9ZmcW2+DuZ5ukXHRvZDHbq7b+f36Lb8crESTmNDCFd9OdtsO7diwdn8dRIJc9y77ZsnsyTxcU2Pxjzsdo7Vbt1e1E/Lyp09/K0ax5pWvS/pDYh54/L4n7xlPMTSvf76Dl9pR1Ny073A9kWqf+dbKB6dO5mk7jm379s1VFRBkd8+cueyhxU9EhihOvfeHPVa5Ac68jmtjaCMe+e6NBQlMWcsPq7Z/u2kvhIU82QveffXu6VkpzDMHZG3LrpOC2hpHHvKr93836PT8kY/MuP+5x/Kpwo1rnFNn8qJigiGtSdf8+/K+7CWjyeYT4paTnZxMwcdfV+t08rQ5I+9+4tu7Ugjag7tbYjjc8EyGzD/QfSCO0Vd0ZO+mV37a77uoNeftpxdkTWe6j/7pfCC/+Y0Vvx6sELo5WaHTnl39Irf93x/tLqgs97LIjLGPfv2f2UlsqG5TW+2hZkLkxh9/n/jUdyNouCBIjpk3N0ldsPaNr/aWNHV5w2mM+17b8sjoYCrr0vd5+F3FEK/DNFDn5RiycdFvEw4Iatz1tZgcFpUzL+X6HFnOAOOiX/6Bz2UTNe3/bvfmjdsa4WrWqEc+emX2OA6hc/fBVe/9WoM02V2DQebJsVRc+5r/CQj9B4u9JUf2E2n2mf/9djGfcWjr9q/Xb7di8ZSJj338yqwxNHTZrl2v/m8HBJnTlix84L7H8wl44c43O7hBWzd0CVvK+Wn0uf/e8nBesKusohOrcMffNYLgshTueuZ/u4ob64MiCamzZ2ndeS/fl5oWRpVU1R388o1fqnRGhyd0TPbMxe8/OYOPQ/oGd4N5XHZ9T+n62d/t1bZI4sL4/GkzkO68r+clkHnG0mN/bnn9m93wXMkPfLho3uwZSeyrSNJv3Q3pBkbCy3exLdbYWNcmXFsV8t7ilP7DH7erlKUK7+4dxz2Zy15/JJZVcvDk2q0nqIxZbx14cHRItL24tq3xG0HgpI73dlbq2mSZiaMWPvPdvBHE1gM7nRwOPy+PYe5vOPXdsjWn1O3KvJTRi577clqm6dgPB/SW9qOQ+NiuLsbclzZNwB0qOPzn73WI04djAsbR03X0ktvzK1sepja9sXzTwdISNzcgbMbzq96OELywf/eRP8q9WAor/fFfnp2dnMZFW87ZnqOmLps2ecZdULHv+MslBUCCziM7tr/0/R40ZPHY02Y8P+/hV2bFWgVwjYIQfLi8o7SgmHDm+/7zQfT2C31wcu622awKhbq+XlVTo6qtNXV3O81mBArlm+RwoDAYFA7n9XgwFAo9Pp6dlRWQmUmLjcWz2Sg8Hp7NvyBgqA1TkLkDz6xQiOwxCw8c2Qb/ohew7ciBhWPYRDC0yj/wwKlRw6Znlz+aM3lCzuTZsyevRY2Li1+QxvFPB25pg922fd1PCFjq67nqzyNHnxwzImn8+Kc//Rp+enj/0R8DXB5js8gCQT0O6I9y6JEXP9yzaQknpXvlY/vY89Ye2LBuUUSce1tNN5yAQ1DxtiKVI2fpRwUlf276brn5w772ukZzVOz05z8qqNwPL3DdmKwEa3GDEbLaoS3FUMqbS76t3PXV0rd5n1V3GZWm8JQlb78Bz3b0+NHt8yiQuadT4f+cfpXN+pKvJJNX/370aMG2FyNY2PU7itVw5u+ffL7uTlnDLyXs+347sKHg+E9zKSM7V/4hgKx/v9PCUH1iW2dj/ZjvCyoPwu/+5uKHBzdvNBGKWfj+q0++/enXj7/z/bYXp0RR0qd8+PPn8DyHflv/dW5nXZe63+h7I1vvRufkX7YcfeO+MakBA8tE4iDWhAc+37AGnnnPirXveUqbtNIraAYIAMCwEx9/t0oHUR4/frSg+GjB109OTyR3bqirP9A58/D63eVng4wGsnug5i1qR8TCB3zB7efl5gKLDE1esHTxj98/NfuD9bs/fWw6H6rs7O7hji2o3AHv9a8mxREUexuMDpO74is5/ZGPXis4ueWt/3uye0e90nomErgsOsGOlwSj5s/65eTRjd//vohraECZ1RCkqq2ur31DOO+TjccPFFRueiF6CnrNL8VaM/w5BpnE+tY/3+l6dtZb+/cWrP38rXGBvcUot90XzTqtooDHBrshfCVWSVQUN5zbehC4xTQWGh2S2McO7961fWb70S9KC6FZDxza//tXzxuKq+TSfisEqTsk5T+dctyz4/2NlXt/uXvWqJZ3drTqLf5DnUkiFBzY6rpvGzz16L6XnnoQvXd7q83qhI42QOgpI94/vuXnf7NWLNrbGBi3ZO05h2Oj6OTlbM976pVhSe++/fC7X7++9MO1O96eE0vNnL7i5RXw5leyc+MvM4VVZrW8//ztec3y5xelnql0w2+0uaGplvVj5ZbDlUd3rZ5FpAtWHRVAdhdco1AzIu5+7+j53/fOoe/oaF+zpvTFF8tff735+++lBQX6zk5zX59JLPa1b1epLHK5qbfXJJHo2tp6//yz6auvyl57rfTll8UHDlgUCq/74vd1ATedOzBFRyJQeBKHG8i7oEAuh4RHIUCjkH+AgCBy1KTnl7y+6osvV33x+ZdfPDVrchyXhQUn524HHqfdICjSZfLZI9JSuQNd+lHwOAzeLDlUumPZy6889/IXv2wpa+jWwYkoB4edOTo7JiaSH84NS4tKGTlidAQ/hJealMbhZMAHUwgDQcnjR44anZMczA3lB8fnpcUaXZDS5Hbo2kTHl7375rKXP165+mBxo1ID4fDQhAnxyfEJfF5EWEJG8mQ3hHN70B5tU+Oxr15++dmX3/1qW0GlQG04v/Oj+PDAKf83NSUihM/lZkalObiJ1X1q6B9uA+UGc3MXzBkdHRrC40YnxMTxeQHtcv3fbxo199bruAjM1PwcLi8Y/hHoZH+7UAQCwpAYNAqdwSTTWYE0AhqJ9cgLDm764OXXXnvrs1+O1HeITVY7/EbMjAX5KWF8Po10pssvBITE69tX7fx52ctvvvnWqm0HW7vVFvvgNOB2h4ag6Py5+en5YZfqEAO4UeCQ1dl1LJqoy8vNjeZyg7hcJoWgUNXTDHWjx46N5fOD4SCTOooTN8o8GGTCJ6SmjEqN9QW32Ly0IDKFhCCRySwWhcgI4DDJLrG0af+u37748MVlr7647OXlX67aV1Sv1KAJuIR7RyWnxEZyIyLDo7KSAjwopNvfltHktEiaN4+J4mSmZUZwgyN4EclpqRgaFdJIK+36qjFjJ8XzQ/lcXnzq2KjYMUbx2Tq3Wd/dJ9iaP3JMalxiGDckLDwmITkZjcHA0azl2M8bv3ttcMTQD374dX95Z//Zgf+BW05kamj6tMz4oCBedEhwxOTs2Lzk2JAYHrwNBnipWN+mROXz0+5fMCI2IjKYFxYfHx0cEiKQWlzugRxdrRfXVKze+dPbz7/zyrKX//32Zz9tKe6QqlxuZ1ZWaHZGemgYNyg1MHp8RlZiYmLI2cOxoaun4TK3ZzyWTifTmXQKg+3rkhOJdUlb/1y36sVnX//3uz8eLK/rMXQLz9ue2XQq6Uy7DmNXj4Yjw8C1Cx4/GD5Wj0vLoSckiOQ6jNuTPD4xfURiNPf873vbczsccNbdsXFj45dfCtatkxcXw3m4Q6+HPB7MwK0E5MBAWkgIIyKCxueTAgOJTCaGQPA4HNb+fn17u+zUqaaVKxu++KJ3/36r4i/XOYCb2h2YirqcVnnbvv/9uO3w4WbFOb2w2BTNhw9v+/F/+9rkVuffL60BA+AUHceIyE8fPWfa9DnTpkyflhnOo+JBgn6b8ML5s9LDp+A5tMGRqGE2cVFbr7wLkZiWDlcck4PwWLyvu2IyChkdwiES8UgMhsxgBEWGcAloFJJEZeKIA2PVw7GFE87n8dhUDIREogh0NscJIY2yenFXXYkpPio+Iy0jJYxNJ9nsEBoFRYQzGSQyGsJgyVRmFBKJhjTNpV2S43pWWnpWWm5mAh5Ps/9lx2QxSBEZ4TQsGn4vMoHpJnK1cIr8D8dsMpUcBB/cSfCHhDAEEg1PoRlt9vNv9PFxmbRuGhITEUC9eHx0OyBF+e4OQxcqJC0jMzU9Oc7hwvmqQWQqPjAhiIY55+4vr8tq6dhTJUOYqclpGenJyTFMlxMNTmnfKeAtgcaN4LK58L4A3Jw8EKQ3SjlYB4dzdvxzk1VNcmtCQwJxaF9zWjKVg6eHQnDEguMGPSKA5YuTcHDD0+Eo95fRSJ0GE5rs5aVkpWWlp2WljZwzLT9nYgQFhUGxE4OZVAIeQmNwcDZPQZ7tSdLpcZt0okgGlkGHQyESiyIy2YFIHA6yWdSQS+2PsdD/s3ce8E1VXQB/2XvPpknbdO9FWyi7UPaUKQiiqIgLBAQRB/K5EAXFiagoCrKRPQsFSxlt6Z7pSNOkafbe83tpAzIVsUVG/r/8Cnn3vftuknPPPefde88B0MQgHDkMsFp97ei60mGyGIShwXQyBhyOwZpB94gFhUKdJi0cTw5KyEoB25DSq+/Ix3un9+IHVgk+wFBYBHoYDQ+BQJBoAjUiyCeEoKigqXQ8FNUZvAJFJLISYoPwCDQUgGHweDSRbra6vN7Op9FWpxkwtcfHJKenpIGymTOwX860/qEEFBwaxMYzKRQEDAIjoBlRQUE+IfxzOHbchTyDgGOctH5fg1QIp6ZkghKYFG1HIVwmw3XyfB1gx3GRbIiIICLgK0PQyEwknWW22aFeLyuMTmMRMb6ucc3nfbhxmkzamprmbdsaNm0SHz2qra11Go0oPJ4aGcnNzo7IzY0eMyZm/PjosWOjxowB//r+M3o0f8iQoF69QL8dCofbVCplSUnr7783/fab+Ngx0L0PTKc/KNzYOx4BHE5za+kPn2w/dLGozXSNxe8ytRVdPLT9kx9KW83OwArUe0ln+NkKkdZ5t+FnQTPFrhVKVDL1DSlmnGa5uuVEldRgsN1yatXpdmpENVK9weYGXDaDRFp1Uqi2PbpRcCEwJJkJlRhtcv3Vb9LQdKDNhERnvbV06fJXZ+UkBlP/NsFVJ+AXLteZjKBt0Pk96ztqPWgPAqopkUrq5JFvzlu4ctEzEwYl8W43r+jsKKpSOuWh05YtW7HsxSmZoeybDEu1wynRGQBf4FKnWqdAapXBFKILCmk2mk1WGyhXZqu8tcXj7vwsJrtTrdLZ3T6j1mSQ20wSKIOEujmKChxPgek9TqHyrxPGeN02R+vJAn0QJfvpZUsWvfLkiHAcGuUvvBGP06yu+KEFmhkz6p3XFrz43MSMIAwy4K3dc8DfUy8TylQyQzd2cVDMbHKh3OK6tY75h3hcLkOrUGf+x0G8A/w7QEVAInDkDqRc/me+BjyGZoZR28QKu8s3XefTG7o2AOznf5+XFYFC4Rnh8QMmv7hy8bKVy5avXDZj/OQ4ur/01sAgUASa2Wxx+dQX4HG4LRqVwmO3A2gsDYDTWsQyq8u37Mdm6DDrWgEM5mo7YDA0HEVv1Rk70725nHajViX3eDwIFA5HT4/rO3f+8pWvgW1YvvLxUYNj798d2QG6AbvdoVRprW7fwOgTFZMYwqAioV1jHQKKIhFDI7MeX/jsq2/7xPKl518aEcdEw/9mogV5F/LsezgN2FvKzulctP4Tlq9Y/Moz48NxTPSN8nwdCCIerkc7mzsMnQvifCO7QyX3Da6PYDJkl8UC+ueifft8k+cFBVa5HI5CkcPCOJmZ/JyciGHDIoYPD8/NBR3y0IEDQ/r3Dx00iD90KHikqwg8yE5OJgT5Jk1MIlF7Xl7z9u2SEyfMUqnnwU1w8CjxCLrodrdDqSz2BNNC+MGMa7KF4RnB/BBasKdYqXS4AytQ7yWdSVy/OiIw3m0SV9B40tcdyC+/WCP1H/FjVVYK8pZtKxGLb22Tm6zm2uM/FDS3qG2A3SC+eHn766ca9Y/W9qZrgCJQxOj+pJJWZWFppUwqk8tkRpva0IZ0dOCdBlm7RFx3ud6ou7OVUuAXXt0samwUimWyJomo5NwebBCUwiKa3BYREzCrFbJ2QVWjQtrqP/9GrFYd023me20yqURWV11oNDT6S65SbzKerauTgsiazleVUIQtoxPC7Rh8nqiprrleKm2pbynJP+mwKXwny/TG6oo6kbRdKpOVVl9QSkspfaK7ZuCvAxeSQupw248VFsuk7eCXoDOZrs2lDkNAnTaXTi3XmXUGRSTERrEaZW2t4obaPKer80a3wOtxGYxNJI8aatZI21pEDeXVLmdPbwhFIpFkMtlvmAXw4fIlBz5wsfyiyOI/0g04tVJV0YEihVXbHTaP22ZtOXqgUfaPU2EH+Hf4NiOEDxWY8RcvFjbJZB0ymcZoZdFTdITks/knBRJxe5feaLqAD6Z1zu/dAhgU4oVDtGqFxgQnUa3N2PpDZ0qkYp/OkWr0RtvfzF2hYShS8MB8mdanvmTtQqmwuqLSqTcAVE4mkph+5vTherFIIpPWV59raS4k8VhX4z+hsEwSu9+52kqBCGy8WNTaWFcN6hgnjsa3CY2Cq9pMptWbHI/aIsFHTRMa9PrqinJRu1jaJSrSEnLvRBIS0TnlTMAyXfS+J88VVjc2tIFiqVCp9XbPdblIbwmezrTduTzDYTCn26lVybUWtUETBVgoVrusVSqurctzmhQ3yrNKZzBfHWQJ4aHkDpb9yo18I7u5oYHPJt+u0z20eN1uQ0tLK+if//or6KiDb9FkMjMxMWLEiPjJk0G3nBYdjaZQoIjrnvZDIBAYEollMFhJSeCZcZMngx47OSQEgcXa1WpZYWH9jz9KT5+2KhSBufT7n0fXeqtSaVr1nYm0r2DUt2pUVf43AR4K8NwB6TOPvT4sOpr2t2m2sbTo0bnLjs5Ip3PvIM/7w0lnVLNxsx0a4YdP52TmjhmW+11BO2s8rKFp75zMsZPHrakmY2z4O4uPjAKAfhz12cNfPpWbM2T6s++qF7+U3D8+K2UIDRlS8nzmlOGZKw4JO4y0BP/5N4JPzuGKK0ULh+ROHJ17WonXA2n+kqtkAnqC+nTm9ImZuRO/PguQ+ryem4AiJOQsM+7d+Nn0zFlvfrgN6DcOQHU2OAxnwxKrV82cPCA3Z+ovSgt94dP9aADqZhVI7NV7JInP2/ZiTuZI8Ev48NdfKq55KMGLpNWdFr334vSvL6lTxgad+v7wM4NyX178dCWQ6wRu983AUYToq61a8s4WWWSCG07zF/YU8fHxb7/9NpHYmc4wQIAAfwdvyIIYndGnc3L65eYs/O5YrSlyfBy3N/Ht4TNH9v5Tb1BvpTd8sIg4Gwf31kszXt90zIIfPSNjtF/X5eZkLv104xmx/7zbgEDhQvvNWe446lMUuU+8OHObjJjsxoGagp6WEMNbjFu2dEb/UTmZMzbLz9BfW9yPQrjSDgQtgtvniYXydza/Cjb+qaUfnFWE9HPDUAAvd+pk3pir2ixn5drNZX/TioeOR00T0rC2BFz1lhkjZt1CVDC06AGDnnsz9seXPprWFxTLac+/vO6cxng17uBtCUuaeufyHMYm12iFbz415ZOD6vRY1omaA49PzJk7fU6FGhwmeTfK89yV67dVXrXGCfzMMRG8Kze6MrJHdz5Fe3QA/WerStWya5fo0CGTWAyBQjFUakj//lGjR3P79EGRSHeSRw0Gh+ODgsIGD054/HFGXBzopbtMJk1VVd3333cUFNhUKv95Ae5X7kXSNVP1rp2H8vedl/jfAwC378ScsdOmJnazJ3RnSdecNm1TwTtD3iqmhoxasvDZuf2DOw+3n9v0w/q1expV4cv2/zAxmY69N3F97qOka1ZRi6T1WLkpXr7lZK0ZlzpjYL9MnnTrxzuq9NzRY0YOndAnFOeyAuK8tZuPlDa0k/mpqZOWzEwm4NTnLyoMldUy4qnTebkLXswhYgtP5u85eQ7AAMDoGUuHxWDONpzetu2c7yZRYxeNHJjdh4d22TTi04t/OaURSLlsKiEjVaNI+HhcPDXcU1N6/vjarWc62zR48OQRY6YkXCeLZqm24eTbG45ojVYASI5OH/nk0r48QFW0/riFYFIzrQc6r+26US+8Rt94uSUsN4qCoRj/rLmzNCpMWZj34ZebBTYUt2/OjGmD+oSTGi8BQyLbvmzH8Hlhvvu6AKD14gEVmhkUlYRw3Hjf/uBYc4fDxgOSdM2HU9vUIpK0yowAHAnwUtNZXrdMImrtMMDhNF4YFE5lU3BkuEsn1qKieXgEHGqSmiwWHTqSiwdgUJNW47TbETSCo+bX14VhQ71YNs5qhCPRvKQBXDIaCzEY5JKmqmY16AtzuCgck4hG8cgOgRLNYxCIOATgNLvNCgnAY+BsdlGzpKlNCocDvDCOExdEJ5P+3M2rrd13QVDbjJkcBoCGgovKCuOHRnAocDfgULZUCqRqvYtIooRG4NQAI4wGd2ksWqnW5RaL1S6Xm8qN4fGj2VjfyTIjDoXGkOB2h16hJ/BIaDjCIpW3C6uEGt99OPERXCoHBSiVUC6XAINbtE3NErFezYzsFY02VtW1KzQaHB4exOOZ0Sw+HbyRzWpx0yNpSF++fZtGbbPboWwW3qFs7WoVDk/mgD2RHM4m+j7vnfFg5Y/prqRr5o6ihvz3N+YBYJ8LzprYf+S08VEwUAUdULPswkvOmpOHG/xKJjudQ7u1ZjA2HijV2gWtDsXJQ/pEoOxCi9GIjUkdNn7qi5OTicbmQ2uPF5QXS4IJlNHzPsiNoWA6ozA4HWZF5bY9jqzRvKhIHgZ8q67cdgkzNEh/+VKFT7khASBpzPwnBmRFMnWN/nR9bEKQ5Wb1FU3vvNbBERU1mJXWyMdenJpMBHzRkUCVW3Rqz4Z9Nb41J35dxzAZa369mjWwGwgkXfubge86TL7eDeocAAZ6OmFJMcEsFFQjlZTW+nQMAPj1BsYFmMQtNgoWi2fj4V63y6kWGzFMFAaHssu1kss1YhonLiaYBvWo/boOdIB813KDaV65wM7mkdFENNRjM/t1DlRvtUHtXjybDL2qvswoPJzCBYcYSjgH1IwwM1hzUY0Y8E2CU0MYvIj0oGstKI/baVILLjYr7AY7AYfDc7gIgBTPJiBQ9mu0GcDlRoaERdKuhhq5cx5NQbpn/JXEugwGk0Wsw0RzCaB0WGFYGIVDgV0rhFC3y66W6LAMCkZfVCWo/749eQZF44K67X5RAe1Zo6zDg0KhKVS4266RnC8X2x1m38Z1BiMiJZoAjucILAbHpqLcTptaIIPxWDgiDv3ncAy/duz+G3lGwwGdoEMiEvqGyXicsUzWLpdo8HA4h8czYVkRZDy5s6f45RnHjmCzOFyotutatOfaG/lHdhLEaZLU2sihWDwZD/f8+Xlxt42F9EBLrMtsbt65s/6HH9Tl5V6nE8tggJ42KyWFEBQER9/ZXsMrgF6ey2rVNDW1FRZ2lJY6jEY4Hs8dNix6zhzwL+wf1hbgloBec08kXetRF93qMLaVbTxQUH3890sV5+v+fGBDj+ubkjtt5PARs4ZG0DFdy2+6gTtz0QG3TSMveP2ttw5Xu2JC+w5O7NpNo6o+c/5ytT1k8IINa5+I4OC6rVV/zX3kohurygsvbPhJPCAXprOorQoEBskixFKVYplC1xKaPqpv/5Gx0KYzF5qbW0VmsxmGRJNYIRnDJkRqDu04Jc6vhY6LdEhSh6fbjhnrlY0dJDcVtGIzB09JC0ZVtZefPVMDanWrx5uU3L9P70wqXFy09rftLigdi+DinSq8q9CUu3N8pNVRVFxYWF9DdTNAs1WsN8dkRQ7Lfe7qlie7XFZZdfa3S5cZLjwUgKrMFiwHPm7KkhR4zbdrL5q98uAYWgdoTcmN4qj4gUMzM/Homk7rmaTRtzZerhS2d/jWwqOJ9Mi0BC7eLd+z9ZezRnpqv77jhsUykbaCQ8DsMcrPv7MwkzlT5vQlWQHVsZ9PEplB5Hii9tKN9522JIVFurNo9g+Qi94tOE0a0EWXZjwfFpsR3yPRiXwueqvIxFk4LQHwhY9/uHk0XXSbRiCp2Ha0HLDarR6AFxzRZ9jEaEbtpjd+d7ghrhSOo0Putgp1ptxJuZnBqVrR7TRDtcWpCU5GSl2hQPnZSxoHOTpt5PBBw9LxTfsFkrZmmU2rRUI8TEy/QWNTg8OooNvvcppktT+tLAp/OjY1awDLbFLU/PRje9bkWIJGJDxXVgOOmxa3J25kv6ykLJzc76KDSuaPm9XXgNlBhlOr3m6OSrYg+EFEft8x/fk4wJfOGtRmgopzhy+0gffTwJCJfaJz+g+jOAMu+r/nbl30ALcl4KL3KN0msdI/yptFPxtGvDuUTkb//UTrQ8yDK7Eui0XX0FD+0UfSM2ccWi2exQrq1Qt00XFMJgz5twtCb43TalXV1YnPn5devgzWj+NyI2fOBL10clyc/4wA/4IectF7sAM7zVJpxZZf17y//kCrHJswctxVRiZg5a1Hv1y9ceeZZp22W2Ls/BNgSDyn19xRw0eHm1oufvWun692V6sQ/QYPfXJoLAN1j/zz+w67B6pHsQYvnvni4sEcnLOuURkxbd6CNxcORoegFC3tSm1L/q/5Iig+OCU1nU9BOi5vq5RZdHbApkfBSalZry5Z2BdrrWvSkGJ6L1q5bPkby5bnZkXSgoPSY9On5qb2SktNRotbFS2tYnWbqn7fZeTjg6aveG35C7OnZIRA9DDA61SW1TSoZPB+ryxfuXT5yiUvJ4WQ9fWl7Y7O7eYgbn2LuLm+oC3m8XnLlixf+drCYYPSnaVnm812lwdQa6AEbPSoZcvfWbZ86WB0i1NU2nwluwxY86Wy8vMtLl9Y8tR0grxI2tisZqRnvzp3QOqU2XOmjh6SwAMtc1+PCAob4IYydKJWk8flNNTVuNhEKF6vvMV9WzrvG+AWQOBIUmgyk0wm9FRfQhDYLCafQwLv5T8S4GEDTQ4J7TVnSGrvrNRUut2qq6pstQNuL2BWWBDM7MzHVy5dumTxXIJB2V5XWiS8vWZw47mhmdMWL39q8vJnhgx+fMqEqY9P782HdjTt/q2yHQkJSk9JDooIFZ45J5AozZ378+AwJJGfzXfoTHqpzm7VWOUVcn4sjhARk5qR9lhuSkpSSoJHLGlrEauv7uy9vfoClYTMRU3rM3LqnOn9o/Cd/jkIikULTxn4WHpaRnpKnFFvbytq0nUWBAgQIMBdgaYRqdwEFupKvs8ADx42lUp6+rSypMSh16OIRGp0NDc7G89m37V/DoLAYGhgPb17U/h8KBJpkcsVxcXK4mK3vTNBRYD7kp7rxG6DqPLybx9st3gMmU/MenfD9gNX2b7h3VlPRCghBd/8eLK1WWm/19IBRQLU7KnvLV80b+pjvlzonbBpfUZMnTD9+Uy8GQLpyk5xL+h64qLRdC1C+8c4HA6LxQL+vWE1xF3CYSMnjMoIQlMQZGxwdnT28KEZJDQSygnLobGSXSatpuZM7akvPl+9ZMmi+e+s+XTzRYlK43a7geCs8NSxqXyPE66rFTiHIqh9kzrzbnXicqiaGo5v+WbRC68ven3D0fwikUYqlciEh0YNTIli0tAAGk/mgYYvHIkwS+psEQgcWFXnAnJcXHY6kddbpTNccdFtqjYzQgWfOzAcj8KBgxEvNiosfUy7yul2O4GcwbE5M7O5nZdGhvSTYPkSvanzMgCwSOraLu08suV/Xelh1+7Mu9AIWt7+0hvgpExDYqLUzS1Wp62+ThlChrOhylvdV+l0e24Zhu5eAv70oAzYbDbfL3HfAEfj+aNfyfAtEvYf6W7wvD69Msb37xKVADfjdDp1Op3HF9a3mwElzWw22+32nqj8Gtxuk0x5+fCWNxetXLRk7S+78ppkai3g8QJRY0f1GZQRRwCgcCQxMiPeCsE31ylvrxmieFkZcTfsqzI5bXWCg9VHPlu9dsX8JcvefOezvfUyhcbl6ooVCkViiBnjw7QmtFSi1Ov0wrqIuBACDqZuKcjb+cGSJa8sWfX98fNVoIq5GuMSVDK3UV8YDzA5IzY2infdkkKvy6oTF17YNe+t5fOXrP7x19OlrdqAix4gQDfTc5rwfoSaEJ6Q81wG6c9M4wHuD+7QVPOC415bm2j/fotU6nW5CBwOKzmZGhEBhf9bSweJx1MiInjZ2SgCAbyLrq6u49w5q1zufUS6xgNIz/VhuU7UWvErzmmes2DOpMeHRlyz1pUQMfTxSXMWTLc7ys+XC1W6bgyu+08IS5v31qriK5zcOAnXtG3K1GGjtheoLNfFketJ1q1bB/5dvHhx19t/SnV19YEDByorK8FByH+oJ0HiaVmv/vbNzvN5+cXg68C+o89l/21wtdaqXc2CgoSnwPPzi396e8CoVH/BPSZk4Kxn1p/uajn4+uS1eYN5/qIbIUaF2oEQ+eUaQFQOjA8jcfn3JjLBXWG1Wvft2/fHH39IpTfEsw/wSFNbW/vee+8ZDN0fOb69vX3Xrl2XLl3S668sU+kR5JLL9UffdA/deOjH/OJtn8+bl+sv6CZAX37OvA/2buvSCcdO530wdVg048ozJdAeigtnCQFUTZkc2aTsPyACxdTl7Wpxn41+Jy//Ql7+L2/1Tb0phOE/wCo8KRDUXUg88fOeS3n7Nr41dcjtQicGCBDgruk5TRggwJ1zh6aaVSbTVFRo6+s9TieaQqHHxtJjYvxl/xo0ieTb0M7hwFEoq0IB3khVVuYOJGC7X+nBWXSPy+VwwL0ZYaEhFBbm2kU3UASGRQkJDUtxuy5JlSrrPfOHrweOhOnVdce+nz9/wfz5819b+/WBP0oUCpncZOvMJ3lv+Jez6AgEoqWl5fXXXwdd/bq6OkdP9jQ4EovBchr2CuRmOILNYbM5LCaLgIL9mQkDigDI8dGIU07N+aoO/zHAqFKgncpQRhibGcS2WGpcpiYAhaLiyClHBG1SowkAbCaduKG8xOVw4rhx6Gan+VC5EPDF5jHXXSg1iC/RycQri5nR9BCck+7a9EeLyW4GrxTXN7aWHg6mI2AwBJCv1FS2gff1OADdhZL8JJ0smXdlMh9LYuubHE3nZVY2h97ZeCqJgL7dQ0koOYhjZWCqq0/WWcLi4CQynnHL+zIQMPAz/8dAIBAMBrN582bQCvn9998tFkv3LKl4iOk4t+fIkdUHqm/MfN4pOQc+3H9kd43ULDU37P/+oqzlzyTJDxigNuihuSMYDOZ0OkF5W716dUFBgc3WMzm8rQaj29AUTg8KCgpmewCZXXvZX9LY2NoilYM90eUwCc9vMFM9pORMxm01wy1BwRAEWq+TQrtG56SCCoHNYrMpOAwCdmXfBPgvIiSCbrPKS+uFcloaDYV0aYRot4PHDGPTGWyrssZluzYRIPb26uuWA61J12jR1zOCotlBwQSnQmNV3i4BYYAHBqfapjh/rEgpe2D1xsNHz2nCBxpz3a7yinMXr5pq12OuO9coqKm7M+tceuFcY92NKW8D3MAdmmomsVhdWQmKLFgK+tKkkBA0mewv+9dAYDAkgcBOSwPr9LrdFplMdu6cxx5IM32f0nMuOgZBwBMjvVCzw+n03LSqw+1xOh0GiJcA+pjQe7tO1eowNlxa+8lXq1ateu/jNV/+uPXgwf0HDx48Lraw+k1Y9tKyxX2iCagHJcQhaLzS6fSioqKtW7d+8cUXO3fubGho8Jd1N1AcixQxeGxYXemRbz5fvWrN6q++/PpSk8nxp3kOgQEoblIaH6WsOP4ZeMJHa1bnFbUikUFqr2vbD6tXf7r6fLlab8EDSBKPmTA+WvTLiZ/fX7P62193l7R5SW4AgmCkRYWiyPqDX65e9cnqVWv3CRVwVq/0YGSnvQwCI4VzQsIyyH9s2/DR2tWrPt1acF5BHjwogoCCQwGaRVZafmLVmo8/XLP2iIiYzklID7sSuBYRlJXEx3Gu1Lxm9e/HzonUABoOpQTTjucf3HXkdI34z3XvCCKHgkbhW/ZqWWEEDBFxm/uGd973PwbsQklJSSqV6ujRoxs3bgTF4I8//tBqtf7iADeDorAZjHCmb5v8FX+sEwgEgFOYEUwGG49ymp26lhqZxXDPg2Xc/5BIpNjYWFDV7N2795tvvtm0aVNpaWn3Px+EUvAUGId7YPfGDz9ffTSvXGqk+Etw3g5Rwd7tYF/+4ssvm8LYUVHJqekht9UMV4GBKpNJLBOU7dq+o0joDYp7og+m7tSZ9f9bs3rVuvWf7i6TyUxXt5b7wIWFo5RuaKkYGcFFgd4+KyRII3Lv/nzN55+sudSm1juuXUL0F+rrlmAoPIwXrtq++utP/7f9nECk8U3rB3iwcdtclo42ucUS0BsB7m9c2iaVsl12daPO9bi0Up1WfYcPmswdUp1GfZuaAvi5E1PN6/GYJBJdQ4PH5YIhEOTQUDyb/e+XuF8LWC09JqYr8pzTZDI0Nto1GtAj8xcHuJ+Avfvuu/7/diIQCA4dOjRv3jwC4V9GYYY6TTKt5I/jhTACm8MMpjFp2CuWitMgLas6deTgXkH9oEmP58Yls/HdIoAFBQUUCiUxMdH//taYLOqyg3OXba/tqDO4IEg8PToyKpQENYb1Hj3z6eVzZ+Zy6ajbTbz0CB0dHQaDAey9wcHB8H/YFbFYLHjt6dOnm5ubKysrxWKxzWZDIpFgbeBfGAwmUOi3FzeDZ05KiYxgkLquujUem8UBmNzU1AgKEu616WwAEkOJCQGvgdq1ZhgVTgrlB7OSgoQ1tQ0N9S1yuU1v5CQO5lOhJgtARuKZMQwUAHrfdKq5XdZyuahWrpbL2eF9UiKYSq+q6GyxRi6PisjG83vHsLmxXAaT1XaitlHc0OoCbdvYvqlkbhafyQymmz2exjMFVQp5h5rcJzuz74Q0zp82LhyPwUPp1Kb8wpp2sUSF4AcnDJ0/JBwP85gVeAhMZTSXFxer5ZqgzOnDMvuEkPRKWW2LJTqNw+RGMuy4KzXL5WRqSEh4PIfghaNsx4rrPA5caHAYi+y2oSMiyXAEBgG1mrDKRmLGhEg2AYG89X0j8DDodT7e7THZnVuK68G/g6KDBkV3W0ZDECgUSqVSz58/DwpATU1NWVlZ14o+UJbQaDQKBf4oACgDoCSAAgCKQedF3YDH5TS2VesdZqmwpan0ck1ra7OTQMKgcFCzoaO55vzF6iZBU5PFDiBxZCjEIq+XGi2S8lapUmLykuAawfmLtQ11DU0ajQFGCCKAPe7qN+l1O52q6rKKqqqaWlmH1OH2iq0oLMLjNBiNOgucgAWdLohTLVObFAYvxedoG2Sll+sqKqrFcokFRaNgEP7fxem268QFHU4cCoZDwsG3Tr24XgvBoSkMFo9Go6C8EKOotLy8srpaotCa0SwKEY2i05lUt1tec/bcH4VCBwKOIhKwJJTLpWk+d6kEFH2Zye1CkcFrAaOoRW+UNTbKyi+XX/34dxbh/5/ye0Vzs0ofzSI9nnmnv6BUKi0pKRk+fDgG083xAEDdAtZ54sSJpqam6upq0Fc3m82gvIF0KR+j3fnDuXrwb9/woH7hdyvtcDwCYsJaT50tkUskHFo4PS4nmMmOZBvL6q0Ye7vUIqis11vMqS9MykhI4jBurxnMKBaDwmUSfI+kCTDbuWaRQqRjRvbOiEuIglRUtAlqq+QdKq0eEd4/ik2kYK75BTFwp9CBtWJ4w1ODMBAUGe8WitSll4p1Ojm/VzaemxURTGejoXabkxHJItHZlJvVFxvudpnlFmJcGJlCuHbHDAqDd5ndrWfy6xQd0JDkIE5yShA7Ohhv12qRIaHgENwt22vuQnIeAv7BwHcHdGkkoQHmgKDwSGjXW7kdbdK1qYTni8oEzU0CtRsHR2PxULPDJKlScMI5eArBaVG0CQsKy5sEjU0CrQ0Cw9Gw0E61adI0tjQ1iTq8xGBQ9/m0lQtU21pBuxmuLayuqauu61BqXSg6FQ0DrLKixrrSsiqBUCTSwxk4FALl0hgMsnql3lRysdYEsdq1Dlnd+ZIKsBnNFjiAwFAx3W/CPLiC1HOasBvpXom9HTaNQNwISmxzc5PGqChTIYIgtMRYsgscy/4cB1EMChrmbK9VQ/EeWuif0WRuL6La+hobHo8O4ZDtKnFBYXVDXV1TVylYk0PfKtOpRVJl0+WSavC+bgwejUXfg53y95vE3omp5rbZZAUFkpMnHTodkkDg9e1LDQ//p1nW/gYIBI5CaVtaLAqFx+1GEomsvn3RNNq/iUUXoIeUTA8mXbPLKhqPfjTlrYMt8lFTXn1i/uLeV3qJvv7QF7t++nFjSyjtpa+3zOo9PLx79NGdJV3TGqXnNmXOLR7/dv+po8bH4kDXFFDmf7mwyJsxZNSK6YOupPe6l/ybrx3s7Z9++umePXssFt+mftCwS0hIeP755/v37w/6/HkC+WMbToLHH7XcMx6HyWxRiipbao+0hL8xM5qEI/pL/ht6OunaN99889NPP4E6outtSEjIuHHjpk6dmpqaisfjJ32Xd7i7k651plVb2MhJbjxXU33oRAWWaB/95hdPDM/laBtP7fpqxYYiUAm4R4+eP2v2s+E8+R/v7rVHK7bUuiMcUaNXDNb/OH9NgUqv8mQmDZix4Kup6SgoqstH94IOjUJycNXbWwtLmjXhIdzcEWNruTNfGoBDtgjlckfSpEFUcLTTnN1XZG618BdODLMby0+89uHec6Ul9DjqgPmfLhyZQMfhfAuW9WZ51c4xeaz3pycOiwuBqE2ais2f6rNH2rWYUKM7ekIviPXCrwu+2llY08qKHzjoxXWL+0nyj7hYQLtde/rFj7Ya3Whsn5eee/Kxp7Pg2ks7nn3vN5XOHDp4zuiZLz2TSUQ1bPpUgFEeK/SeP3kES7KP/t9XswfnRjH88bq7lbvIHwPqk57IAtKFXq//6KOPtm/fLhKJwLegkREREfHkk0+OHDkyOjpa7wT6fLy/418nXbsFTiNQu+nz9uywsPiJ8X8TBiMASCDp2r8f+Dw2ra7g7R8046Li+0xIInqtGsXRtwqZzyJ1Z9R/rFt70HdK/PQ1T0weOybKYpNd/K0qIzeDGUIRNZ3cs3vxNwfggMVjTxm1cOKTr42JtgpAtYkJPnGpUWYkTF/x86QoAAs61Maq8uq6jSfsj5E++um4vrIlJLzXhBn/e3VcGEpx4umfd57ce8mLJNBSn/nx5bGJKZCSivqSz6tQqVu+OpWzICcVGt1+eMUm3z4Q17BXn582+aW+4d3uAj24gtSjmrC7uBdpAl3WpsJP9+9c/+NpIhTIHjHEyhs4OSz98fE8rbFq17K1vxVWtNBisvvO/fjVoaGI8r3NcLYzamDfq9/Z7UVUemCXnsUm90sJVhTtnbp4h0Ij9IZFZk588r1XRnENZV//LrZU13tad22pBlxpE959fcqojDRqjzzLvpb7U2L/2lSzKxR1GzbUfvedXaUicLnJs2Yx4+OhiO5/4la9fXvbuXM2g4EUGZnxwQdB/fuj7uPecf/TQ0qmBx9kIRkRoSNeWp6Lj6Uf2b9x3tTMqwx5fPmWLe2xtBErtj6V1SekR5Im/y1VW1aueHyQrzm9+2eOWvZNUf0Dug+QRqNlZ2d3PYEDMZlMpaWlS5YseeONN06cOGHtoW2i9z2myp++W/nUi2u/vZw1PAyJfuht+cTExNDQUP+bzoBemzdvXrhw4dq1a2Uymct13fLdbsIOAIW7zqkcmfM+zD9/eNvXq8wftDeUV5kjokcu/DC/+Eh+cd7mAb3irIWVRsBqB3YUAkkr5rz28cdzRnKjp7625/RO8IQd816Y4jhYqLXZr6wLdSjNrQU/ruMNe2rjtvziLz5YkAhsRgC3W0PntBsVhZ+VEue8swys7acPNw2X7itVCdVdi64JCGxI4uO/qYFWmQqUCZ1LVCtMj4fSyJ3POY1Wfd3eFc4xM9aBN9r53VeL+1EIqE6VyEjLHv3s718sHr1y3zfvvPB8JiAVNf8syf3ht7y8/OKPJ8XHduwp1ABgk2t2qB38x2f6Pv4Pq8z5lg6J8NFY7YdEIkG1AyqfrreggDU3N69Zs2bp0qVbtmwxmc2BgAgBHhqgCBQ5tj9CorWK2k2Aw+kwVheF03D45KHzpq0ozsu/lJd/4hkSgBU1iP1XgBiFZ7dXVpfRvivecaI4b9/GMViyYEOeALC7QLWppvAnvfvT+nWgf465unJOXO7c81F15LalX4GKccWcUcj1m/MlZjt7yLol68C7nP9964+jm0vMapkSANSNtrIt7uifDn2xYvbzE58YNn9TVxjUn7JdsZaKykBktAA3I847KiCX8jfuzi84kb9yNN+C17WCA65RVriuLHb2Mp8I/fj2i8OlX5cqTKpb7lu6jYheWSRNwNAHTNp18idQFA99tOhp/qX8eoev8KgIQBH6fp534mTed30kDnVBk9x/xaPHX5tqoM/sdjohMBgAgUCgUBgS2b2r3K+CJpGQOJzbbrfI5Y7AQvf7lR6cRQcAj9tpUtZdFJSe2rDt2LYTlf7DAMDr+1jOlGefGJreJ46BR/wZbuxfcmez6E6XTSMuKG+1OUyASlpccPK9n44AgBWgBIWH86My+ezRC9blxlMx99Kpk8vlZ86c6Qog4T90x9hsNoVCUVtbe0NQdzqdHhISAglLKWdmg28ftVl0p7apRSTpsKAZkWnRNOSfQaD+I67OokcZGqKMAv/R7kOr1ba0tNwQKRSDwbDZ7IiIiMoOgyooecS4Kd06i66q+XXuefaz0amDB/HxEHNH6+4XDuBfikseNBBf2ZD//sY8wKiSyvijYgeN+CCh7d2NnvEzBmelcvFwwNcHTy/+5ZRG0KLWk8JMg9/cOTWKifM9KnaqqjpKfl17ecy0KSm9YsgwRZn08g/rrAufzibeYhZdT5ibJvvymU+rCHgnCYd2mp1uq6D/h59PTh8c5ls24XEaTDXrf23qHR6RPpAuEZ7dfClh+VBqbYcMLXdHjIrXX/hw7m7itPTc8dP7hOIA0Cqp2rfXwWJxsxNsuoZD73ZMeKp3cKzt1Kkj29/c0hrNJSLgUJtGSgpJGLzgq8mOTZ9cjOTFpz6eE4Qyq1t3b2hJmsyNio/vgaeOXRMCTJs8Q13kP/R36HS61tbW+Ph40J32H+o+3G63Wq1uaGgA7+I/1AmRSORyuSxO8AWhypEyaumMSd08i+5xASZxi42CxeK7aYPUQ05gFr0bBj6vG/Rkzu3crqdFh/TJDDWVfrndOWJCZmKITVp0as+G32sAh6KFlj5l+sSnMmLNnbPoMR0tl8tq2lFD5s2NxQMIt7rm0JGGVi126kzK/rmXw0E9OTAn+Jolkcaq8svFPx6yP7tgdlQQHusWVOWVbv7EMHXXE/EYYc2+g8eOFNY73WoBc/wHi0bGGzT19etrsz6Yn8AlIBCASlb6x5lPfs4DAFVHI3/Ys8NnLRn1pxfQPQRm0XuUezCLLs17IU8eYgyb91w/KgJwtB95s8wZZ2dlpcm+mvuVgIBFk3AIp1nnthkHvHMsx3zWQb5pFv02Ioo4d9jtm0UfGOEwmSp/+mZvSVWjSI9gG8Of3LQ0UfLzViUtkj1mYn+SGzAVfHsUGcINH9Pvdgl1ug1QYo8f3M2UV2WGMf2H7gP+2lSDuVwpWm1iR4ddo6FERKTMnk2Ljvaf1K20nDrVevq0urERRaFkfvhh2Pjx2G5w+h5dekjJ9NxedBAIFIbCsyJCuRxaUCg/NnXwFYaPfWz0sME5MWTUHW/lvRPubC86DArHUyIi+TEgEfxgLpceEjl48IAsNlrdWnumtV4ZkTs3hUtA3ctNS3g8PjQ0VCaTgX61L0n7PwH0w0GbuL6+HvTVr33gAnr7ShAH1BvuM5F7dIPTfQgMQ6Wzw8J4XCYO3q1Sdpdc3YueSENlh9H8P173ER4eDv7iEonk2ri1LpdLr9e3t7ebPVCAERYZm9Cde9EdNmXlBVhsDi+Ez0ZBQN/JK79Q4krEenQYfcXZdigBz2PR0C58CJnIGBBiO6MKyU4KDqFj3CaptvHECaHNDQ9i0ogoEt2MipmYzMR27uJ26cXalrOX6CN7RzK4BDjMaQIsqrPm+FQuAqbVmc1uVlwY2DchVlF9u1NngaTQFUcKDNSYyDCwN3NCORHJSWkZvUOpXbsxIVAIikASlagRSKuX6G2udSVk9QpGyhQ6mNnLigslYmlmFwpnbqxpqxFIcHwuSdPU4MHjiTymy6YWnDHFpnKJFGNlq0hQ7orLig3hcoK5/JjolN7JMdFB1rIqeAyHy0tmoACPxyuvVdFj8SSaLyZDd9O1rY6Dgw8Pp/h/8r8DhUKB/nO/fv1AFeE/1H0EBwdHRUWB8qbRaK4VObvdDrru0g6ZE4EBguP6JcXf/V70WwKBAqBNgUPjA1l/74zAXvRuGPhAqYPjcaaKdjdGYsbxjDWNlIxEPsRRKqg/02bk0ihsHgFiYkSFBUWGsNyde9FJUnG7R+4IHTgoDAcBIDCsU1NvdymM7Ex84wVU9ABucOh1isKhkBlslbb4iX04BAwMgFvMLRrlXjlrDlt1pFYq1DuDmVQGC+9SsjP7cElOiMvcSEwbFYnHwe3K+tKm0kopwMRzOXS0lsBLovKzYrvbGw3sRe9R7sFedFn5Rg2URY4clUD1RUb1Ki8rICwLhMhQnTprjI4OD4sExzdeeHhCRlpaH6apyYK8fi/6rUVUyZqTChU3gVYsmolHtV/eWKZwe/FBLDIRT0OYmf0GcQwVWhQzODgtnAbxAChjuwBggCOsL8xRz+KTWEk7h4ganpHoH7fuA/7aVEMjEGEuF9No9DideCaTlZyM6ZnnSjqRSCcUWtVqOAbDGTyYHBuLJP63m0EfbB64vehWs1zaVlTbCgqf/8jNwAEgLD4rhMPCdctnurNZ9NtgqD636+CB/W1S6n8wi/5vAG3ihoaGiRMntrW1ud1/xs4HvX3fM7nwtEukdPDtPZtFN3cUKZ14DyEqnNL9+2duxmPT2XUiBSqegUf4dvT9DR63E/S8ZDAeC0fE/ZMQHC6bQaYR1dk5A1hE9B3c6EZ6ei+6Vqv95JNP1q1bB8qD/1Dno9mgoKCEhITLHqacEDo8O6vbZ9FrYxdFJQzIZHqdRkn9hvdPh80ORtRQ7U35jHdf60fAyg/8VuoQWmiv9la9ezT4qVEJqREUq6Sw5ezqLaTPn8gKiQNKLtTUbahPWT87iYb3TfY6FeXtlzatkD7x4oj47DCC59pZ9PoqicQcPm1iGBKwN23aXg6IPeGLMhSfvl2e8eysrL7xQbf4RcFR0Fi1eYcc49SFxWlaQmaOD8PbCi80IuXu2Il9O0OEG6sv7v7tRLFKM2TZu2PUZ456bpxFNx07X1T+g3TClTmrTq7fFO2xGTWnNlWFjWaFRPXcLPo/msJqbGw8evTo3Llz8fjuV2ageaFSqZ599tljx45du36HSCSGhobyImPP2Gh2RuRr4wZ38yz6HeM0m81KBcDl4bx6dbPRYEGy0zngF3Fnnv1dK4r7jsAsercNfB3HjlY6qkXIIeQ2U/8nEklNVT/UNDTgBn8zLgIwVn69vp0SQxvcP9nx17Posyj7X1dnPR8Wm3GdovBNUdb9dISyeMUADhkNNVVWnC7b9q1r5vfckvckpOT43i9lsHWSCx++rxv9QnSQxaEQ/WwY8e5QOhmtqNxyrK7OwFj6Sl+iQ3XMNzXqTnhmYnf70Q+uIPWoJuwu7sEsuujwnNOGKFvMqy+k40CHW9I1i07vlaH6cUXV5GenpvaNIV/VdfrzOwWwm2fRbxLRDdCZmydDCg45WWxiHB1XvmNW06h3h8cPZsuqLtf8utvz/MqMts1/uMFRYeLAqGvXqd2TWfT7UGL/2lTrHx8f1NDg+eMPp9FIi45OnjmTGhXlP6lbEZ4+Db7UAoFvFv2DD0InTMAFZtH/BQ/cXnSVtGjv5vHjp4//C8DCzXuLpCr/Jf8pxMT+zyz/aM8X338+JJWM7pZQuvcG0FAuLCzU6XRd/jkEAkEikaCUDB48+I033li4cGHXafcMRdk3Z87tOdX8j1fs3x1ObZPi4ldHBMbb5Q65HqfTLCv+YX9Ni1TtP3KH2A3ii5e3v36qUa/8MzfbfURVVZVAILiq9GEwGGiOREdHz5w585tvvkkd/hhAZncVdR+gY1bdLGpsFIplsiaJqOTcHmwQlMIimtwWERMwqxWydkFVo0J6Q5QHp8toMgrYEJNNp2wX1reIGuuueZCHQJOwtEhxXUlTa6NIJm1rqxXUHXe6bL4NoVapqaPqkkAqkUoFpaBJU9qKwCAI5Bjxruay8sp6qUwmlSvkRrvb/efjaVDFkULjjF5to+iyCpEcCUFcXR3t8XpsFoVMZaaGDRg5aMpwlFEH8Vx5ZAmFAjA43KDS6wxOJA2w4lp2nigWiYQy8C5qjdYKfvj7fLN1VFTUggULesgqBSXtwoUL7e3tV/1zOBxOIpF69er1wgsvrPviS0pSPwD7Xz6VN8ukjUcPNNqsZrOgfP+Zgz9cFgPATek/b8ddK4oADy9BkTSHDllffl4XzCfCCE6LmekyhLvdMolCVtVYaFA0+U/0QQgPJXew7IfOlEjF7VJZ0/mqEnNDA59NBm67tU9hcOZVC8SSNplUVFlWpW0umpYU7LK7owELxWqXtUrFtXV5TpPCf/oVTA410tZG8NqkSoWoobZaLpP5SwJ00qOa8AGCwuoltyIv1paCA6VM5hcVOIaEJUa0//5HWVVdve+4QqEw28Gx0X/R9dwsoo+nBGMRXdkiXS67w6xMR7oheo1M2NTQ1prfGbEmwLX8tan2zJNPxsTGwtBowOt1Wa2ea2bduheP0+lxuXwOA9gCFAoCGjwB7j8Cv8q1WJR1NSc/2l5usBj9Rx4A1Go1aCtf7fBgb09LS/v0008/+ugj36KL7s3WcAfwhqybOnHhzOQemEn8L8HSokfnLjs6I53OvS8H+urq6q7Y2l0EBwfPmTNn/fr1r732WlBQEOg++Qu6ExQA9OOozx7+8qncnCHTn31Xvfil5P7xWSlDaMiQkuczpwzPXHFI2GGkJfjP94NnxIanzxX/b9qi8Zkvfbm3UM3NAoA/d0vjeaS4Me+Ff3X4g9HjcjIXvPlFNTDH6csYTeAnhGAxwpVTMsfkZv4mCEEShiQABAwla9KGFdDijZ9Nz8zNyRw/cdT3F1QSk7+yLvBhyRYp33wJSIwC/vTQAaNVVbB36rCnczJzx77x2U/C3jlxSNSVYjwZHsTlfz3no/99+10NIWZo9iezLq57ethE8OScFxa+mSf4q/VBDz8OhwNUO6Dy6XoLClh4ePiyZctAzTN79mw8DgcO/V1F/z3EXoNfnDrvg9zozoVbAQLcLWFschsr9LyInYKHIRDEXgnBbWjhvCk5ucNz8i7gdECq/7xOCPzMMRE8vybMnfj1WYDU5/W/FEIe4MxVVs8ZvSAnc9x7J/MM/TZOS6Vyh/Xjnag58PjEnLnT51Soc53gadcTFjkQhuZtezFnwMicVUeEWBM5zF8SIMA14JMnDyerub9Pzc0ZkHtVVPA8avqUja9JS3+eN8M3uk2dPHX7BdVtbOCbRXRyHBXrl2gEjUtPyYn49tmPpvXN/XDjxiZgOgDcv1sL/iP+2lRDE4lQBMILeuZeL+hCu51O3/97AIfZ7LLZoHA4kkRCkEg9FJQuwL/kkVzo7rICorz3vj9SXNsOUMPJmdNXzekFlH186NiFgwUkl6nPsqNze7MInUtgHwDy8/Ofe+45sM/DYLDU1NRRo0YNGzYM/B6oVCoSifz71VPgtyHOO6Bm2YWXnDUnDzeAP8XoGUuHZcc59ZLWY+WmePmWk+5hCb2Hjolx6kq2fryjSm92JOTMGNgvM0J/5CAwOTeOGU5BOLVN2oajlylPRxvLPUSKKyghDuOree3mI6UN7aAiIlBGg1ZyDAXT+cDV6TArKrftcWSN5kVF8jA3vO1smA9J/e7f8/ecPIfEAYmzXpjSJ4Pv1V2Ji2ONmZibgAwy/rHx1+NyVBxz5LxZmbQ0su6IFB60Y8vFtKlpUdAQ5flvD9X7aur/1KQhWUPQ9UXbPvpmr9zOZGVNfHb0uCnpREnltpW/l+patcnR6SOfXNoftH/sdbv2H8s/XCTBYDC5uaMNQdnJkSFJcI207DIwJJfjbK7yBe+50OgbfTq/q3SOP7D17enphe4vvPDC7t27tVothUIZMWLE6NGj09LSuFxuV1AJUAZASQAFoFsXumtqfn1dGDbUi2XjrEY4Es1LGsAlo7EQg0EuaapqBr03IoeLwjGJaBSP7BAo0TwGgYhDAB6b0yQTXK5X2p1wKh1P4yBg5GguAQH3PzH0uGwmSUG92KY1g665geBV/GCd8Ex2cCrFpOxoK22QgOdw+BFwDB2FwIazMYBD2VIpkKr1ZlCnXG3GtZsRnGrZtUudnWqtGWr3ohhYo+R8udjuMAMEIo0bkRxOQxqVMg8KhaZQ4W67xleK5TFCuWFkj0PRcLlRbXeC4yWdwgyNTWXiTeLWK3HLvG6XUy02YpgoDK4nopjdb2v2FArFlClTysrK7HZ7WFjYyJEjQZGLjY1lMplYLFaqt/T56Hfwb/cnXbstNq3wQsnuz3ZVA2ZHbObo8b2TWPALR4DZc6PwelmdSafD98kGBzVj3YG1xwvKiyVXNBK8uapRXV/XHCzd57uWP3HMyL4DWZKa6xTFjCzalTBIQi0nJnPonLcH8wD01R+6U4t26ToyPzV10pKZyQSc+vxFhaGyWkY8tM+nr3wqaODkuHud1TOw0L0blw3bNAKNQaPF+kOQgm87JA0Cqc+S4XDsJDaTQKQSPVqJkcwgobBw01VN6AGorDB+aASHBHGaJLU2cigWT75OURiryuvrfizEPBsJGOGAGR9EC+Yn82mgGrN0FLWK5RINHg7n8HgmLCuCDHd7HFaxi9HVDLdJKm8XVgn1AEDjcGA4BgdL5LC7Zja7j0dTkO4Z92Chu2/QljW2i5pbtbBrRYWFdjrVtZVNCrXBBjrySFRYQl8ewaKwQ1BeHO3PDYt/JaJSJwqFoBLRXYMmOKRS6TgSi+fCMKPJFonaC9pSbBquc9+ZrKNrhO1x5/3+lNi/NtWcRmP9Dz9Uf/GFqa0NQ6UmzpgRlJaG7N4FIF6vy26v3r5dcvGi02ajxMf3+fRTGniXwF70f8EDFy4OgcRTGTExUb6obLcDLGRQ8chrbel/w52Fi3M5rfLG/Z98+euRE+fKBS1tLWKZUVJVeGz7oTKDDJcxbtLw/n24dBSsu1rVo3Stct+7d29ERMT48eNBoxns82CHx+PxoMcOnvD3MUjcNkBy+scDLWKVjRnMwmGpRLNQQGKiUWZEa93h32op0QwEKyGc4kHYJAUiLwqJZzLJeA8eND9ghPZjRbiIECqTCrO0tzbml+hj+lIU5QY3zIynMIx1eRtLRTAUMTgoGI9AWtpKSGHhFDzTF8fL63VarA2nyyBhUAIjFGu2auoO/qGgRkQHs6g4n+HiBdW++GKFpE1pIVLwLCboBVowbKe6yNx8pkYbSeFz2PyEaC6JCtOrOtpcQf2ik3qlU/TGpvqN+0yxfAImJjmcjaMjvQYXns3mIFwGCglLIJPhhg5hg5MSHxeTnhVKQDgFJ5ttKA8miEogoPFIBQQfg5EU7yyu63AhwkPD6ESSKa/WE0Wh8UK8GmlpkS0phQz3uPQWuxuBZTLYUJORHYInU4Jxf5Pk82q4uEHRQYOiu3PPj8vlamlp2bp1q0aj6dOnz4wZMyZOnNi/f38ej3c1FR8oA6AkgALQreHirMrKPGvk8MikvtkJMeH8CBoOjgC/BigKRWQERcZERMZwWUFsKpFCxMKQBCYZg+oMCAdA4DAUmcmPDIuMCQnmsalkJhl9bUg/CBSOIkcEh8ZEgifQMWiL4A+zL2wbm0LAUYLAg+CLRWcwSDgKAdkVyYkSHBrSefzPZlwLDIunk2lBBPDr8N0GhsWgMXgMAgrHk/mRnReG8YJBwYNAIWg8AbQmQBH1xZX0lXIZdDwKDkejSNyw8KjOu/OCwap8kej+jFvmy4+Co2BRyB6KYnZfxWoymUzV1dWbNm0ikUhDhw6dPn362LFje/fuTaPREJ1b9Y125w/n6sG/fcODujlc3G0wik/XVx4rlDHoDJ4vMm5cFJsAc7U1AilpNKRaLNDKZbCoCJyi9JBQZzUhmCQilYoHZAgqF97aVFhTdqmDHBuMwnFg1ko0Ho0ihxAsfyqKGBYBrys70WyzujF0KomCIUKUMHIME4OE+XSVy2DTCfJKlUYHlEql0whYtE2BDo7E6y7nn20+W+qIiaag2GS7xkTEEZg8HuneDi2BcHHdGHwLjqERyH+GIAXfUligQgDVAoPFYpNwBAwcDkUQyHgEAg65VhNGRoaw6b4YW74gumQ2Do2+UVE4FDKVoVLBnTihb3R8fGQIh0PBgmoMvA2SEMwMBmvgh4fTaXQOEbwWiUVhiFebAUUSCPSQzmZwWSwOhUDoDOvRzTyagnTPuAfh4sBBDYln0LldEvunqIAyCcOxObyIztGNz+dTcKAUYwhoNBaU2D/5KxEloDFY5NVBE6wnmBdCp5CZBAQMgQUtADxYCgKee3WE7XHuN4m9E1MN/CmMbW26ujqTWOz1ePBBQTgmE9WtzrPH47Eole3FxYb2dhgaTY6NDZ86FUOn+zK9BbhbeihcXM8tdHfZ9JLWoiPHjlyqFesMN8ykuww6ce2lo8eP1Mrl5j9DDd0THE6rtPTIHzhKeN/cceP6xWXDKn7+bM8fbVxaxuyZ8+csWtI7moDs8ed73URHRwfopWdlZT3xxBMLFy6cNm1aTEyMv+yfYFZYEMzszMdXLl26ZPFcgkHZLmhSO+0eqB7FGrx45vjh2RSJqPLkgUYMPzolJTUVbdCLK1vVrD7BqiqzQQOaqDqDtUYZG8lAEDtX1nusSkPruWNV9F7D5r66fOVrS2Y9PQ0hKBYqlObOVTtw0AmLGhjn1Fv1Up3dqrHKq+X8gUwmyx/k1usG7JKqI+eq283u1PSU+NgUaFVpo/ByVZ1Gp5YlTZw4f8WCmcOHDxiSnDHq+QnpObOWPTesbz8e0WWFW3VBsfNfe3pc35z0NH7C4Imp6b1S02PNtXZxsxyTkDR24ajEEdPnvDJ6VO9gS13Vrt2VtkhaeHpKEgaLbj5xqlbdcqpERKElPrFw+cqFr7yaxbMQkdfnlseEhqWm9h2dnpIcnxItauiQCKT/ZS5sp9NZVVVFp9NHjRo1b948UAwGDhxIofT4KhAIHEkKTWaSyYRr54K6HQQOQQ5PYGOJ6J5TVg8nOp2uoqLihlyM3YJer6+vrwdVzaRJk1588cW5c+emp6f3RGq3O8YkL68UluuQw958YfHKZcufmTgk4ZrFOF04XZaO+l2/VbYjIUFg5w2KCBWeOSeQgBrJ5EYj+BETVr68ZOXCwegQlE6FvFZRDI6At8mqtu6ucCDoUSmpaWwsRnTiZLPeZu7crwnqOm1L/q/5Iig+OCU1nU9BOi5vq5RZdHbApkfBSalZoCZZ/ua8KGSwUym+LyNZBPjvgROJZHZCKOnqYqIA3UXPacJHi4CI/jvuxFSDwOF4Ho8UFQWBQFw2m14kMiuVoK/uL+4OPC6XprnZolC47XY4FksID0fT6dD/cvgOcFt6rqdZVA15B96aMmPmx7+ebZHcYJdYJS1nf/34ySemfH3uvMjQU/EQbo3d7VAqiz1pOS++tnrDhnX/+/ilCST8hEkv/u+jN+fMz2Za5WaH+zahMu4/wD4fHh7+8ccfL1myJC4u7q6t5Kixo/oMyogjAFA4khiZEW+F0PQmM4eNnDAqIwhNQQBqeaWg8NvSza+//foLSxYt+Xz7oT+USDey14iwOrNT2y6T6p1qQUQKD47oWpHjNGkNHVWeJ/tw+Awa6GdRgphpIyYojSSr3e/vwhEAPyVYrkBLJUqdVt9YHRYXgiddWc/jcQK6WkHDqX0/r/tk0fwlS19d8sXhs/WtcFoiCh5X8ONP5xtaWpQGo815Q8guMp/Ra+7AGDwK51su3S6+tHfPwvlvLJr/yZZ9Z6pl+uu2KKuM0try3y7tXr3kf8vmL1nx0ddbT4l1mvbGItvgUFpWBMfXRgw/bhKOwPVf0YnHYeqo2XF407wlSxcu+XzPkbIGuen6rc/3Fq/Xa7Va58yZ884774AuExaLvTfbgOFoPH/0KxnXbUzoAXAcXMyE5/qw702CgIeJxsbGL774wmjs/sAabrcbgUC8/fbbb7zxBmhkoO95wIubkChrOLba4UMzSDfNTl7F5LTVCQ5WH/ls9doV85cse/Odz/bWyxQal8seH0vJyc4gA+ClnLAcGivZf8UVzEZJY+nP9TvfXr/qlSWLXn3/ix8OtelUWo+70+YHdZ2m5kztqS8+X71kyaL576z5dPNFiUrjC98ZnBWeOjaVD6pVgBQSFcLgPCjbpwLcczCh4VF9nhsdiftz+0SA7qHnNOGjRUBE/x13aKqBLjo1MRF0nsFSvVhsEIsdlm6Lvgy2wWWxdJSVWTrjyKAZDHqvXrCAf36/0nMuutGm0siLUJ6s/lGR9OAbdlLgg+mRUf3TnaidFa0indx/9J5yZP3ieWMyM4dMGrXoG5Xumy8WTxqbCTJ12KjtBbcLlXH/kZiYOH78+OTk5K71pT0KL2nAi98VHzxRnJcPvnZu+OTpwWx4Ylpkm9bTUCVHWlzXRdv6e8Az48JZQgBVUyb0NJRGxoTCiTfISeKsqSu37/PdrvO1YvaTQ0dmT5u/4+dptENT3/5o/Xdnm2/vHBuFZy81NLridhfvzivet/7FqYNuDqITRqIveW/XWf8tdm3ZtXgwn4D+66/SVPnTZRXbNfZ0Xt65vN1rnukV20P7xu4QDAYzceJE0FP61/EjAgS4I4KDg6dOndq7d28Sqcdz23YrOACYM++Dvdu6+vux03kfTB0WzbiTR0xYEn36h0c3H+jSRcf27XlrQjSRdsWwQeJpWa/+9s3O812a6sC+o89l36dxJQMECBAgwL3nDk010G0mx8biw8IgcLhFpVLV12saG/1l/xqnyQTWpheJnFYrikajJiaysrICU+j3LT3nonu8brfbAfGiUAgEDHbDoyIIDIZAoJBeiNnhcnnu7Sy6H6tBo5JLpTKFXGN0e4wGjQJ8J5UqZHKTzd2ty0p6EiQSicViwb//cuK0sbG1RSo3A4DLYRKe32CmetDBrGvDzeDwXDvAyy8XAWQ6jc1hs5k0Kh6NRCBjkmmSFmW1tNVESg4Cf2p/MxB4CjEoCfrLRalQqQb1grZDUXZ8P4Ogx6CuzLiBZyJCIug2q/xcfUspPZmPQhCuyiMUCpAZLMkfzrZGhRe8XeeLjMdjMCgcLTgsvvfMt8dQqSFWrdZ/wc1o9E0eQwObHQ1eirOrRRb1Dalo8EiKnZhyorwDAFAMX/1MBouCpzLCWkUK/7fhtArr9pqNvvhkV9HJSzxuDSsokkmnYQ0tbQ7Tf/KM6SrgTw/KABqN7oo+cN8A9iF93YF3Th7ZdhH8hrsLp9osOfv9xrPVQrV/OYbHAeguHPjw1WUzxj8BvubMeOKTw+eulv5zpBd2lZeeq/tXT+mcDrOs5If9NcKHM2UXKGk4HA6FQkHvl0wtXEaCFB1/4lSJ3ua4nfJGwRAEWq+TQrtG56T6+juLzabgMFd11u1Boah4UurZCokOQJF9uojFZJKxCGjXlQgUFoPlNOwVyM1wRKemYjFZBBTstrm1AgQIEOAhwCw1N+z//qKsRfv3mwg68+N+ebTBdGf5cR9C7tBUg6HRxIiI0NGjQV/dN5He1iavqDDL5f8+tLvLbte1tQnPnrWq1V6XixAWxuzdGx8aGgjnft/Sc0YEBkHAE/keaIveZHTeZC7bnEaTXuBbzvxfkTx8xtOL3n39lRkzcrDYnBkzXnn93UVPzxh+4xLHRwSct0NUsHf76lWffPHll01h7KiohDDytZPJWE6f0LCkaMX6n77636erV635YefOiyILFOElJoTCit1QqRQVwkEBV61dKIZBCOk7MLSm6Mg3n69e9el3OzaXYjOyIziM6+Kq4cLCUUo3olpGzkggI69ZCQCBA6jwtP4RWGPF8c9WrQHvuHrV4SJBbe2ZooPvrV372c8HixUIIp5GJ2HwoNWs/v2L306eLxQb/Jf7IFA5CAi8audnH6z9eGdho1HrRfucCziaG668dOynI0eLZQR+0qQ4994NO9f+D6z/659/Pd7i9gTnpmPL5QVr165etf7Lz4vEWIPjunW8+KBYeIeodvOHn61fu6/GaLIA//ky3/sSUBTgeGYUnRFE9kdC6QZsWmVH5TkzHgMgEH7l5QtbIGuxoL3UyJSUXinJqSl8JgVzpfSfY+5oUina78Dk+As8HqdFXtOi1pvv+klBgH8CnpUazY1EqL794Os1oK74cd/pmpt2faMQuKDk2X0wdafOrPf193XrP91dJpMZb5ly5FpFcabFzWclz+jl3HF2x4c+7ff1d18fr1fYfMH9QaBYFili8NiwutJOXbdm9Vdffn2pyeQI/PQBAgR4mHGanbqWGpnFYPv7WS2PTWeVVbbqHJZATIC/BAKFYjkc7siRlPh4OB5v02qVtbVthYVWjcaXyfxuAa/Vi0TSkhJ1QwPoqyMpFHpaGiMrC47DAfdPhtQA19NzEd2hTpNMK/njeCGMwOYwg2lMWldERxCTWnC5bP+xowfr60OHjZuSksInY/1F/4o7i+hucxjbyr7fT3nirQnPzZuUhiSZjxzhv/XW3JnzBnKQVvv+i8gJ89JCCKgHJWLcX/P3YUI9DkBZVmPB2NulFkFlvd5iTn1hUkZCEgNicQAmNzU1goKEQ2E4JgkHDbaeKiiRSyQdcicOSQ/rFcNGAgS4rchB5WB42YkMJNjR3SatE0tFUXgsEpnLbimrbWiob1E4sG7+2FdGxoeQ0Nc9P4TrxRdk5nZkrydzuFgo/E9FAXpYBHo4w66VtVwuqpV3yOUdpIgsMtCmajiRVyyTy1WkzBFJKQkxVAQECghP5TfhQxlMchiFYELxUtkoJAyHwessnsYzBfUKOTYkIYwTn8VmhfEIEByyqai8wQwNDk3pnxzLc+WfrpO2Nck7jB4kNqJfYnh4iKdILaq/XNWhUSvpVLKZ0ZfP5YXj3E6rDR0RGURmWFt9rRLo9djYQSG0yPQQJpfxNyLccxHd74R/HtHdZTMYVAKxE66pqqqsrq6WKLRmFIOChnn0zU0NlZfLq5pbW5udBBIGhUPCwNHXJK24UFLZIKjXajRmJ0TmQFPQaCSCQWRwKAQvxNAGipausrylprK6QyXxkoLwSLhbI2usrSm5XNPU0tzkghGxGBwSem1VNggMR7smOrFVKxPXlTSHjRgTwSLiuyTJ6wIsTRdN8ckDxj4zc3y/vv37xQdTnGLhTY0E7Qm7pvncpRJQIps1NgMUH4SDAkZRaXk5+AmvfkBdwzk9FG6Boo1lF6ubBE0WOIDAUDEIr9vpVFWXVVRV1dQ2i+USC4pGwSBgUIhNrRQ3gNU2Nwmamyx2AImjgp/CKDzbgEqNprKxcEWb6GKJGM7AohCoa0T8H3EXwWl7KMTonXDvI7qjSDSkE247m1eilEnkEBw7NDiMRXb7OiwZ7naYYXAEMYTPpkVGecor2gS1VfIOlVaPCO8fRYdAQJWAocbwOqPm2rVmGBWOY1+jKNjB8X2jQkIiHCdr6tobmjrkRrcBF9E7ARThztkQOBZBZCUFCWs6dZ1cbtMbOYmD+VSoyQKQkXhmDMMnwX7FSGL6I2LeKwIR3f95fGyn264SFxRWN9TVyTQyjc2jNngoBDgMCpikMmHl+ZIKsLNbYWQkBg2xGJQNIpNLVF1dU1sjVmpdKDoVHOSgEJO2qa6pqLhcKGzWw7E4NNarNxlk9Uq9qeRirQlitWsdsrquqpq7lAzK7bTI66VGi6S8VaqUWFF0ChYcCEGVYdNI9fJmlUF7uaREoHS64V6ERdZWUFjeJDD7moHHQG1Oo6T+/MXahrqGJo3GACME4RGAQycsaagpq6iVisUAjkPwDeX+z/iPeXAF6T/UhHdOD0Z099wsGwSET66uiOif46/boWgTdspVY5Ogc/ylYCBWVb3YYBE1t0qEYgsS7Aia6vJK3zgok7RYrebLzth0HpHsbBE3ni8qAwdBgdqNg6OxeCTU47IZ2/Irqmqr6zqk4jabRSglD4uiYyjAzYPmVQeh23hwJRaKQqFIJLtWa5FKbWq1Q6+3qtVIPB6Fx8PR6H8cet3rdbtcxvZ2aVFRe3GxTaOBY7HM3r1Dx49n9+0L++9DyTwM9JCS6bm86IBdVtF07ONpK/c3SUdNXvjE/MW9r/SSpkvrNmxdu+t3Io+8+NvfZvcZEd49+ujO8qJrjdJzmzLnmhZtGvD4uCTLwXM75s4FNm2a3n8cturg9oK5n+E3Fc/tz3lg8qL/NX+fbNNpBGo3fd6eHRYWPzH+nu2e9Ho9LrtRbZYXnyw0ypz8J+dlkzv98v8aL+Cxm3VGq8PpAv1Uq7L1+CxR1NrYxOG9WP4z7o6ezov+1/zzvOimjvLKC98fwkwk//TjwdqKRkpEn95PrF06LhRV9+0PW/b8fKLRiyW7xr/7xczBQ8PJdnFJzf5PFm4p05scWWnJkf0mqsIee3coXXlkt47FJicE0ev2rGhkB+3c0tJce4mbQh7/xo4newd7Sk9u3LTl5yPlAA5wTZn/5ZyxQ/gMeWnNkbWLfyzRGh19piyeOnfJSL6/TYC7talZfPwMYc7MBDxof/oPWgHVsc8PA3QGLzeTA4FAkQSap2rDT7/d2EivStB6dutT63Zr9WZo7xmDpz33xRCasWrXsrW/FVa00GKy+879+NWhodpjHzTZrY1qeP03P5UAHuOQl+ZNm/py3wi4Vdac99H7mwtKBWovNYqU/dT6pZMTaEiYsPDkwW2vfX8EDkqPY8SI55+YvaBPvE1+atV+wpzRobEw28nfD/9vq3Tx1qeHRiYw79I/u4sUrz2UqPNO+C/yoge4NYG86P80y7THJdeLT/w2/YODeoMkqg+XmzkSis34YG4iAe6pP3R8/y8fbCkFzxrx4neTx/fnaesvffe7o7925+6SplpMeObEGe8vnsCFwu21JRu+//2HPUdRRCDz5TdfGDeCLmxtuvx5FSp1y1enchbkpEKj2w+v2HQZvKNr2KvPT5v8UjrK0n7m3b32aMWWWneEI3Hu6mf9w2J74db6suM1mPCt3/1mDJs4dVL2EGTrpTc/2eOxZ7380/Txo/qy1camY+vmrzmr0qs8mUkDZrzy1WNpgPjSD0t3HL5Y0BpFYT753q7H05m4u07f9OAK0n+oCe+cHsyLbpfpr5eNBV9NTUcBEEvxpa837fnhUB4MNPyeXPLN48OynaaTe3Yv/uYAHLB47CmjFk588pWR4eo/Vv1mjJKerXGorMnPvj0t9PyqD7YVljRrwkO4uSPG1nJnvjSAy5Z8dXTXurUHwft54qeveWLy2DEJBLdedOHXsV8f1NZKYkK53BGjoO7e6yfG4TnqczcNmoPSuzsK3QOt+jygUy0U1n37rejQIUNLC3gEx2BEjhwZlJqKZTCgdxx8CnTx3Ha7WaEQnjrVUVpqUihgKBQlLi7u+ed5o0bhQ/7bSEoPDz2kZHrQJ0Iy4vmj3/rsWWJK6JH9G+dN9QVj62LqvI37jwBhZNwz62ZmpIb8y+n6AA8iDrtRUPjZyPnPfH1WBEsd3ev+8M9BvWgH1Pm/LZ01NyczNydz/PRZPyPWR0f1SaL7yx8lRHrnb29XRj6+bFNe/qHPnhrDWff1xVaTLfbp51ftzMsvPrZrzze0P9x6iVDVLLws2L2lz/KfTu7LL142Jy0cOOqv4woOk7vocxn5qQ+X5Z/d8eZzz7fuqVBY1eheg1/8eH1+cd6JI3nfMVweY01NlVDYtrd54rqtp4/mF3/y2rzBPH8NPlRSs1IsZLNcN2/zzfvil1fHgj/Z6PEjV+wXSINn3txIwbnLP65jLPvhiC864Lq33uuHM8oK15XFzvZ9wOIf335xuPTrUoVJ5agqqGkt8QxYln/pUP6JdfxLZMGBM7ViTc3v8wrTcpf8cjC/eN/n85azVu++KBI2Xzyzq6mqYsA34L3A4+v5eHLNxtOt/lZdiVkY8dOxpeOio6+GFwsQIMD9iklSXnv8g8bnv35j5/m8rxa/0ZsmvAC4HQAgzrukxKr6fp6Xfykv/8Roj8FaUyYGRA5g7yXgqUUfHMjbsWLOJOKX+TUmu6JyW401dMxMUNUcOpT3lFulVF4SWtWNtrIt7uifDn2xYvbzE58YNt+necDXT9muWEtFpQEArHZgRyGQtGLOax9/POPaYbG1yda21Zn74468fc+QgPzCbw+zB+ad27N7TajVLKlpNiEZhOipi/ec3glWuGPeC1McB06JZae+LGfOHvT22bz8XXt2PZ5NxwYiGD6K3CQbBwtVNruqctunQhwrezMogWfy8l+Z1pdsOru9srqM9l3xjhPFefs2jsGSBRtOCgCzC9hcA/QaNGfVhg9GpxkLtnzOG/bUxm35xV98sCAR2IwAfJvLGSnzpq0Aq/J1DVBCsaIGsUmsrzv8dsvLY948cjD/50/eHMRsK4S57YDh8l8OmgF8QOFwAp/PnzqVN3IkLjjY63ablcqWEyeaTpxQNzZ67jheltNkUtbUVG7ZIj5/3qxSwZBIPI8HVssZMgSs1n9SgPuVHnSLIDAEmhre+4lfPnv3lQnZHIUvGFsXClVYv6Sl7/y2eeZIHon6H6VYzP/p/TeeHj9z/vvvbTUYtr73/vyZ459+4/2f8v3Fjw4wDMAfPz4juk/IvVzugkBgeUlT1yz+39vPPz4ghXXbREn3GggCIKYNnf/mss82rP1sw8cfrX1xWEYME4+869WBDzAsHHrs3KHpaTFhbHZCaDQ9pn++wmy3Abr2vB2/L5q/7PVXP996oKheJW9t0Xs67NOGp4aG8tmc8IjM0LDe/jquAMeg4qb0S0yKDmfzw8MieiUwPDCoG4I0S45f2DN/yWsLlqz9ccfFylYbEo9xsIyb1hfLFF4ilUS47sG624WBQ4NY1FtE4uo1afjLH4E/2eoP1zzXjxdKN9/cSJ1Hap2c09VINpWMd2pV5UfO7Pzf6ncXLFk0f8Wqd7/am9/Qbrc6wpPj+ozKyeCxg9ns6NT4GBQOW9dS3d6wI6t3VlJUbCibw49KTe07za4w6Rsu6dgQxPA+mWxOMHi834AMMjteojIALi8gKjnwXkm7xJ05NTuKTcf9GUwxQIAA9ysqvdjRtG9Y3z6JUTEhbG50aGR4YgKAgAPS5iMl+977bfXLSxa9sGTRa2t/O5JfI1MbWSjk6P4ZUVHhXHZsTHRk+CCLBaWtrr64e8vX/1u1aP6SJa8s+XCjb6GOzkjk0pOmDUwIDQkh4wlYm77xjzOL5r+1aP7H3/1yorhFqQcAFBrIyYlNjI1jUym4a4dFdjA1bWqfpFAul8/lhGcnRgzpFc8J4UT3jw8isDFOLwTmcds1Jcu//WT+klUfrNl+7GKHGhEU6SnY03rxYquXyWTiUFDI/TLOBriX3CQb50XtdnVltTYDQu+fkcxhs4PYbCLO0SbRsDoQoDBzuMEcduSglExyXJxQpkO7PSOS45KT4tlEhM0mLTFO7B+RFBfL5oSExEfHjUDAfaYjzK2RVxz7ddELyxe9tn770bN18jZJa7tgZ5++A5Jj4kPZvNCwqLjERDgCYW6ruM2g6YsxG+AqoJdOTUgIe+wx/qRJhLAwAAIBvXRpSUn9vn01O3bIysrMnbnN/Wdfi9frstmMUinoltfu3Ss4eFDT1GQ3GhF4PD0tLWrWLP5jj+G43H+8YD7APadnNTYUjiaFD+s38sl5Ly1+91qWvPzqk6NGDOOz0PA7Xa7R3bTXFp3PO3gsv6i4weFoKC7KP3Yw73xRbbu/+NEBCgeI/HAmmY2/l0EdoTAEkZkwPDunX2os5z7KeA2BASh2eObA/iPHjRg5btjQ4ekhRCL60TRs8EhYVHoYjYIDfx4MAgcn8+V2l0F0/mKbwgSJ7pWaktorno5BIWxGoxNqg8RzSAgYeCoaS8MRr8skDwJDwOjxwVQiBg3AESgshUGAQiE28bn6NlkLJD4lNT0lPTEIjUR7sHRe0uAROb2Rjad3b9h+9Ey9xl9DF3AYlIBGQW6ObhIUH5mV2/mTDUsPgenLi/66kSAep91p1hIiUqOTM1JSemX0HTpg7Kw0NpaEoLDoQeFcGhIcEgEUgUyDotB6k85iEIYG08kYXzAFBJpEYidA7C6nXuUmQRF8BrFTmSIobCYSz7baHeAgCRjkwmKhXq8ncpnXRFK8ZwQHB48fP/5+3n4ZIMD9h9VpBoyiyGAaFgtqfjgWRSAyGOCIBZgN7TgiJi6lT0oKqDH6Dn5saEavSBYcD4NG8lidJ6MxOByR7/XA7Bodhk0MS0lP6ZWS1jtlwNTHMmNT2RgUEcOMB8c7UAXZlPXVzVWNpshescm90hOCGWS03elTcAA/DPTObxqN8UQ0My6IhIBCESgcictkgDoHAoWiKGQcEocEXCaptuHIGRUHH5ySkpYSHRZMdHjQnIF9+w+IxrcITjzSIQwfcU3ovlk2LGaoTa3z8KCoIPrVzD1Og8lFsiEigoiA7xk4gkZmIuksi80G93ojWRQKGQ8HB02HWeWNZYMdAfTLEUg8iRoJAW1IQCW+0Cg4rcekZCSk9E2KQ1FJNrPZdM2gCY77BAqdBYVCnSbtbQbNADeCIBJpqamglx4+bRolLg6GwVg1GlV9vbiwsOn48eYTJ4SnT7cVFnaUlsoqKuSVlbLyctCHFxUUCE+dAk9oOXWq/dIldVOTw2xGksnM3r3Dp08HHX5iRAQ8YBg8CNwT34OeMHj8nJXXMmf8jMT/aukwAo5mhQ8bMXjcLRk8Ylj4f/jg4BHAaZIpFELp7Z+YWi2KZsGxo6eO1QmFjTWtrSVCNai7rwuZ4AesqlYiKBIZAPc1dXndToeiQqrRaQMhlf8VJo+3WWtwOUHD0WWwaO3trXwCTt+W12hExGe89vaSRa/MGhgc7LM30R4ArlRprZ3ZCm0WtdlwXZq622FoOtBmQqKz3lq6dPmrs3ISg6loAByrU9LGLlnQiwJrO3e+rKKs47rwry63x2iz3xBB43rAJqibjt3USAwB4UF7a6V6p7urRigMjsaziLwJY2cvWbB85bLlK19dsGRQJIGC1ppsep0JPAusSq8SOj16OINKxhL5onaVzmpzg5Jn0+tlNV4UHEGiw/Qep1DZJc9OrUzhMMkwqE73nsjiZ1LgDkvrhRtE9N7A4XAmTJjwCBqmTm2TSiWVGW1Og6Qmv0mqMNt84Q8lbaVHTp+81NCuM919WNybsVoMKlGNzOq8979wgJ4AAUU5UfRmUEo6VZ/FbjQolYDHDaBQFErkwF4TXn51+cqlPo3xzMQhCbybu5fvyR4GS+Sk9J/4xCs+xeJ7jevbryseoR9dR0mrRIAJX/LOy68vnzsmNYn7r1axOXRCRfUOAfWZEbPeWTJ/9qRBsUQIAoKP7TP9+UEDoony8+cOnRTobOZHUkYfWU3Yxa1kAwpBUclQscfeobqaAg1BxMP1aGdzR9do5VTrFA6VHItG+yS6C3DQhCPxKpXOZHf4xkGHSa9p8npcgLO9uUohUoYPW/72ouWvTs/kR+EBGAwNR9FbdUazw9eRnHajViX3eDwIPOU2g2aAWwBqHUavXlFPPBExfTq7f398aCgEDjcrFKBbLszPbzx6tPHw4eZOd73r1XTsWOORI+Bx0dmzypoam04Hw2JJkZHBQ4eCfn7YhAmUxMQ738oe4L+l51x0t8tmMkilHf7F7bcELDSYbK5/m+zvn4HHUDPH/fjDJz/9+MMGkB82fr9t5+/79x3o4tstP4/LomICW7Z6DFPbxZKSA+daQBHxH7kOr6tDWrp35yuvvrFo75kzR3acPbPxlMB0axfd0lGx59KhbwokgP2aurxOo6H4q3M1TTdMwAb4h8hdziOCBlFbm1TWWt5YoblYPCuK40RoyU451GmWSNuF1RXlBr0eTWRD4KTminNN7W0SmbSluVjUeslfx19itoiRjg680yBrl4jrLtcbdXKvy2k1aFVaOabXE5Mm9UuL0Vst/rNBYHCry9Mh17j/yhsCi3Q2yU2NZISToEGonSfKRSKhTCrT6EwADkuMaP/9j7KqunrwiEyhUJjtHq8HaJEp6moFbTKZWCa7UHLC4ZVReiclBkdPu3i+oLKhViSTCpsqyov2YJgEckxvUofbfqywWCZtB48XFZaaFPVcOhGAQ4DQjPFv50YTGPXfHq+WtektRr3ZbnN0p3sY4FZY6naVlxdcbNNZxBd3vnPsco1C5zaqm/OPfvXiiqVfHSwSdXTnwzuVrKXiyA8XFJ12aIAHHwKW4WRmH2+oaRMJpTKJQNTUUl0DOF0AmZWhUHnOXzjbJJN2gBpDbTDanLfQRFAYQOaEqM8Zq/64VAkqFt9Lb7b5fJo/MTnUSFsbwWuTKhWihtpquUzmL7krnC6jyShgQ0w2nbJdWN8iaqzzehx2HegUOSmD4oc88/QYJeD0+B9PBniUuIVsQBEucmIiqcil7BLRDpnMYEaGcMkdLPuhMyVScbtU1nS+qsTc0MBnkzsn1TtBoElYWqS4rqSptREcB9vaagV1x50uGziWm5kuQ7jbLZMoZFWNhQZFE4DCMEnsfudqK8EuBA6motbGuupql9OJC0m5zaB5b+YMHzzgOBwlKSlxwYKkRYvCJ08GfWwkiQRDo112u0Wl0ra0dJSVSYuL24uKpCUl8qoqXWurVaNxu1wwDAYTFMTs3Ttm7tyUZcsipk0j8K9G3w3wANBzPUIuLvj1y8zMwf4QcbcELPzy1wKx3H/JvcJtB1T5P700a5qvDVOHjdpeoLIY/WUB/mOswgqTx0X77syOE69MmzZ3yZSp10fNuRYCf9DC0c+tmxQFYO7lIv1HhVDAORqonPLWy5m5Y9/47JS2/4bZiZReg6cbmoQfPp0zfsqMH+pwKXYsDaCnJcTwFuOWLZ3Rf1RO5prNZS3AKH8dfwmv1yxYQ9PeOZljJ49bU03G2PAhlibBsfUrcjJH52Tmzim4XIfpl3xNOEk6B8fg8WVy+F+56KAoxPW6uZG4CH6v6CmzLq5+ethEsPLF779d7KamT9n4mrT053kzfNEBp06euv2CymICkqjGdtGhV3NzsnNznryQksafOiw5mEeKG/Ne+FeHPxg9Lidz4pu/rEF99kx/fnREn94jSXzethdzMkeCx3/UA+Q+rw8J87fFJ6LzMgflwnYOnfnr4e8+2VF0tkzsLwrQw/iCJI1ZvOep3L48hqpBbQaaRh/6df+650fG86+u7QwQ4EawtLDMPhPnSj+Ytmh8Zu7L6z66pOZnAzAkgE9+elI6LF04b0pO5nBQYyxc/93ZZpP/qmvxqaDBr7/IxfqUW65Pt2Su3llQpfIXdxIWORCG9umNASNzVh0RYk3kq0rjbiAwYsPT54r/52vzS1/uLVRzM+wGy7kPXn9+JHj3iW+uex82OZGGCQSsfATB3yQbWQAUCVCSR88lKbpEdHBuzpc7z+vwmWMieCElz2dOGZ6ZO/HrswCpz+vDojsF2g/+unFwwZtfVANznAAOIKYnBLehfV0jd3hO3gWcDkgFEPQIbp8nFsrf2fzqkNycp5Z+cFYR0s8NQwHEXn85aAa4BRAIBI7Hs/v3T1iwIOvDD1PfeCN46FBqYiI+JARFBg3kP4HC4SgqFR8aSk9LC58yJXX58qwPPoh7/nlacrIvBXqAB4qeS7ombjy4/cfxy74BgNt7v6Dx/eKaA888Pi7q2rDNd82dJV1zOoyiy9+/+MF3RWcFehOARxITUl5e8d7T/QZF0h6+/IA9mMnjH6CSlf5x5pOf80APPKZfiB2XzGbGLZyWAACOul37j+UfLpJgCNTc+esGE2v/OLDpl8MXdMTU4OxZr4zE49Esm5uVHmKv3HbJwREVNdQXF5lxpIyprz+dwcV7mmo0Oi08uz8oP4oL7x0+VXymhoJGRgxKrTUlvZYWH8aXXbkvEJs5evyIif3j/qMEAg9g0rXaC5vOYOZGQY1wwEwg0rgRyZGghefRNbWIJK0yJxxO4fEAOCWSQiTj3XKtpKhGDPjmiBUntQ57e9IX89KQUHWHE4VCENBIk1xgZ/PIaCIa6rGZHXqFnsAjQfW6VqGotcMAh9N4YVA4lU2AYJ2qpqpmtW82nMuNDAmLpF0zqliVzS0VJ0qDZ08OwWP9x71uwKFsUcGxGByb6l/K6NTeopEkQGdWNFxuVNudboAawuBFpDFRTnVtZZNCbbD59t6jwhL68pCaVqtFpzLbpVLfMgxOTBY3iEVBAx6XzSQpqBfbtGYAwFFRvMRsLgEFh7pNUnm7sErYuWaDEhEWyg1n46FOm1ogg/FYOCIKMMgUwoomHE68syM4PiZ5YjrTd+o/48HKH3Pvk66p67ZdOL1t2znQBUnqHd+GTR5OTxgzkis5cxpIjdK1nt2zc+ep067QaPqEJ5cPzw7Tis4fX7v1DHhh1NhFIwdmJ8ElkqLftbTgg0cKcGEDh4wbl4quPfPmF6e0Bik3O2nAuBdHR+DFeYfUKE3BZWvRhXMYIpC7YEkOEVt44NCmfb9LIKzooZNeeXJQFhlRd1XXTRwzcuiEPjSY9vqqxifi7+F8USDp2j8e+Dw2p0kmuFyvtDvtMLO8w1RXhp21cmI4GQvRCDokDQJp52m+zh4UjIWYxFpUNA+PgCMAq8VsUyqhXC4B5tXKmn3KTdd5rk+NUOAwj1XsYkTTkAgY5Ire0AMAjcOB4RgcLJ5Kg2oESjSPQSD6IoD8iU0jNVstbrpPA8MsUpkVboFRwimg6+TQdhggKBSOjASutBlOpeNpHDgEy0dL6lpVPuV2jb7y1/jPeTQF6Z7Rg6baNfLcJRsIGDmaS0D8KaKgIIVFp4cEUd0OueTK+EtlhfFDI9hE4OpYhgMt5GvHQRwOzw4ONaPZfCoaaWnq7Bq+qjgcO4nNJFDAa01qwcVmhd1gJ4Anc7gIgBTPJiBQ9psHTWK3r71+KCXW43K5LBaHVmtVKq1yuVWhsKlUDp3O7fAFwIHAYDAMBkUioel0LIeDYTJBdx1Fofh2nt8cwSdA99FDSdd6zkU3qAXVZdtOFoNjiP/IzYDmVOawGWmJ0bRrN2ndNXfmopvMitJd06fuRPXDhccmEk3GjsaNlclvf/D040NjeXeZtPj+5X5w0Y3iAxXnjh7OI5D4GCiLbKnykFG8wasnJqjKCmta65qlRrUGCvWScYMyslFt1Yfy/yiVUoYlZQ55LFGuMtK0bv7IeO2pVW83RyVbEASoVOkye4T95ryUHcZoLJbKZYgJvqp+/n13U4cZhwnFejFk/RZr3zUZGemxlurK3SfLQCG0uj3B6REZ/aem/zdBEB5EF/3S5gvslXNjyYTrHtLejF0uE1ScO3yhDQBADx2JtdPDIuN6z02iA90eCd+maG0vzTtrT+vbOwoc1B+YOSGvHTAX7jsIp3D5vQfw7uJR4F1YG1KpFNTkw4cPv/ebMO+1i66pOXbmSF5pLR4fjgHYJNMBT9RITr+Zuez6334FcgegHc15h45fOGKPH8wfNHICDeLSCCqF7R0+TwtNpEem9eUR9Orjr+8izKWZjPFxyZGhEcjaQqGoTex0W1BYdHAMN6H3KNu2lQdBz8qRQjdIvA6hnjZ+6iCuvrH64MmD5e7IQcOGTB7A8WpNlaVCiVQCAG4skRCZxQ+GR6k2nTjBMmFh3uC4sMTeY/uEgr/HPTOXAi76Px34bBqBpGLb0XJfBjTAgYVheNTk1LGDIqhoxKMcAfnBFaT/UBPeOfeDqfaQ8dCrPpfZ7DSZQI/dbbOBrjt4BAKFQhEIGAoFx+EQRCIMGVg2c4/oIRe95x7lI9AkFq939vA5ixa+/rY/StyNvLFyZW7fbvLP7xinx6XXCzwRGdNmLXhn5YpXl84aHNHepleYdLdKXhDgX2OSlwskTU76C2++tGzlsscH9+dRATPgdZn1dVtPVrYrAG5KalpMRLg8P7/FDJrLvWZPGjp01uuvPpaZwCZcUTAe0Ml1UdP6jHxh2WvPz5sdLWtTmoz+HaVdVdU4kkOGvL5k+eJXXhoZT7RjIU4AIJK48ekzR6ZmZqYkYuw2eVVd+20izwW4ATiaRGYnhFN8U0N/h8dm0UiEFZcrKy5XVFyWuiOJUdN6sbrfPwdBUwjsxCi33OSy3moX6H2LFwK4MOyEUFYY454t1Wlvbz9w4IDVavW/f3gxtx5v0sJdCUsWL39z6fJp/aIIFMg1280xYbGZvXNnPJY8acGC14amkdpqy8rPt7h8eQRS0wnyImljaZPe6YZY2rGJo6bPf3xYKl1ddW77OXFYDAc8h+VGaCr3VqosTo9ZgSEnDs9d/s6Sl158migFbChU5qB+c57MSZ38/KvTBsTCzGUlxeebtKnpseCFBJmiveFUudDQWtkSMiBrxsIXn5o2rU8o9h765wHuArddZ+i4XFPl02YVdXoTwB08IpbyaPvnDzSPjiYM8EgB+uEYFovA55Pj4qhJSeCLkpBAio7Gh4ai6fSAf/4Q0HMuukpatPe3x2e9v+3Shdo2qVQqV6p1No/nvnGPSFC7x6yRqnVqNyIOsMN0SqUMbKZCJjfb3N4Hyfq/35Eoazi22uFDM0hoJBQghHGiWNExgMtpFdbtaTj4wdZPX12y6JU33np/W424ReW8TVoYDABMzoiNjeKhARwRzY8bB0dcXebRVVVqNDk9KhQHIBBIenRKFoFMAdwOs6Ku/ORnb7/x8pJ3Pt96sFCo0mQUtPgAAP/0SURBVBkCLvodgabwo/s8Oy4Gh/n73UuY0PBBc5duO/DztgNbtx1Ys2ju+Lgei7eIoOG4g56bNyiR/0BtS4EiAXJ2n+TQ2LuZQQ/wN0hbz7CJhsGZiUQACgVIIVFJDM6Naf+uYpHUtV3aeWTL/5Ysmg++1u7Mu9Cos1spOGSfp7Ljwmh4wCrXtV86d2HP928ufBs8570vvz5Q0m7WgcNC1NjUpKwIjk/JUKNT+Hjy9Z3D2NouLDh56McvFs1/HbxwzZZdhbVWFC04YkrJ1t2FRaV1Mo3W7AgMLvc5uKCs9JkHNmzyabOt295fubQ//9rtuAECBAgQIEDP07Mb4uxGdeHHT8wZ3TczM3Pk7JffP6M12O8X++TI+sXzxmRm9hs99Mn39quPfb5qzuODAtHj7jW589d9tqM4Lx98Feblr/dFcsL6i7oBVdnlxroVzvkbdpzJy9/12Zzxuf6CAAECPLqEDJz1zPrTnWrH9/rktXmDb4iGQo+ljl3z3f5zR7vO2fzDjilxdMwdbJYMHdJr3sbd+cUnui5c99Z74wfQs5/dsW9ptvabzZ++/vq2y7rORUEBAgQIECBAgAC3o+dcdDonddDktfMyIVaX3Jd5re7iqV3vzHx88oTx48e/uHrTrupbRUK9h1gNGpVcKu2Qy5Q6i8dq+HMW3WTrTO8coJsg47jNMG6+QOjLWwMYW6WNckEDAIUhaYxeVa22Vr2TwOaw2UFsNpWAQcD/+RrQrqqKZZYauQoAnE6HSlBRZNRpbQaZxygPpYez2cFsr6XDYbzsvyLAXeFxALoLB85WXKy7LjbxX2ISX7xccuCcsHOb+n+NyaYtOvbirKUzxj9xzevbQ/knj2zK3/besSarrenggRLBRXHXWg5QDejrDrzz+dLrzl/22aYDdTepL5cVEF57bScd5y5WXL7FyQG6FRIlVmRBF7ZKun6ytsYqpW8z+K3Bktj6JkfTeZmVzaH7NA+HSiKgr50kxeCxHgO7emezjgAn+E5gM+hMHAL6t6qJQCYbBNjGP5qsHAq980IqmYJFQ1FEJpOXOnb+iLiMXmaFMuCiP/KY63b99tmLL61Y8c3ZijPfzD5aWBRIERogQIAAAa6l51x0DC4oNnHa3OfffOvNd328+mRuP8SJglOHDh48uOuXH79b+/6qVR+tWpV3XqA2+C+5N6BRhOg+i5e91Nmqm3hp2eI+0QRUYDVq90EOSuazQm1lX6z6Ys2qNdvPnBNrABwAReBoKc8moavbTn+8dvWqNWs/XrO7uEZmuH1wwdsCRWBpKTPCjSUN+z5cs3rdl18fqzWgLF4ElMygwLy8o199v/Z/a06UVMgsFP8VAe4Krxuwy1raVTLNnW/qcxplcoVQqr8v9hfAoAgSIyElJqVXOBVFhlmwkb0SknuFMKl0BpfGiWSgXFBjS4tCJzN2PU8AfTI4nhkVFtMrMYIdim530uNDYnvFhHGZ+JvWvXpdgOHaaztBUWA6sVV4odEEuAL7K3oMYuSwEITNdubjNas/WLN6Z2GjUeu9rQpHBGUl8XEc/cEvV6/6BNQ8q38/dk50nX8EpzFCovoNogi2rd/0KXjCqh+2brssA26zQp2EQTopqD2/fruzoB5Cio4ID9Jf+GLVelDXrV61/eiZ8iZBU/7/vvxs9fc78mq0LiyHSwrsRX+kcQOAtLFaZ7XTI6KjQ6gEWkgyg0K+PoJ7gAABAgR41IGBXqn/v50IBIJDhw7NmzePQPjXyamgKAQhOKZv/76DffRJ4UWQ5AZ4TFh4DI/gMjddPLb9+NEztJjhcVExNNBq+fcUFBRQKJTExET/+1uDgKHo3L79sjKiOSw6EksK8pOQ3m/oiAlDcwdw6SjYQzNcChT67cXN4H8mpURGMLrla/6nwHFEEsTlbj2TX6fokCLDgji89BROUFwEnRbD9VxWi+ovV3XIVRo5MiIxmsPG2D0A0k1JCCcBcI/J7MLBUSQOFWqWW4hxYWQKAQu4PR6nVovhhVBQEIcXgcCG8um0UJq8WNFcW9po0htIsdlxtPDssNBghsdsO5tXopRJ2FHh1KghnCBODBP5X5jIJrtzS3E9+HdQdNCg6H+ZLuEfA8oAKAmgAIBi4D90F4BeqKXpohBFJtMiaF6DpEZvNVZVVdXWVMvUei8xmIAAoBZpk6C6uLRcKBLp4SS79HJ90cWKxjY9BsDhg5HmVlFj5eXyqubW1mYngYRB4ZAwj01nklZcKKlsENRrNRqzEyJzoChot0Ek06lFUqW4skoOo8G1leWNVRXVTW1tYhOMRkMhPDa5Wi0Waa0tl0sqBSYoAHHBdaKa88XVTRoXBo/G+kIfXA8ChqRzsvql9x8cQ/ZymJTwx996YtjgeB6bgiHjyFw6E4VWlV0y8shkRjTBYpLWXiixEWN7pw0Y1jcuKBYvdfV7d9qYUUPTIjgo09U2N8uMOjeKToRBlddeW3OhxOhlhJA9EpiupRGRHEGG3cE87G35vaK5WaWPZpEez7zTX1AqlZaUlPwncYyNducP5+rBv33Dg/qF97i0w0ksolniablUUKOSy7EhCWGc+Cw2K5iD8ysKPNphccNMKF4qG4XEs4Kodpyn8UxBlULeIZeTqSEhoRF4tM0ID8lg45EYGApDojCjaKKzZ5vaRSJ5hwOCYSX0D0VpNTAui0rhkuBej8dt1jqpoSQCnQzRANaz+SUoekyvuPRoBvGKrpN3IKhhVBoW2rrj2MWONokSEZoU3XdQL8ZNgtmT3IXkPAT06MDndTudquqyiqqqmlqJQmtGMTr1VUlDTVlFraBT9TFwKATKpTEYZPVKvankYq2grk5jM0CxTLRVVb/nwIE2I5ydnJ0aHxbLIHJpwUEktM3S0Vxz/mJ1k6CpyWIHkDgyFGKR10uNFkl5q6CyolkusaBoFAxgaGlu6NSiTQLfywIHEBC0USosKCxvEjQ2qUwucMwkYLo7ut2DK0j/oSa8c+4DU+1h49FUfQH+E3pIyfRc0rUbAAc1q82oM9oBX8Q4U33FkV2fLtpaCLz43r3Oiw62xeOxG7Tluz76YvPabYX+g0Cv0fOeff61aUPDqFg48NBkEAxk8rhPeNCSrt0KtxVQHfv8FDEsNHowW1q7f3UTO2P3zmMt9Q3cpJxxS36enQ5DVO/95tft3x8rxhFpWa9+00e4rjj/7LEGL5EbNuvDo8M8O4/v3/PziUYvluwa/+4XMwcPDSfbxSU1+z9ZuKVMb3JkpSVH9puoCpvw7lCg9rv9Ykt1vcdy/Bj+lQ2TnevWnT1ffMlLw1MGPr3+nbEJMP3JgpqLZzWxip++vaDr/cyc3Jj+hvItH2wtcaWNfPf1KaMy0qi3tVLbC3c0i1qMQ98YSgfQMPDtH77sfeNGJdRu+ro9Oywkciixofzkjyu+i5378eRROXxKR4ns0ndHgj4eEUMNJziMkpLyY58t/7FEZ3R4QgZkjJ793tz+3Oafv5LedG2mxdLaflIQP2NUEGg137VeuYv8MT2UBeROuPd50QPcjkc+6drw4XGhXQe7B4/LZZI15330/uaCUoGaET9w4AufLUxXVm59e+eRooJWLxJPTpr1w8sTUtIQpZUNJZ9XoVK3fHXKpGtOeazfpDnrhuGLP5+2/rCsXg2L7jd6yoIvYy5uQowZzWG5dSd3fbViQxEA2N2jR8+fNfvZcJ78j3f32qMVW2obGk5ro0jZT329fGpwy6Zft4JaVOD1uu1GG3TaB6/MzB5vKtrz4vs7AMDsSRrwxDPTn3tscFA3R7ibvfn4ifq2scmh+14Y7j/0gPAfasI7pwcl9lHlwZXYAA8cD1zStRuwKOuO7FqUOaR/po9Bj89ZtQV0ju9iVfO/x+efn3n/5bfWbtxf4j/ko+r0bys+fG3x9nrAch/smg0Q4P5GbXIXfymLm/P2prxD29+YPbz54EmVtfzkBiOXMe+n/OIjB058OCFzysufzJmz/n/zPvp039Gnsumx/Z5+ftXOvPziY7v2fEP7w62XCFXNwsuC3Vv6LP/p5L784mVz0sKBo/47AEdFAIrQ9619e1ZNiO49+ZMfPskvzjv+y6/rs5rKW9RKI6gV1YCgibby110FP2WXKYsPbNIOWHbi5KHv+kgc6oImub+au0DZFWhw9oYdc6f15TH8R6+gKrtcUba8eeLqraeP5hdvezVyGHzTj4VXYnXfcC2OALhh3qIKvcPp7Lw6QIAAPQ3Et63FZ964PV7P9fMQ/xaTWFPz+7zCtNwlvxzML9753VcL0z0dB2dfJI4a9PbZvPzTu3/6X8aWrc2Xm4VmQN1oK9vijv7p0Bf5p78fnzxEfL7Ywc989bPHJ33y4crtX65f91gUgOlypXER0SMXfghqTl94wgG94qyFlUZfZvYdhUDSijlfFe/7fN5bnDWXW4yW8C4tev7w/n2rxi5eM2XQqJQkbt/Zz+UXHwCv3ffSoFRsbWlrZ6XdhrszGw8UAgFf/kMBupUelNhHkoDEBngI6EkX3STVFG9+atb08T6mPvnyh+uOS5tEUh+MVP5za3Yd2LH/wJxJWRy6/4J7g9NpV1QXnmxt4feZ8O43B67y+cpxGYzaxp8PXpBaHQFjOkCAv4SEQaZNykpJjAhjhyWGhsclUpwwKI+RcqnBkn+kSINhsUlYFI5IxeGpZAKFymQRUDAESteet+P3RfOXvf7q51sPFNWr5K0tek+Hfdrw1NBQPpsTHpEZGtbbfwegdzivd1Yql8kkYxEoQJ5/bNv7S5Yte3PNjycrGsUm0HqNpVNyBvYO5QZzItjhveLTM9IzeMFcdkZaHywuwun2V/NPaTy653TFwVbW0pGp4TwyDgW/YS5eLS2260sGDBwayw3hsjmxyQMjogcYxXKvy3OLayEEJJpMozsA6L02u6KiohYsWNANW5YCBHjQQMJhNBwKtM61VrvR1p3juVnf2t6wI6t3VlJUbCibw6SjMG5p7Y6+fEpaUjKfzY7khWYMnmYHCE69BSBy6UnTBiaEhoSwI+OiQqP5ZDsARxFpOByVQmbQaFQc4sqSPQjCoasXnp6/csX8JR99sfFYYZVCA6DQQE5ObGJsHJfDD41LS8x1AygvHE8gMwleu6XuD8LUxxJjwrlIpMci01R9v+qtBUveWv39nrzydpWh+6ISgk6j3Gi1Od1YJJx0J3kN7jMeCE3YcxL7CPKgS2yAAF30nItuUDdfPvvZ94d/33/Qx9GTderW1HkLlr3tC8q25OVXn5w6btyocePiIli4e7s9yO6yy4TnZJTo3jkTJ4ONuMLUyRNzekWQBCcbOmxOu//kAAEC3BIUAsaOC6IQ0QgAjkVhiAwcFAYhhw0ZmtUnhCG/cGj9p/vLZDLTVT8Z9E/N4osX2xQmSHSv1JTUXvF0DAphMxqdUBsknkNC+AJAoLE0HPFqRmsuGc9iURCA2wHIL+1vNLTAeClp6cmpiTEOF8rldgE0LDqEx/T5wSgUhcUICmbRkFAohEgNQiDverGRVCdqLpda6yGJYSQE/BYa0mZRAy51OI+NgcPAYjQxCEcOA6xWwOu91bUIGByFxv0He2fIZHJKSgoCETBQAjxy4FHwcDoB1AytaoPCaPEf7Q6cDpPFIAwNppMx6M6Hd06P26QThlOQFLIviiSoyEhB8VAoxpfBBEXEMOM5FJ9yQ2BwOMINifSvwamsEbeUnzfFRsSmpaQlhdLJOBvozsMAfhiVggMrRiDxRGoEFNo5524UKeUt580hIcmRbDIObRS1iGp/EuJCo5NTMtPjmfQgq70blyg6PZ56mcZod4A+JIfUjWlR7xEPhCbsOYl9BHnQJTZAgC56zkXXa9rqi3eXkCN6Dxg2xucCT3l80gtLV7z9zkqQOeNnJN7bufM/8QBeh0PvxVKJRAr2mrC/aCyFSKRivXqHwxtIihMgwN1AjZsxcuj4sZHO9ovHjhS3y3RXH3aBXUrddKzRiIjPeO3tJYtemTUwONhnuqI9AFyp0lo7Mx2C3q/ZcGO6LK/b5mg9WaAPomQ/vQy88skR4Tg0yl/Y/ZjJoRF0YoxbdaZGZnS6b1YFaCwNgNNaxDKry1dqM3SYda0ABgN64be61ul22W1m0H/vvDhAzwJ+5XpZh1Z766QD4G9g1wolKpna7D9yK2xqpbDseN7x4w1ypTkwnfVAQsagUnl0JAxW3aFu1Ri6sfeBrjKWyBe1q3RWW+cDSAQUhifzW7QOrc7k8vV3p76j1uOxAoh/shncIr0oldTJI9+ct3DlomcmDEri3d6xMGnFLRKJ2REzOpKMBr13t0bQ1i48gxz99EtvLHtl9siM2O7NXWJ3us4LO9RmazAFF80i+48G6FZ6TmIfQQISG+DhoOdcdBgcjadFxuYu+ebLX/b4FpJ/+/HPEyKp/n1XnTFRzVqZzGiyue52QerdgYKh2LzBJNG5osLjRaWd6+47KS06Xlh0TkQazGODp/hPfpgIqPz7g4d5Z5TTplVp9AhseN+Ji54kA06oyw2He70es0bRYbSrTW1kpxzqNEuk7cLqinKDXo8msiFwUnPFuab2NolM2tJcLGq95K/sCl6Px2RSRkJsFKtR1tYqbqjNc7oU/sK/wKdjbHqzw+O92c3+C6KiRk1+sl9KjvmnX/+oblVorc4b8qXROJlIYvqZ04frxSKwzfXV51qaC0k8FgQOvcW1bqPDplOrkIAnsCXuHgD6SE0XL9TX3zp1P/hD6usO5JdfrJH6j9yMxyWvLj30zYLlry0+WFmjDExnPZDQCegBUWw8ClEuUVZL1abum1TGkcKCo6ddPF9Q2VArkkkVKrsVxomfXtAsL60oFcpkTRJRybk9WKgR8Y9m72x2ldsiYgJmtULWLqhqVEhvt5vcZastK2+vLYcO5poNGplMbVAZdCi7Lh3h1ivlssb6MoXssv/cbsDp9iiM1nyBRGuxRzFJKVyavyBAt9JzEvuoEZDYAA8NPeeis3gDZs87fezDKdHxDKT/2DU4lLWC3StGDtn4a4H4X4R1uguQKAw357GnmMG1+zfOm9oZva6TqfM27q8NZj71WA4Xg7pFix9MQK8gEIPkP8fr9fqCl3g7g5f4jz18OAGg7uybzy7Nycwd8eTshUWRqeE0RjA71GLRb3tt4vifLzDYYwxNwg+fzhk/ZcYPdbgUO5YG0NMSYniLccuWzug/KidzzeayFmCUv74rQFEYcr/Joae+P/zMoNyXFz9dCeQ6gTtITmBVC2rOfLa92mgx+Y/cMYy07Kz+G/o2rnhy1aZjtcIbplyvb/OMzfIz9NcW96MQunJp3XCtygjA3JCsFBIysOL8gcAorLG6PQO+OXzy2PMDsrmBnfwPJDQcqn8ku1eob7HeaYHkUHX3hU/D80hxY94L/+rwB6PH5WROe/7l9aXeoHGfRhf+7lNQOUOmP/uuevFLyf3j+bdd1X4LGJFDaMiQkuczpwzPXHFI2GGkJfhLbqQt/4sTBxZ+vHHelJzM4aCyXbj+FxEWh8EQ3x4+c2Tv3F8KqqRArv/cbkCo1n9/vlqkNXIpuN58ZgKne2foA/jpQYl9xAhIbICHhh5NumayamrzFn9xRGNoBwBKRGrG9CVPpxPwttpzuw7u23G0WNZxqX7qe3uevtdJ1zwuwCguunBoz4btB/afr/cfBZKHz5jyzKuzRmTxCMCttqA+kJysa5/zU77KZFs7acCYBD4J89A8fHiQsDpddTLtk78cd3k8b4xKXZyb7C+4V3RP0jWvG3AoW1RwLAZHQ9lNSpGdEU/GINBQl81s1SuNJC5aU1nXrtBoADQCxYzsFc/EIxAWqbxdWNdu4SUNYHklMqmkVeaEwyk8HgCnRFKIZLxbrpUU1YgBhwsAFCe1Dnt70hfz0gBXu9KNwWDYNJxv9bJRVlotBmvG4eFBPJ4ZzeKTvBarw+pC8zl4AHBrm/RurAvDYeM6T+7woFB6fZsof3N735UTQ8jYGwJe2DRSs9XipkfSkAAMAr5V2+x2KIuJN4lbbRQsFs9G2e06yYUqU1BMRDCLjHXp7DqRAhXPwCOwCMBpvqbN1BAGLyKdhQZM4pabrkUrzsvbW8VRz4yOQGLgdz+PfhepsxobG48ePTp37lw8HvyG7in3IumapqalQ3xMRY2v+eJktaFVmxydPvLJpVk8oOrQXgeLxc2It0tLtn68o0pvdgAJw9KHjn0l2Vu5bcWm3YJmOyZ80MjxMxb10v606UBJlVALcOIoQ597b0iYtex/27eeOFrsIiTF956+amoG4Dh1KH/PyXOd9+z/xFs5fbN49iZJ0e9aWvDBIwW4sMy0hP6kihIgof3w8epWbEb6gIHzQyS/fbylXM+LGj1+xMT+UQiN+PTiX05pBFKAzE9NnbRkZjIBh5TW7/7dVzMSByTOemFKnww+7ZqNV93Go5l0DcTqcB2pFn98vLxZaUwKok1JixqbGIZHIf/9ahaPy2aSFNSLbVozgCIyGJGp0TSbuqLGp6AAAI5Eg7qOS0Zj3WqDxSp2MaJpSAQM4japrTa7hcCmIY3KViscgyWxiTCXyyQRexhMNMrtkEuaqprVAEDkcFE4JhGN4pEdAiWaxyAQcT6l4zYrJAAPayxVdMgl4J26oESEhdLZUKO8tFYMAC4OlwqnBGMIdD4N0fmM/q7xeL1lYuW+yuaDVUKV2fry4ITZfaKTufdv3rLb8R9qwn9Ez0nsI8JDI7EBHjh6KOka7N133/X/txOBQHDo0KF58+b96+iXDoO0snzf+m+/3nesoqZcIGgWtcs1Bh7Wc/LI3h3bdp84K2q29nrsxcfGjIgKp2G7ZWF5QUEBhUJJTEz0v78dECiApgRz2BwmNyQyMX2wn1HjJw8d2C+aCkAfIoWoMFpLWpVyozWKQQ6jEmm4njACA/wNWoutSCQ/LZAEU7BDY4NTefd65dX24maBQh/BIE1KifQfugvAjgPHU4hYPAYBQ6IxZDYeCev0OqFwJApPJsChGEJQSHBkTGRkBJ/PJqF8pVAkgUAPCedH0HBwNI5KZ4eBpeHhHBqdQ8GhMW65sqmi4EBxg7SjQ9ahdcPQwcmZiZkcPBxPBe+E7XykBN4Dje+qOZQfTqXS2KD5ikLjcTgKAVQdYDEMQ8ViCXjf2Z0nEzAYqFKjVQv0vF69gsB23vDMDY4hYIlUHNzf2UFzGU0goCBQCIoCtgqPhAIwJBxHD+Nz6EQ0+A4CRyPwbDIGhuiMEAVD4nH0GH44+EljIoPZQQSk78u5+VpX80WB+LKJMrBXIs1Xu+/au+P3iuZmlT6aRXo8805/wZaWlsOHDw8dOhSDubcROQHAaHf+cK4e/Ns3PKhf+L9/2nsrtPU1pUXf7ZOEhBJRxCC812bzGivx3AyGsVXgxeOJXA7KaTMobRhQXHBwNwZqp/LCEcY2SYsdRuWGZ2YmRsUzoGqNFYHG08l4NMwqZ/Pj0a52VatebyEE906Pj4tFN+8VNYrlUD4zjMEmGNUCMhxFIRDb2s9/sc2QgIPjoiNCyYC2I39TFTkOBSfjvBKDuq5OjieiUHi4WYIiKHDs3iykwygxuOhYIo2EwnvkUE5ysLV5a1ODsN3NZ0Zw2WGJyRFMOh512zz+/4K7kJyHAygEwiCgrQ53u84kUOo79GatxW5yOD0eLxwKRcLB8rvskBAoHEWOCA71df8wHpeJg8OgVxRUZEyXrvMpis44mp2lvhtBkVgkloCDg3oAjafgsZ0/NwQKRZEpaCTYHBTo7QdFxkRExnBZQWwqEdS0MCSBScagkH6lA0VTyGgojhTMDO7UPF0vLoOOx4GqlQbeGnzLCgpmkAkUrK9y32X/DK/X63B51GZbg0J7trH9cHVrQXO7xmIflcibkRWZwKHelODiAeA/1IT/iJ6T2IeYh1JiAzxwSKXSkpKS4cOHd6+S6blZdG1b4Z6dS1/6QJcSzaax8AinSW5VVnHiRxcUtkNx0IiYZA519IJ1ufFUTHc92LzTWfRHiboO3ddnarZcauwdxn66T3xuTEhAyd9jwA5W16H59lzloWrhiHju8wPjc+OC/WX3iu6ZRe8JrKKWolN7Nuyr6VwoH5w1sf/IaePjukMlWEUypaZcET44meBzsv8TOs7taXG3QiOWZF8NU3+X3MVcaA891r0T7sUsuvSPM3ln39yHfXPNvOxQAkZy5FRJ6SeivlueRxedhASxuNn92G67RnK+XGx3tNWdMzq99MdXjw5WlX113BIaGjpxYNQ1qzPEHU2yqnz8U5uGRMIMJy60ikycBZMSHM0nv16jIGdFjnq+P8sBGC5ve/u8Iz45cjBgO7r4S+aG13NSsoOBjvITZ7//P3v3AR5FtTYAeLb3kt303jsJSQih9xKqIKAgIui1cK3/Va9dQeWiiIiiInZFKYogEEpChySQQirpvW422Wzv/T+bDEVFpGSBJN/77LPPzjkzs9P2zPl2Zs7ZWD//u0VJgfy6TUezTm63v/7pY0l+mhM/njdUmyPXzw9z3H5SWiOSdrY1djVkyZPXP+t54eWiJhep1yNLp+O3cjjJoL2K3qumU7m7sPH34sZmqeN5l6G+brFewkAh14VB64mc4XT4B6hCqDdbOtX6mi55fktnt0bPoVOG+AiemhgzzN+V3zcXU263O1gS3gQ4Ym/IgDxi/55GWlPfUt1ysU1dX/8If38fkl3cbPCMFtCN2vp6mcRIjr18L7BZq1DjuZTeLiiAMzipkHFeiN5am7bz2wc/+O7JH394ZNTMML6i9tDZ7xYs34wZiCseeX3FMy+m9Plf+hCi/5VEYzhR1f7Crhyz1fbYqNhHR8WgeAXPA7eF3mQ5UdP6yv6zKoPxtRkJ9w8LCXHj4nm3y90booPr0/9C9Pd/FymcG6IX1zf/oJq+erIrn07E1BeK8y98l0Z6dpVP4QmSn4fP8OF0RdPp31es3iNVNFv1fvGT7n3z1weiu0s394boY0NtBqM6P/35db9nF5+3mxks9rx12Q8k0w2nekL0p+fEdKd//oPeLWLI7HlDeD3fWbvnvWZmsEkYIsj9UjxjXYqPwIuu6SiuyP3xnOeqRyL5HErFL9VNDed9Xn0gGmNTqs5lyzs7effM8dHXHP3uvS2HCyobrS5M9sinfliXSsn+ffu54838FW8+FC/guHHpdIpT4vRlP2YcqWqZHRew99/T8KRBpkutz6wVb82pKWju1hjNJqvVYoWWWf4WgUAgEQjoYKSSSehUNTXKd9mIMPSB8udbkfqN/hWiI3f1EWu3YXoNRiZjZBpGvCtivoF3xP69qjP/+2zrBzsPsmk967ZgyfNL759DMqZ92T5n3Rj/rvqNn2ZmiNlvbF02hsmnO1o+ktecL8dzBT5wE63TOKmQce4RTCOSRnt7ChmO44LOEHp6TyIRJz24avGSBxICe8cATgZtkNxxuc3i3cX1KD6P9nIZGewRILyrH4cD4NahUJNEcNyWiWqVVtsdqVnqpTUV5344w/tw9/qM/LRv1758/xA8B2cyqtuzN+6yzn/+yQP5h3/98cv/G+3CdsYlF7VeXr5nZWvQvWvXnczfu/Wjd+/HeAwM85vy0ItPv/uYu/SzSfev2XW0RnLVbuJukaOVyp4baNELTxp8hCz6zFi/zQ+M2bBoxIMpYYl+rq5sem8rquBP0HHCpJLRSWpypM8rqUM/uX/US9PjUbRDHoDRzt3rrj5i9RrboU32gkOY9M/do94Rg+6IDZ404umvjuTn56KgMP/tNx7/YzA1bBjmFWv+z85KhU6NJ4F+zLlX0b9f8OauyBQvTw6fTrQZFGpxXW4V5hsT6uvJ5zpaN0b1lJkr3pg6brh3n3SSDlfRrwraILlTUHByvLp1T0ldZr0I/dDenJU4b2igr8uNtPPbR+Aqen/Xv66id6r0Mz89XCVWLE+Jem7CUFe2Ex4BFZ05VXBh1YXY754e4c+lqS58mVuYdwT7v9cWarMy7F4eFC9T17FVhcHbno33IapPfFxcXts14fsrrqIP9e6q2L3osPD1+2MnBbNrDxf88k715PRZQ6j4VfRr3ejuQjp+3VfR24wTh8k+fFMx8bkpiSlMdWbWyf8dZH64bnQomtZiULW2XTizZ4ci4dE58UOD3fF16xuo/OlU657ddbqorWt+QuD3yyfgGYOSzW6Xao3daoNCb9QYLSaLFS6j/5XjzzUigU4hcelUIZsuZNHYtH7fE8UdLAlvxV14xFotlo621tceuU+Pke9d9q/5Sx6k0+/wldkBecT+vaozuxqaG1jTXx6PgqbePyGuuE7eVX+kpuRwtatL69aoh96YHDnamw1X0W8PJxUyTr7Rfe5LmzHs7//L4WDYkx/s/9ftbtF9kEEVNanW8G1W9a6C+maZNsLdZVK4b6y3MFDAdecwOXTKYL7A0ufQD0pnsqAN3ipXV3bKz9S1l7RLyCTirCH+z06KCRCg7X0H7g2DEL2/618hulRjWLk980xNx5gQn8dHDxnm37exZw/RmazzOW+fZSziKQwEm4SopHr6JY9cMSGoPn2/2cODG8aS5Hy6JzOIzyJ7CPRFFBcqYeLnD0TrOvb+cKa+WeoXOSZppP7zH3N5RD3bTWjuZluyNVN+nTuEgofozy2KwXTikxuz8kQVUg+Oix3TWW22oXGTh0UGSLoOX3eI3k6eOsa869uvRJjQRgmkyU1UUZXXa+uiDRltVTWlzRZUFbfakyctGhUd6t63PbwZLNaz9aJ1xwrkOv3i5JD/zRuOZwAwmPTTEP0uJBKJ9u3b9/rrr2u12vnz5z/55JPjxo3D88DtUHVm88ETv5fpxgQyUIg+ZOr4pNh4Y83lED2toa5EGjtH+8We0gkznpiQGM8VQ4h+O/S7EL1blHfm6JofDmHY39+/B1fRbx9og+T2sNntaoOpXampFMvzmsVGi9Wdwxgf7vXomMgYb5c79XAUhOj9Xf8K0VUG02cny388V8Oh0RYnha9Iier7tohFZ4orzn9+gR1efKzJZFA4ulWb/8JITwxryjln4fNdQzwVFztdC46JcYkeEUoPWTTBD7PW7tqXfrJI6TXpcqdrLG9vv9ET2FjowyP8MfOF6s4uvXDuGD8MI6vLcvampR86V4tRMWzIrJVLxw4PFSjq2goPyxMfjnBlu1AM8saW6uPVLkum+LIYpNas9s6OWqHji+jktqpKjULBHpbAvNjpWpy3d8jYSRpB4sMuNRvPZuafKscoLH7M/W8vGOYb7NLHF3+UeuOnp0v2ltb7CVj/Gh25fGQ4ngHAYAIhep/Q6XRZWVnvvvsu2p5GozEoKGjhwoWvvvoqj8cjwmMjt0nVmQ3b9n57otzRxihGGL9iyfRxqdSmK0P05gbqxCcDm79+Mofz7+gRk5NoNTUQojtfvwvRrRaDXq/QWDhCNt3RAYnVrDdoVGqMw2XTGT3DFoNGqiaz+QwGvW96RYAQ/dqg1Zzbg0ggkIgEFI3TyKQhPoJ7E4LmxPkHCPv2CtmNgRC9v7uJEL2kpGTr1q1vvvkmn8/Hk24Xo8Wa29j15v7zZe3yyeG+780dzWVQ+/hunT81Fwf+yGy1NUlVK3eeaJKpFiQGPTMx9vb39QjA3eAOloQDSXV19U8//fS///0PH8aw5ORkFLGPHz/+jt/uPmj8043ujhCdNf3FFNfuk599180KjRkeZVFmfA0hurM5KUR3Xs2mszXzp68mpb72W02FxIRhOknloV2vTJr0yq5DlRIdhpkkFTW/vZY66aufMls78UmAc0GrObcBikN4DGqkJ/+e+ID/zUv+bMnoFaPCfVygiThwu0VHR6NaKZd7u7sPQKhkUkqQe3KAG5dOKW7r/i6nQms043ngtmiUKr8+W9YsV/u6sNC+iPF2wTMAGGTuYEk4kJw9e3bv3r34QI+GhoavvvpKo3HcmAnuIiQa5jpxwbAOzFK+pxCajevHnPss+rblG6rWZLx4T+QwH3N7we971z33JvbuJy/Pm5/kQ2k/X7Xvw+lvRL7w41J4Fv12glZznIqAYRQSkUEl8+gUVw5DyKLR+uYekVsCV9H7u5u4in7HnaoWfX66IqO8zZfPvi8hbM6QoAABp8/ueDdIVTp9q8UtXEh1Tm9l/RUq4YtaJXtL69MuNHZr9U9PiFk2IjzOF27xBQDcpNzc3C+++GLXrl06nQ5PwjAymezj4/P2229Pnz7d09MTTwVOdH1X0XtyrdLinOMFmafLtVR1+OPrpgTBVXQn6nc3ukOIDsDdAkL0/q4/huhyrTHtQvOP52rONXSFuvLGhvok+rmFuvG9eSwujUrqaQMD9Al0HjdZbAq9sU2pqe6U5zSK85rFXWr9tGiff4+PTg5059AHcCvHAABncZQtJtMHH3ywffv2qqoqPPUiOp0+fvz4t956a/jw4Shix1OBs9xAiE7EDJ2FpzJ3p/+eqZ386brpERCiOxGE6P8MQnQArmr+F0cOlDZPjfTf+tC0vm+4CzgZKqUf2nrkaFXL7LiA3/89DU/tD9oV2uOV7d9mV9dJlBarPdiVl+DrFuLGd2PRyY4QHQ7FvoGOEL3Z0qnW13TJ81s6uzV6FJMP8RE8NTFmmL8rn+mM/t4BAAMfis9LSkpeffXVzMxM9Lk3kUQioTLHZrOh6gSDwXjnnXcWLVrk7+/fmwucpq08u7NLTEtcEMu5GKJrRHUtuYelKQ9HuyrE+X/M1TXXnSva92Nr3FsPJ/qzHU3MAefolyH6z8vWl7687fHpYfGeZnHp4fTP3/oAe+mdp1JnxHlSxCW1GV8tXRf3358ehBAdAKda9OWx/aXNE8N8vls6lUomQZDej6AS2mSxPrLt6Mna9rlxAbuemIJn/BOz2azVarlc7p1tbldlMJe1y77JqjrX0ClW6UwWmwXV7PpLM5VGLUYkYZR+cPUB1ZXRD5tCIqAfeIgbd2qU77IRYejDnepFAoC7xF1SEvZHqKSWSCRvvfXWwYMH0QcqlUomk1UqFQoQUIGDPqCg3Wg0jho16qmnnlqwYAGFAnfrgMHISSG6cwsso1qavW7p8pmjkpPHz3xo1QfH1erjH6x6aOb45ORRM5cvXZctVRvxUQEATsNnUtk0st5sFam0VrsNTwX9AdpfaK+hfYf2INqPeOp1qKioePfdd1EtCh++Q9BiJwW4frhwxMb7Rj45PmZ0iIcnl0khoXCyH/xRZDv7q70iEx+4ixEJBCaVHCBkT470eSV16Cf3j3ppejyKz8kQn4NB7y4pCfsjpVKZl5d3+PBh9CEmJmb58uW9De/973//27Zt26uvvjp16lShUFhUVHT69On6+np8MgBAX3DuVfRv5760GcP+vj1BDoY9+cH+f8FVdACc6t2Dhdvz6mgk8rMThk6L8mdQ4JmxfkNvthypbNl0qthotTwwPPTNWYl4xj9x0t+6N02hM3ZrjDKdQW0wGy02dOq5+y+kv/vMv0KjY5f8+z/48N2KgGEkIoFOIXHpVCGbLmTR2DS4nAWAw91WEvYjra2t6enpbW1tERER/v7+KBo3Go2pqalff/31xIkTpVJpd3c3ei8rK0PFeXx8/JQp13uTFwADiZMKGeeF6CppTVnRjqP5GIY/vHIVVAxLnrokITZc2Ce9YUCIDsBV7S5s+DKzsrxdMTXS//XpyS4sOtzq3i+g0lmuNfwvI/9oVUuMD/+JsVELEoPxvH8CFdNbN3fu3KSkpFWrVuHDAID+BkrCmyaXy2tra9lsNorP0TtKEYlEycnJaHvOmTOndxwExfAoVmcwGCiSx5MAGEycVMg47y44rjB81JRVq15FtZu/hTKnjOqj+BwA8HeG+AijvVwsNltOk7hMJFUb/v5/M3A3QXsK7S+019C+Q3sQ7Uc8AwAAAHAmFxeX4cOHR0dH98bnf8fX13fo0KEQnwPQt5wXotutZp1W1iHuUGkMFiueZrMZFFJJpwjplIgVBnN/aTQIgP4s3IM3Isgj2I3brtB8n1tRKZYZL/4owV0L7SO0p9D+QnsN7Tu0B9F+xPMAAAAAAMAA5bwQXSepPLTrPxMmjfn0p8zWzp4km1ElP7Xm6WWpyciMB1PfO1mjMsLlPABugxHB7vfEB5ittpM1bV9nl59t6LDa4P+xuxfaO2gfoT2F9hfaa2jfoT2I5wEAAAAAgIHLeSG6Wtcpaj7T3Z7oy3dluqAEjUhevOvpDw8cz6l0XEWvzK3a/+GTvxYViTS9EwAAnMeTy5we4/vUxBgqmXiuqWPTqeL3juRnVDY3SlU6k7k/NN018KG9gPYF2iNov6C9g/YR2lNof6G9hvYd2oP4eAAAAAAAYOBybovuPy778PBLuzY8kDgh0CYtOX1m3brH951nDJ2ZEh/sb22oOnfqhODdze/NWzDSB5qLA8DZNEZzTadyZ359Zm1Hs0xDJZHC3V18+Cw+g+boLB0fC9wxqCw2WawKvbFdoa3pkpus1gABe2yY1+LkkHAP3o220Q2NJN06aC4OgP4OSsI+dNXm4gAY5JxUyDgvRBc3HP1151Nrji/75Y2lw0a5NZbs+fGDf316yDVy3svvP37vyBj1qWMbX3rml0Uv73gYOl0D4Paw2Oztck16edvpGlGlWCHVGFQGs8Fstdrgrvc7r6frLGJP11kUIZse5ckfH+6dGuPr48ImE2/4L5Ta2trDhw8/8sgj127pB1wDhOgA9HdQEvYhCNEB+Kt+F6JrO4r2H9jwn5fVz63+9/Tx1LzTu775v62NrDkffP3KrDlDPUltuRW/vz/zrbgXtj4IIfpAZbNZbVaz1Wax221o0G6zYQQCAUUijnCDQCKRiUT0IhEIznvgAlxdvUR1rqHzbL24skMhVul1JrSPIEi/w9CPg0kle3IZUV78USGeI4M9Qtygv4s7CUJ0AAC4BEJ0AP6q34Xodn1rbtnuN+esu2C0YjTMZNRrLTTh8s+z/j05INqVpKw9dPa7Fcs3P/LSz/+CEH1AQvG5Sinu6qyWdNVpNN0oStfr5CQShUxhoHf08vSKEroG8V18GQxop/p2s9hsJovNaHH8g2Lr6VgBAvQ7jtDzIhIJFBKRRiZRyY5/sPA8cCdAiA4AAJdAiA7AX/W7EB2zGRSKxnO/fLr8s/2SinbMJSRh5LLXVj8yM9qTyVKWZ6dv/c+6b0qiP/rhldR5CR4MfKJbAiH6XUIhbxO1XxB3VGrUEoNBhdltZDKNTKaQyVSbHQWEVpvVYrE4rq5TKAwmSyAUBvr6J7h7hKO4HZ8FAADcaRCiAwDAJRCiA/BXTgrRnXiJhkjn80LG3PPQyy+8shp5/b//eeL+GbGeDBaKwqhst+ARsx545bVHRyT5c/skPgd3HIq9lQpRbfWpCyVptTWnZN0NZBLJyzMsNHRkZOS4sPDRvn5D/PzigoOHR0SMi4gY6+cXy+EIjHpFW0thWUlaafE+SVed2azHZwcAAAAAAAAAg4xz76IkUTneI1545OlVyAtPLJsbyWJQeho94gaEj5q/6tX/rpoaES6ECH0gMJsNMmlzXe2Z8rJDHaJSCpni7x8fGJjk7z/U1S2QyeTTaCyr1fHAM4VMYzB5PL6Hr++QwMDEgMAEFxcvhaK14sLB6qrj4o5Kg16JzxQAcLMUCkVJSYnZbMaHAQBg8IGSEADQH8GDjqAPWC0muawFBeelxXvNJm1Q0LCkpPmRURPsdmt9fc7Z7J+PHv30xPEtRYX7Cgv2ZmX9eOL452dOf1tZcUKh6HAVBsQPnRUXN4PDEdZVn7xQsk8kKkMBP7ReBsCtqK2t3bRpk1qtxocBAGDwgZIQANAfQYgO+kB7+4Wi87821GV5eoSNHPmAn29ca0vJkYyP8/J2tbeX0+mskJDhMbFTUkYsGTnqgYTEuaGho93cghQKUXnZsdNnvi04/zuNxhoz9uHwiLFqpbjo/K6a6pMWixGfOwAAAAAAAAAMDhCig1slar9QX3tGpRKHhY6MjZ2m0UgrKo/X1+dYLKbomMmjRj84YsSS+PjZUVETAwIS/P2HhoaOih0yLTFx3ugxy4cl3+sq9O+S1BcXH2hpKfbziwsLG0UkEKrKM1pbCuCOdwAAAAAAAMCg4rwQXSWtOXtq3Ye/5YtFaguGmVSikvxd69btyi8RqUwYZlGLxPm/fbju1NkaqQqfBPQzNptFJmuur82US5td+F4BgYkKpbihIU8mbePxvYYMmR4ePsbfP8HDM1wg9OPxPFksFyaTz+G4urj4uLoF+fjEBAcPj4qaFBQ4zGY1N9TnSqUtfBefgIChFrO+quKIRFIPrccBAAAAAAAABg/nhehKWXV2T4jeKVJZUYiu7ijNc4ToeaUdahSiW1Wizp4QPbtaBpdK+yO73W4y6RvqssUd5Uwmz9d3iNVqqa46qVZ1uboFRkdPjo6Zwud7k8lUfIKrYTB4fv7xsUOmhYSOJBCITY0FKlWnm3uwn39cl7i6uSlfIW/HRwUAAAAAAACAgQ5udAc3yWo1q9VdNVXHySRKYFASj+dRWXFCrZYGBiYNGZLq5xeHj3cd2GxXFNInJMyx2231PdfSIyMnCAS+zQ05ba3F6Ivw8QAAAAAAAABgQIMQHdwkrVbaWH9Wr1cFBCSSiOTq6kyxuCY4OCU4JIXP98JHum5kMsXHdwiaFn1uaipUqboiIidQaUxJV21XZ03vOAAAAAAAAAAwsEGIDm6GzWZRKTtamvLdXAMEQn+tVi6R1Lu4+EREjuPxPIlEEj7eDSCQydTg4GRvr0idTl5Xe9bdPdjNNVCj7mprKcJHAQAAAAAAd4JAIPjhhx8yMjJ27NiBJwEAnMO5IbpFr609tOWrj9a8/fbaj776/VC5Xl9+6PevPlr79ttrPvpqy6Fard6Cjwr6FYNerZC3o/jZ2zvabrfKFSKbzRoYlCQQ+FIodHykG8dmu/r4xAgFfp2ddVqNjM/3JhFJUmmTXq+02234SACA6+Dj4zN37lwGg4EPAwDA4AMlYR+i0+lTp05taWmpqYHbGwFwLieH6AZN7cEtX3+0ZvXq9xwheoXBUOEI0d9bvXrNR19vOVirMUCI3i9pNd0KeSuBQPL0ilCpulTKThRdBwQkkEgUfIyb5eoW6OMbazbr29vL2WwBi+Wi08oU8jabzYqPAQC4Dt7e3vfccw9UTAEAgxmUhACA/sh5ITqJTGdzvL29UOn4t1Amh00n38Rd0eDOUmskSoWITmfx+d5Khdhk0rm4+KDPN3WL+x8wGDw0Hzqd0yVpoDN4HI4bCtel3Q022/X8m2O1GPQasUJvtlnteBIAAAAAAAAA9BfOC9E9/MYueyY//1T+NaDMZ5aN9fPAJwH9htmks1pNKH42GNQqVSeFQhcI/fC8W0ajMl1cvBVyEQrLmSw+iUgWd1RardcTone2Zh76IXXNwUqVxIgnAQAAAAAAAEB/4dyr6Nx/vorOhavo/ZFOpzAaVC4uPkajxmIxMpl8Hs8Tz7tlZAqdw3U3mw3oRSAQyWSK1WLCsH+4LK4p2/Xd+7+u+qJSM0qpJ8Nt8QAAAAAAfeyNN95A73Pnzl2xYoVMJutNBAD0LYLd/ofIJy0tbeXKlfn5+SiAxpNuCZq5rjl7T25JQ6UET0ICE8YPGzUhxhUf7Ctr164NDg5evHgxPgycJj93W131iYiIca5uQefP7+bzvOKHzhII+uZCulYrb2o6n5f76/CU++02W3NzoZ1AmjL9JQaDh49xNYbmrDO5qtJKiTc7C5uzbry/wOfm260DoN8TiUSoJJ82bRo8hHnTUB00KSlp1apV+DAAoL+BktAZTp06dfr0aXwA3Ebh4eFLlizBB8DdAZUwW7ZsWb9+vUAgwJP6glNDdLPF0N2amXlg2/s7TxadbcFTkbhpS1KXrJycGD4iyo1NIfXVpXwI0W8bp4boBoNaJKo4c/q7+PiZZAqtva1co1POmvs2k+mCj/H35DXny9O+bJ+zbgyE6GBwc9I5Y1CBEB2A/g5KQueRyWTPP/88XEi/nfz9/adPn44PYJiHh8fw4cPxAXCH9L8Q3WbplDembxn//A9Sk5jFYDMoF0Nxi0mt0TJDONOf/+29BQkebDaJgOfcGgjRbxsnh+iqtrbyrMzv44fOplIZba0XlErJnHvXQogOwPWDiumtgxAdgP4OSkIwkBw9enTFihX4AIaNHTv2k08+cXV1JZHgoeE7xkmFjPOeRcfULcXntz//rVbRFP/gg+/vPIHWALfrq8fvmdldpTn2/ucZzfUSEz4BAD3MZqNK1Wmz2eg0ts1qMZn0XJ4nkQClDwAAAAAAGKRQTI7HUj3mz58/Y8aM7u5uPBsMIM4L0Q16tby90aRMePyZpx54bPawUEf7cL0Sxz3+3MoPn14R3p2fd6GhW2XAJwH9Bo3GplAYGq2MRmORiBSzxWg0avG8W2axmHU6hd1uo9HZZArNbrcTiWSsb+60AAAAAAAAoP+h0+l4LNWDyWR2dnZardBE8gDkvBBdY5DLxaVUa/jokUkRsd5cCp6OsIXhCXFTRo4MsyhyG8XdWg2eDvoNOp1DpbHVagmdzkYvo1GjUnXhebfMbDaoVBIOx5VCoZuMepNJz2DyCAQn3vEBAAAAAABAPxIREfH4449//fXXNTU1eBIYKJwX9ujNao2mnuTm7cln0ql44iVUOpPv6e1Gqtdo1GY9ngj6DQaTT2fwNGqp3W5nsQVms1EqbbZcR9do/8hqdVxCVyk7ha4BaOYajdRqtQgEAUQi3OgOAAAAAACAQ3h4+GOPPfbVV19VV1fjSWCgcO6VSQoBi6XZLQqZ6C9kCoudFosRrri4DvoPFkvA4bqjWFouF3G57iQiuVvSpFF322w2fIybpdMp5bI2vV4pFPrr9SqtVkZncD08I0nE6zpUiGQKlc1jkCGgBwAAAAAAAPQ/zg3RjWpp9rqly2eOSv6LUTOXL12XLVUb8VFBv8LhegqEgVarua2tlM/3Fgj91Orumtosi+VWd2inuKa5uZBGY/v6xmk03Wi2TKaL0DWISCLjY1wTxz966NI3pvpz3Wh4CgAAAAAAAAD0F05+vtdmMyglks4O/NL5FTo6JRKl4ZavuYI7g0ymcrmebu5hrS2lRoPGzTWIz/dqbioUi2tupd04aXezSFRpMumDgoaZzQZJVwOJTPPwir7O+BzpuYrOd1xFh+blwOAWFhb27LPPcjgcfBgAAAYfKAkBAP2R80J0niBi9JTVq19dfQ0oc8roCAEPnwT0GwQCkcN1DwoZaTIbxJ01ZArN2zvaaNLVVGd2dzej6Bof77rZ7TaNRlpfnyuTtQoEvgGBieKOKpWqi8f38faJxUcCAFw3Pp8fHx9PocDDRACAwQtKQgBAf0Sw2//QvldaWtrKlSvz8/O9vb3xpP5j7dq1wcHBixcvxoeBM1mtZpVSnHX6C5NRExiUJBD4NTbkt7aWhISkBAYlu7oG0GgsfNR/YrGYUHze0lJcU5PFoHMCg4a58L3z83fZ7YSI6GkRUZNJJDi5AgBut7lz5yYlJa1atQofBgAAAO4mIpEoOTl5y5Ytc+bMwZPA7YWiZrT9169fLxAI8KS+4OQb3cHAhcJmNsctOGyszW4XiSqMRk380Fkcjnt9fW5lxfHOzlqTSWezWa/dxrvdbkPxuUrZWV93rrBgLxoOCEzi8TxLSw/L5SL/wOE+vnEQnwMAAAAAAAAGCQjRwc0jk2nhERODQ8cYDLqqypMKuWj8hEf9/OLFnbW5OTuLiw+qVJ0Wixkf+2qMRm1zc+H5gj0XLmRwuW4JifcIBX7tbWVicY1/QJJfQBKH64GPCgAAAAAAAAADHYTo4OYRCAQKhR4cMsrHN16nV1+4cFgiaQgOHh4ZOYFGY9XWZp05/W1e3i811Wc6OqplsjaVqksub5fJWru66hsb8ouL0jIzvy8pPqhRS4OChg1Pud9ms1TXnGlvr/DyGRITN9vFxRe6Qwfg5tTW1m7atEmj0eDDAAAw+EBJCADojyBEB7eKx/cKChkZGDTCYrHU1p6Vylq4XPeQ0JH+/kPtdnunuLamJuvChfSSkoMoJkcBOXqVlhyuqDje0lKi1yldXHxCQ0f4Bww1GjTNzUVSaSuH5xUdO8PNLZRCZeDfAQC4QQqFoqSkxGQy4cMAADD4QEkIAOiPIEQHt4pIJHt4RkTFTA9y3PGubWzI7+yspdFYwcHDg0NS3D1CKRQ6CsUVClF3d5Nc3qZQdmi1UjQhCs79AxICA5NcBL5ajayq6rRS2SUQBoVHTPQPSCKRqb3zBwAAAAAAAIBBwnkhutVi0KhEoqt0iX4ZylRpDBYrPgnor1CU7iLwixt6T/SQmSQyra72XMH5Pe3tZVyOe2zstOEp9ycPXzRs2L1DE+YkJs0fNmxB8vD7Ro5ampg0z8srUqEUFxXtz8vbpVRJAoNHDE1agN7x+QIAAAAAAADAYOK8EL2zNfOnT5OTJyRfA8r89KfM1k58EtC/9bYeN2Hyc8NSHmAwBWUXjpw8uSUjfWNe7q/NzYXd3U0KhUgqbenubmxrKy0q3Hfo4LojGR+jD1qtIjJ66rQZr8bGzeHzffDZAQAAAAAAAMAg49yr6Op/voquhqvoA0Zv63Fcnldw6OjhIx8aM+HJyJhpPL6PXq9uayurrjpTU51ZU30GfWhqLFRrZEyWq39gctLwJaPHPREzZJaLwJ9GYxOJZHx2AAAAAAAAADDIOC9E5wkiRk9ZvfrV1Vd6c/XqxxeG+wf1jEFj0kYvSYn0F/B6BsHA4Ogvne3m6RUVHDI6InJyVEwqCtTDI6d4eifvP1BkI/iGRkwKi5wcETU1OnZGZPS00PDxfv4JfBdfMpmKgnx8LgAAAAAAAAAw+DgvROcKw0dNWbXq1VW9Xn/5//61fEZCSnJkMJ/t5RUSOSr1nvmzHvvP+KQQIRefBAwcBAKRQqELhIEBQcNRlD40cUFE9Nwz2Z1c/rDklKWJw+5D8Xlw6GgUybPZrnDlHAAAAAAAAAAQ54Xol1n0MoW0seLcnu1vLly8fM03TTLKrOVPbtj5y88/LE8WeLPx0QAAAPQVKpXK5/OJxNtRyAMAwN0JSkIAQH90O8qspiPPr1k5fuZDqz4o5Kvv++ij3Sd+/eC5hxM5eDYAAIC+Fh0d/eabb3K5cJcSAGDwgpIQANAfOTFEN0vrGg+9/dCShY+/k77rlJsw6PFVW7f/9lRqakKouwuXTYV/NAEAwFkoFApcOwIADHJQEgIA+iPnlVkqeWNx9uZtB/fuO1nY2dKt1igaqvJyinZt2fLh2rdx77399rGzNVIVPgkAAAAAAAAAADB4OS9EVyo7GssO1poNlp7Bxpaa375avfpdvGn3Xu+tXn0su1qm7BkDAAAAAAAAAAAYzJwXopPIdDbH29vL+xpQJodNJ5PwSQAAAPQNs9msUChsNhs+DAAAgw+UhACA/sh5IbqH39hlz+Tnn8q/BpT5zLKxfh74JAAAAPpGRUXFu+++q1LBg0QAgMELSkIAQH9EsNvt+MceaWlpK1euRNGzt7c3ntR/rF27tr293cfHBx8GdxN0gty8efO8efMiIyPxJACA0ygUiqampujoaCqViieBG/TTTz+hU+HkyZPxYQBAfwMlIRjYoHZ9x6FCRiqVrl+/XiAQ4El94XaE6IbmrDO5Jecqu/FhDHONGhmfMm5MAB0f7iMoRNfr9TExMfgwuJvI5fLXX3/90UcfTUxMxJMAAE4jEonOnz8/bdo0Or2PS9rBA51xg4ODFyxYgA8DAPobKAnBwAa16zsOFTLl5eX9K0Q3Wwyy1szisoLt36ed/P1sK56MYX6j5k9c+OjSyYkjotzYFFJf3W2PQnRUnVq8eDE+DO4m6AhOTk7esmXLnDlz8CQAgNOgYhz93Pr8nDGozJ07NykpadWqVfgwAKC/gZIQDGxQu77jnFTIOO9ZdMxmkSlb07cvf+D5VXuOVho8UdCP8zRUHt2z8ZVlG9JLJDqd9Q//EQAAAAAAAAAAAIOTE0N0dUvx+e3Pf6tVNMU/+OD7O0/kX3Ji5/sPPuhTpTn2/ucZzfUSEz4BAAAAAAAAAAAwiDkvRO9WNDcU/6SX6eYve2DBktnDQvFL6EjosNlLFtz/4Cxld27WhYZulQGfBAAAAAAAAAAAGLycF6LrTRqNvJlqC05MHhoa7c2l4OkIhesdHTo0eWiARZ7TKO7WavB0AAAAAAAAAABg8HJeiE4h0WkMLwJBQKVQiCQ88RISkUKhcu0EtdlstlnwRAAAAH2Dz+fHx8dDP0MAgMEMSkIAQH/kvBCdw3B1804hk0qamuu6xWrTFXG4zazvlLc0N5WQLEkeAiGdg6cDAADoG2FhYc8++yybzcaHAQBg8IGSEADQHzkvRGfyXYOGjhpKpf2y6flvvvqqqAlPR9T1x3fu+XHTj2SSNsiTy6Iz8XQAAAAAAAAAAGDwcl6ITqC5hQRO/deTY+1uWNqer55/fO4li1eu/nlbvRt53NMfL05M9OUQ8EkAAAAAAAAAAIDBy3khOkaku/BDJtz3+Cv/fWJEMLvjZNol6eU6j8AZz7y+8v77hnh5sq5oSA4AAAAAAAAAABisnBiiYxiZwvCMnP3iE0899/iKB+ZcYdFD/3ri8X+9ODvSk0Eh4yMDAADoMwqFoqSkxGw248MAADD4QEkIAOiPnBqiX+QzZskza/ZfYfMrjyyKhaY7AADAWWprazdt2qRWq/FhAAAYfKAkBAD0R7clRAcAAAAAAAAAAMA/cV6I3i3K2/Pj3Ln3403EXRXK/HFPnqgbnwQAAAAAAAAAABi8nBei67Wd9ZVpaYfxJuKuCmVW1ndq9fgkAAAAAAAAAADA4OW8EJ3B8giJmjNnBt5C3FWhzKgQDxYDnwQAAAAAAAAAABi8nBeiu3oPv3f5/v2/4C3EXRXKXH7vcG9XfBIAAAAAAAAAAGDwgubiAAAAAAAAAACAu4LzQnSDtO7kwXcXLln49nfH65p1eCpO11x3/Lu3739w4fd5eSINnggAAAAAAAAAAAxizgvRNeq2qpKdRw5XyqVGC5GEp+JIRItRKq88dOTH/PJmpQpPBQAA0Dd8fHzmzp3LYEBbHwCAwQtKQgBAf+S8EF1vVmtUjWRbcJinB8eFhqfiaC4cD8+wAAs5r7W7W6fEUwEAAPQNb2/ve+65ByqmAIDBDEpCAEB/5LwQnUggkUhUO8FotVrtNjzxEpsdJRsxux0fBgAAAAAAAAAABjnnhegcuqvAY7iNmNcp6zao8cRL1IZuWWcmZjPiwwAAAAAAAAAAwCDnvBCdyXMNGDIqmmL//du3d2zbUd6GpyNt5Sjh7W9/JVB086N8fbnQ6RoAAAAAAAAAAOC8EJ3McIsIn7p82SSxpuG3nV9tWPf2Jes2fLXzt7wuEWvCoqWJ0f5ceEIIAAD6lkgk2rdvn16vx4cBAGDwgZIQANAfOS9Ex8gcb4/E+/69Yu7iVIq2Ie2z1Zd89n2ZtDMxdf6sFf83ITRECBE6AAD0sfb29v3790PFFAAwmEFJCADojwj2P7bYlpaWtnLlyvz8fG9vbzzp1tWnbfjip492ZOODyKglUx741zfTPKVqMpvPYNDJf+qU7easXbs2ODh48eLF+DC4m4hEouTk5C1btsyZMwdPAgA4DSrG0c9t/fr1AoEATwI3aO7cuUlJSatWrcKHwa2x2e1Gi9VosVmsNosNDWHQYuwgQeh5EYkEColII5OoZCKZ6MRLRFeCkhAMbFC7vuOcVMjclhDdoldrdGrdFU3D0ZgEVb3szDdL14U+8cm990wN6pMvgxD9bgaFCAC3E1RMbx2E6H1LojHkNHRm1YrLRLJWuVZlMKE4Hc8DAxqBQGBSyZ5cRpQXf1SI58hgjxA3Lp7nZFASgoENatd3XH8O0S+y6GVNR57/Ol1W2Y7ZDAq1uCO3atG7ux9ePCfMDx/llkCIfjeDQgSA2wkqprcOQvS+IlbqsurFRyvai1q7uzUGpd6kN1nMVgjQBwsChpGIRDqFxKVThGx6lCd/fLh3aoyvjwubTESZTgQlIRjYoHZ9x/XjEL27bMfZgpqiJsxqVHcWfpVeoG7pRsmuTM7oex5//F+PpySHC/vk31QI0e9mUIgAcDtBxfTWQYh+6yw2W7NU83tR09HKtsoOhcFijXR38XVhC1kMJoVMcG50Bu4WqKJpslgVemO7QlvTJTdZrQEC9tgwr8XJIeEePDaNgo/nBFASgoENatd3XL8L0fXaTlFLXkUThjVlrvk9Pe/oBYxIobhGRnJaWpQUHsl/3JQh9z370ZRoAYONT3KrIES/e+h0us7OTjqdjo5XGo2GUq5aiMjlco1GQ6FQPD098SQAQF+AiumtgxD9Fpmtti61fnte3Q9na8QqfYALJ8HPLSXQM8pD4MNncehUIsTogwOqaurNlk61HsXn+c2dBS1dNRKF2WpdMSriwZTQKE8XOqVPmiS6CigJwcAGIfod56RCxnnNdXSL8vb8eM+8++9b9toPzWVSFPJ7B4SGTHvhmfvDQ+OGTB3+0us//zBneN/F5+Cu0tXVdbhHdXV1d3e3SqUyGo29/wdZLBatVouCcxTDZ2dno3EKCgp6pwIAADBgqPSmnIaujccuNEvVMZ6Ch0dGvzd31IKhodFeAh6DBvH54NHzLDolSMidHhXw6rTkZycMHRnoZbLYPj9ZnlHeJlbp8PEAAAD0cHKLmjQONvalt7ceOp3vkH3iyCcLY6Pd6HguGLhYLJarq+vatWvnz5//8MMPf/755+fOnTOZTCirqalpz549r7/+empq6uOPP47icx8fn96pAAAADBgN3epvsqpUBlOin/uy4ZHz4kJIt6sdb3DXIhEJo4K9HhsdMzHcl0Ii7itpzmnowvMAAAD0cPLJ0qzDSnf+sPaV51Y6/N+LL6dVaCR6+ON84OPxeImJiQkJCVqtNjs7+7vvvlu/fr1KpULvTz31FHrft29fZWWlh4cHGickJASfDADQR8LCwp599lkOh4MPA3B7tSu0uY1dhS3dLCrlnrjg0SHeTCoZzwODG41MivIUPJwS7cNnN0hUOY2dNZ1KPK+vQUkIAOiPnBei8wQRo6e8+fqr/14wLcSmrDuXlpa27/d9X2/8Pq2+pbGxsPq3X9ZvyK1Wm/T4+GBAoVKpPj4+Dz74YGBgoFqtrqurKy4uNpvNubm5J06cuHDhQkdHBxpt+vTpY8aMgXMnAH2Oz+fHx8dTKE5shwmAa2jsVhe0SLRGc4Kfe7yvmzubgWcAgGEcOjXWWzgi0JNMJFZ0yC+0S/GMvgYlIQCgP3JeiM4Vho+asmrVq6tWvfHCE/96aNGcOXOmThjLqsu+oOxsbCqq+e2bNWt//HlPWU2nFqL0AYlOp0+dOnXEiBEeHh54EoaZTCaLxYI+kMnkqKioKVOmhIeH92YBAAAYMFplGhR60Sik8SE+Hhwm4ZpPnisNxma5qlGqvJ6XVGuA/tr6O3Q0MKjkcaE+bmxGq0xb0aHAMwAAADgzRLdaDBq1WCzXmmlRCx95ZfP+/fv37d65/Z1Fk0dEeXt7e3kYadbf1j7y65E8kaMLNjDgOJqHYTJnzpyZnJxMIv2hsVaUxePxli5diuJzKpWKpwIAABgoujT6FpmGQiLF+bjyGH9bztvtdp3JXNwm+a24dntB1bVfOwqq0srqq7pkJqsVnx70WxQSsefYoHWpHYcKngoAAMCZIXpna+ZPX01Kfe23mgqJo5EwhEjjukx447Of0vPz888e+nHby6OFHEd3XGAAGzdu3Pjx4//UIBybzY6JiVm4cCE0FAcAAAOSxmBR6EwkAsGLx2KQr/4UuiM+N1v2lNZtOl38xZmy785WXuP1w7mqXwrrKCSyL49N/5sZgn6ERCB6c1kMCkljdBwqeCoAAIDbchXdYr70ZzeBSKTzhW4e3t7e/tEjU5a88fPOB+4d7u2KZ4MBiE6njxo1asaMGfhwj4CAgBUrVri5uf3p6joAoK/U1tZu2rRJo4FrU+DOsNntFquNQMCoJCKReJW73K02u0Sj/+RU0c951TabbfGw4FdSh/719fCoiDAPnslqE7LpT4yOnRjm23PbPD4T0H85jg0yOjQIaO9bbDY8ta9BSQgA6I+cF6L/AxSrcwOTpqVGhHiwoA2ZgS08PHzy5MkxMTG97bV4enqOGDECpaDovXcEAECfUygUJSUlvT0dAnD72ZGeD3/3FLpMZzhd33a4vJlGIabG+j08OmJxcshfX2w6xWSxhrnxHh0VMyc2ONiVR6fAJfQBwnFsEDB0nFw8WPoelIQAgP7IuSG61WzsunA689jBtKs7nJZWWQ/NxQ10fD4/MTFx/vz5DAaDRCLFx8fPmDHDz88PLqEDAMCgJdHoTtW2iVXayZE+U6J8PblMIoFw5YtEJLBplLJ2mUpvHhnktXRYpC+fQ4UTBwAAgIGO8Kd/LlHcvHLlyvz8fG9vbzzpJrXWpu38du5LmzFMjaf8FQfDnvxg/78Wzwnzw1Nuydq1a4ODgxcvXowP3142u91osRotNovVccsW2q7Q4OwlFrO5qal50aKFGo1m5b8dmEwmnjfo9V5gQvVRColIJRNpZBL60JMGwM1DxfiWLVvWr18vEAjwJHCD5s6dm5SUtGrVKnwY3Ih3DhS8c7AQBd4ZT81H73jqFQpau/6XkVslVny/Yrw7h5HfJNGZHP199CKTiDwGNVjIeWN/vt2GPTg8cuFQ6P5jAFq2NeNIZcvsIf57n5yOJ/Up55WEUOu7HqiGQyBgZCIR/aJpPTUcVNvB8/obtH9Njj1uNaOdbrOjXX437PHOjo4ZE8eu+3jT1NSZeNId5djjqE5LdNRp0e5G1Vq09/G8AcpJhQyE6H1GojHkNHRm1YrLRLJWuVZlMKESG88b9NCGsFgsUqnUbrOx2WwWm91/y+g+R+gJzt049AgPXnKg++gQz6F+QjwPgJsFIfqtgxD9VvxjiF7WId10uuhoZeuni0cHCNhppS0/nKvG8zAsystl5bio8eHeT/x8plwknx8f8mZqCp4HBpD+G6JDre96oFCNS6f6ubBivQVjwjxHBHu4sfvrQ44oOM9t7MqqExe1djdI1DKt0Wq33fE/ZqwaReePb7pMf4QRmoAn3VGO7pyoZE8uI8qLPyrEc2SwR4gbF88boPpliL71gbXZD749Z4RvqMDxEPJfkDEsMHq4v3cfPY5+p0J0sVKXVS8+WtGOfrTdGoNSb9KbLGbothVcNyKBQCOTOHSKgEULcuWMCPKYGx8Q7MZlUeGRS3CTIES/IQaD4cyZM3Q6HZ1EfH19exP/GqK3tbXV19cbjcZx48ZBaxrX9o8hulilPVzZ9F5GwZw4/8mRPlwGpUl6uU0vLp0S7sEb6uf63uGivcVNvnzOO7NHBLhwB/wFmcGmP4boUOu7foSe3vUYVDKPQXVl0xP8XKdG+4wJ8fTk9adbKeVaY0mb9MCFlvxmCdr7Cp1RY7SY0B6/G66jW832jlqC0Bdj3BWRMNrjJCKRTiGhMlzIpkd58seHe6fG+Pq4sMlXazd0AOiXIfq25Ruq1mS8eE/kMJ/b0bna7Q/RLTZbs1Tze1HT0cq2yg6FwWKNdHfxdWELWQwmhQzXicF1QuW80mDqUGrqu5VSrUHIpo0K9lyYFJQc4IYKOHwkAG4EhOg3RK/XHzly5NSpU+hzaGhoYGBgQEDAs88+O378+BdeeKGpR3Nzc21tLRph4sSJ06ZNYzCgqdNr+ccQ3WC21HUr3j6UqzQYZ8b6oxJPyKKjAvBSpEMiElBKabv0h7M16Az7QHLE0qRIFu2q//iD/qp/hehQ67tRKMjQmS1Srb5NrqnqktPJpCgv/tQo3/kJgQFCFLP1g3/c2hXa41XtaaUt55skKoM5SMgNEHA8OEwOjQp7/K9Q8W2yWBV6I9puNV1yk9UaIGCPDfNanBwS7sFjD8QCHEL0f3abQ3Sz1dal1m/Pq0O1B7FKH+DCSfBzSwn0jPIQ+PBZHDoV7uUG1wP9BC1WW7dWXydRFLVJ8ps7L4ikaPDehKBlI8JQuQbX0sFNgBD9hpjN5vr6+jfeeOP06dN0On3IkCGxsbF79+5NSUmZMWNGcXFxWVnZhQsXDAYDCtrXrFkTEhLS20UF+Dv/GKIjWpP516Ka785WRHvzn54QOzzI7UBpS7dGb77ieuS4MM8TVaKtOTUCJv2je8d58/pHtR5cp34UokOt7ybY7Ha1wYSitcpOWW6TuKhV0ixXe3IZK0aFPzA81J3DuJsb30ELrzFa9hY1/phTk9/U7clhDvV1HR7oOcTbNVDAcWHSSQP0svCtQHGl3mzpVOtRfI4qtAUtXTUShdlqXTEq4sGU0ChPFzploDX56aTqlvN+GEQCiUSk2o0qnRHtmd40u81mUEglnSKkUyJWGNBp+A//EPQrKr0pp6Fr47ELzVJ1jKfg4ZHR780dtWBoaLSXgMegQUkNrhM6UihkohePNTbU5+nx8a9NT54eHcClU/cUNf5W0NggUeHjAXAjqFQqn88nQjBzfVC8HRkZOW3atNDQ0Pb29sOHD6PTbW1t7a5dux577DH0GaWgdJSLxkFjQnzeJxgU8qyYQG8eq0GiLmrt1pssvxbUrz9S6gjvL766VPo4X0GYO6+iQ17XrbiySTkA/lEfloRQ67sJaLOgjYM2EdpQaHOhjYY2HdqAaDOijYk2KT7eXclstZW1y77Nrj7X0OXLZy9KDHtv7ugVKVHD/N1d2QyIz6+q51l0SpCQOz0q4NVpyc9OGDoy0MtksX1+sjyjvE2s0uHjgX/ivNobh+4qcIk35Hx8pKBK3NmTZDOq5KfWPL0sNRmZ8WDqeydrVMb+21VlQ7f6m6wqlcGU6Oe+bHjkvLgQEtSGwa1BJ7NQN/4z4+PnDAl2ZTHONoj3lzTjeQDciOjo6DfffJPLHeDNtPSt+fPnjx8//sqHzE0mk16PdwyK0lEuGqd3ENw6VOK5spioBm+0WmU6I51CmhHr98ykmNdmJFx6hbrzhCy6N5+FqsuVnTJ0zsUnBuA69GFJCLW+W4Q2F9poaNOhDYg2I9qYaJPieXclrdGCFrJOogx15d2XEPbYqBgug+rozB9cHxKRMCrY67HRMRPDfSkk4r6S5pyGLjwP/BPnFS46k1IlqyHrxga6ebBcUIJGJC/e9fSHB47nVDquolfmVu3/8Mlfi4pEl5uH6UfaFdrcxq7Clm4WlXJPXPDoEG8m3I0M+gIqxTw4zBUpUUO8hVKNMaexs7hViuqmeDYA14dCocBV9BslEAhGjRo1YcIEfLjnnr1Lj4OhdJQLDw70IaPFmtXQLlJqXBiONp/pFHJqjN/CxOBFSZdfAhatTqKqEMlQ2RjpLuDQ4f4FcAP6qiSEWl+fQBsNbTq0AdFmRBsTbVK0YfG8u4xCZ8xr6jrX0Gmx2seG+swZEgTPMtwEGpkU5Sl4OCXah89ukKhQnbamU4nngWtyXu3NbDUYzXJyaEKQlwuLgamk9QVnNv147FwTPWbmwn+/8PxDkyZTivK2F1Y2K/vjjbyN3eqCFonWaE7wc4/3dXNnQ7tBoM+gmmiEh0tygIeQRUdHWna9GFVk8TwAgNOQSKTExMQZM2a4ubldWadHn1EKSke5aBw8FdwapcGY1yL+Ob8a1dE9uAw3NqNNrrH0NJJ8pSMVbXuLm6Ra4/Qo/wh3F1Szx6cH4DaCWl9fQZsObUC0GdHGRJsUbVg84y7TrTFm1orFKl2wKy/Rzy1AwMEzwA3i0Kmx3sIRgZ5kIrGiQ36hXYpngGtyXohOIdFpTHc732q12+xGdVN98altv+ZpOeFjFj761Muvv/LMsgeThazz7d3duv74d0qrTIOOMxqFND7Ex4PDhPteQN8iEggJvm4hrjyZ1pjf1GWywFV0AG4HX1/f0aNHjxkzhka73Mop+oxSUPql/tjALZJo9OcaO34pqDla2SLTGtQGS2m7dOf5+r++vsqsLGmVRrgLliZHuHOY0FYcuCOg1tdX0KZDGxBtRrQx0SZFGxbPuMvIdIbe2heqjIW68WGP3zS04RhU8rhQHzc2o1WmrehQ4Bngmpx3quMwXN3chhOLzudcqKmtyj+bk3N6D41DmvDc3ImJyQEuHL53xNBYcr9tcadLo2+RaSgkUpyPK49BxVNvlt1qtuhkXZ0dYrFILJbK5HozSsQzb4zNYjZpFQaLzXr3NMRnN1stRp2hL9oGtJrMJr3SYPub7ketVrNRq3T02XP3rP1NQ6cELx5bbTBXdyrhRndwo8xms0KhsNngyLlhQUFBDz/8sKura+8Fc/SOPqMUlN47ArhFFputoLXz5/yqw+XNRAKBTCLmNTla4XrvcPFfX6VtskQ/94dHRA3z96TCLQzgBvVVSdi3tb5BDm1AtBnRxkSbFG1YPPUu01v7QoVViBvfm8fCU8FNoZCIPT8cWpfa8TvCU8E1OS9EZ/Jdg4YOG0LN+2TVQzOnL35t1c8XWAza8vkTh/i6MTHMoJeKRdlWmxEfvb/RGCwKnYlEIHjxWAzyrT6PZJZW1O97btHc0VMmJk+Z+O/nXj9WgyoxeOaN0bRVlP265lSbSnr3NKmjrW+rz9mTLdcbbzla6C6qKTr4UbZcffVZdbbV5O/eeLJDbTTjKf2YK4vBo1ONFqtE3Sd/b4DBpaKi4t1331WpoEeAG8bj8YYPHz5jxgwPDw80iN7RZ5SC0ntHALeoWa7SmcxxPsKHR0b+4+v9eaOeHR8f5+OGTwzAjeirkrBva32DHNqAaDOijYk2KdqweOpdxmixOWpfNrsbi86lwZ8yt4REIHpzWQwKSWN0/I7wVHBNzgvRCTS3yJDpz6+ab/OmdnZK5ASPmHHPbFo+yjOQRyJ0l5fnnl59wKpKjfL15brik/QnKGSyWG0EAkYlEYm32O+CvrmlqelA5bAnXt/w/sYtGzb+55lHk/zQAY1n3xib1WzquY58911F74sLwVZjz1X0v1u5i1fR7QMhoiWTiCQiAR1pcAkd3ASTyQRX0W8OKtNdXFweffTRoKCg3s7Y0GeUcustToFeHmzWyCDvhUPDHxgW9Y+vscE+vi4cuH4Obk5flYR9Wesb9NAGRJsRbUy0Se/aKxCoImnuuWXTURm7iztv7xccPxwy2u0E9Eu0QLXk+pBWr16Nf+xRU1Nz4MCBxx9/nMO51XYRCGQ6lefp685wDx6VmDJhyvSZ02bNHenPZFLQj1JvMJOM3OixsydPi3T3ZPbN7e6ZmZmoFhUbG4sPO9PpGtHp2g42jbJseBR6x1NvjrK2oqbu5yrv5ctTk2JjIkL9fLw4tJ6HNwytWZkn0nbtO5xfWGAUDuExaYw//HXb3Zp1LGv7zr1Zp7OzTiuo3gyukKYVddfmaLwC2o4fOpt+8FhlQ4nNI8qNSSXJ8JFzc7NFNL6Aw2cbVXUFeV99hyY/02QyUdlebKNFXHhMJG87sC+nuPBQt7ZESumZloipm8Xi5kwRWSg5mnbw4MH0o9mX5mxqrWpuLS4pURb8vOvw6dMNPbNyZV9eUlOXXKlpUHgOCWZSyUZJ1Ym89J93HXIsc5PZhcoWuJIUmqaz3/z8y8mTJ6okJhPbx5d3eWqrRtRdvv+HX9NOnTrZ2trSbeO3UUInBDO1tTvPHNuz5+Dp3ILz7bRgAUcjzzuZueP3jOLyRrGBJHTn8O2mposrmHW6VY2RhYGuVBMmOb97394Dhw4X17XKWKG+PArZcbo1acTNdZmZEhd/BpVCJf5pEC2IxWLoqj++5UDG0SMnmpvFFLdoNwama8/55WT63v1HygpL7MJod7Sx+urfdVSinW3oONvYwaFRHh0bBe0YgxsiEonOnz8/bdo0BgOaNbphqA7u6upaXZ3O4cgmTRo5b94KKhX62rkxp2s6/u4sSSWTODSqC5N+PS8mlQJdWw1gv5fU13crwz14i5ND8aQ+1VclYV/W+gCGaU2Wn/OrNEbz+DCv8eHeeOrdpKZLuTO/Dn24Nz401A1uobpV6AT6e2nPj93dWT/2O8VJ1S3nnfb02s76uhPnOjwfu/fRN1etev2pxRPjtJmnS5vblAYLNyA0ceJ/lkwaacVIFttd+hjKbUNkUqkYg1yYc/p8XbtC03vLj82CqRrrGiqLykpLSvJLinKLz1WL5FpDT2bPg+pGeeOpqtyjeWcLSorzSvIOnDpUWF4p1WJGs7m9srK8sqSovCQ3N/f4sZP7aiR6SeuZuqKekUuLSxq75HqdStzWWlxUVVJQWlJQUpJXVNdc19Gpbcr8eU/u2azzFTVF54pKDu4q79SZzRhm6Kxpq84932nUyZsbatAiFZwvyMvOP9eqNhk0TVV5547uP1VRheZTcDbz98LKkva/6URD23GuqvRIdn6OY6VKjmceyCotrm1raandn5lVcP58SUF1U1sXvgl6WFSKxqr8XUfPnM9HuRVVpe2dbb05RkVdaz36xvziwpyc0+Vt3d1SsaizurZd2lhVVi+WKSWi4vrzaTmZBcVFBSX5R84ePZd3tllm6Go6hD7k5aK51dS2Kh3tB/fMz2ZWdUgunMxuUnXrbZhF0S2qyc4qlWjN5p58m0GubjuXnXf2fAFa8traRrnWYlI2FTTUnC8rLygpKijOKz5XK5FpB8At9gAMdna7Ra+vHzrUOnMmJyHBhj6jFDwPAAAAAMCZnBeid4vy9ux44KH1hxrrpI4QT1p38uC6Bx5Yd/BknRTFmWZpXeOh9Q89sGNPnqgbn2SwEsREhgU95bHt23c//z2joFykkBssdovOXL39oNhHMP7FDRs/W/XK865Zx0Ttbd34DUE2zCYp2fdzK9t3xCf7t23fve3Ld0JqRc2ZF9psSr2pfE8uKfqR1Wt27Nr87Oxl4vWnapTFJ3d2CVzCV2//9vsdP/931pgAUkdmRXUVOXTjlrc3btlwr5vA2na4XGXR2yt/07guefXJtW9+nBgy/3Rpq9astlm6OhTqLvWIWG/Xkf/+v/9u+HTjljUr7nlQvbesWy8zYVidmNTl5vnE/s9/2L9xtiwYK7jQ0bucf2JqObm5XEF3XbZz247ft+347B5lq/7c0ZOFbbnbqEtf/+LTrb+v+88jc6PY+Oiooqypby6rPXR89LMfbvtmx/4n708MpuT2ZnmnvLzsuR82bfzsnddeTKjMl3dTXBcsuXftuw9OfnHjN68uGutqLU4vr23yWr//85/3b/v2w+kuLu27D5WrmjI+V6RMe+H973d/uvadx4bxWD2XyDGM7uLpGT85pLpBoVAZbZp2hVlTHTw33pXh0vN3uUXZKi9PL/R9Yemb27//ec2q/47y08vrf/tK7J46/qktGz545qUnCVkna0QdanwXAQD6J5vNrNOJKio2czgiDw8UqxejzygFpeNjAAAAAAA4Ddw8dldg+44d+cSp3QdXRmR+tPnNNW+eaLKYtTWlW3O/Wr7mX+OnTBw16577Vx3Iy2/QaHqvTqOaorSkwjSb6jbJ8dg6kYYJJ46eaQqI6JYrhWzWpGdWTE8IdGNgTJ4wKHLYyDaFVug3pa1YsfOT77OlmKOpNVVtc8X+X7569cmJyakTk6csf3XNzhPlUimVTR/+f9OHhnm6YR7uYcKxT9XVdVhUmiaxgimVx8UKLRRi5anXH/3vxOR5Dy1/bXt2bZvRiEL0ofGuMyeOFmI0IuYXOtPNO7lnKf8E1W6rGo6NESjGj47jYBgZw6KS7ud4DvOw8TC/mV+9s+VgTo3kT7dU6DsbNZQuyv9NC+fQUeCO5uwXOgPPUxWc2vzyc3/dOL3QCuoiJOwHJ4VhdPRV3KSY0bxhY1VyvX/0ou07s/bsOV3/5zYl2XxyQHRQYYVNqpB1NtrkjUFxUWQKft86hePK940ifv7wqeM5Fxz/KqnNupKynae/eXr5Y7OTp0yfOf/R9w6V1LZoDYP9rhAA+jmVqra0dH1Hx2kGg+PmFove0WeUgtLxMQAAAAAAnAZC9LsCkUyncXzdPRLGPvPaA5PJQ6VfpzfY1TpN8tx/P/P2lxs2fvnRx198/u3LC0aH+NJ7JrDbMZvJZGcSiHSaI4QkYEQ6nWEnk602O4lIYHDZDCqZRMAIBCKZQqNZbHai39R7li9bOYsm/n7JU5sOZtWJNe7xwbP/u2bjlg83btmw6cfP//PYsyneBCKBxmVQKSQSRqK5uAqGxDZVtWgqi60uTGLiEI5eXPjNXt3w+bPWbvng7Vdfuj+WRaM4WvqgUogMOp3oeH6eTGGQSH/X9KXJrKcTbTS648I1GpdCYxFJVCLTe3jysk/fv4fesXX1Fxu/2195OXa2W802ghXjMihEApoGzZlMYfa0dl+Xs7lBZxmzYOOXH7y//sWFrAB3+x96YrOZLTaKlcimUxwPdWNEKoVGpNFtRJp7+KLPX7w3xrN065evvfX1eaXWdLHhCiKXQguNcc2Tm5ov1FDkba4xERQKGX/6lEB354TNe2z9phHM/cc/fePt9Wca7CS9dtacR9596+MtGz7+euNHX3zz3LQRQYLLnSkDAPobiSS3puaHrq5cNtstLCw1Lu4B9I4+oxSUjnLx8QAAAAAAnANC9LsH2hc8z8TRsSEMP0tlq4bM4oapacGCsOHjU+dMT505PTUlwoePN8JGJGEsfx9ysUVd2ShDgawZ01TVlpKlYg6TobFYa+pFyp5+LFTqzu7a4wR/AYvl6hcaGz9+3LBw/wBGdb3KbCfYDe4kzDNhzqSpaP5zpg+PT/S8fIc5QmQIGB7xHo1VTaWtagrJM4pN1HfV7dNSfBKHzpw+JjnSn64iEa6/YUYShnm7x9RomdW1rQYMs2KYqDFXr2zC+K4e7mEzJiYlDI0UmK36hlYFPgUK4ukcq51W39CqsljQBGpFo7SzFAXumKalSmIye0SnpE6ZPC7GT0mhX3xMH8fwENI6uIazlZ2YGU2pbxbV6hprBDwenR80dfjQlJRYLw7LWl4jQaE8PglGIZN5kZFEUWfVuTaziBQcycXIl34iRDqFGxgzMXVIwuhAromirRYZ2KyQLmpQeFjSdMcGnJo6PTHQm0uHdocB6KdQBN7UtBe9MxickJBpXl4JQmEoekefUcqlXHxscOcYZDV1J9/+dOPbH7yPXp//+EtWrQazXM9TRupmcXNJei06Q2pac34qyj9Vhc6hV0Bzbjr34cFysfjKVlEus1gM4tqMD89X1LSq8aTroW5tbq8sF9vNVk1Vzi/n8rOapXjO9TBpxO1VGbltBtOfTnQ3waqRqqpzaxSmq68fAOBGGFqzTv7+eU9B5HgdzLuxkqG/sGpEiqr959v08lsvg8D1cW6IbjUbuy6czjx2MC3t8NHMojKR2SwqK8o8ejgt7eCxzNMXuoyO4GnQM0gljUUZ6Wm9r9P1+lZyVJCA6RGxgKSoqczZdQilH03PKGwSqQz49iKQMXZobKCWKMk9vS8t4/CBjAMZ5RJ3jBHgzjDbLJKu+vPnzhzJSN996lxpvWLoMH8+XVVYnpeRXdzUxYwZ4ubC5/v4CTF3Q2nmnrQjhx3fm19WI/5TG29kNoUdkESqLuqyiy3MQAFGwAgsKqOjujDn5PHMs2V1nUrLDfTthg4278DJZBK5vHD33oz0/Rnpv+TXMa2YQGCsr8lIP55Vq2QH8L39+VdchqbyAzg8Ib1lz4njaYfT086eL2juRBUbAmZm0EK6u/W5OenHjh8vq2816x1d7DMoZCuzt+E9GUfoQfYmXVzBA+kFtVYNNdyT0tl2KiPrdGmzgcMJinJjYFd2nkKiUDxjIvXlzd1yozU4xLPnf4VeNoNC3ZJ76vih881si2eAXxSXQ3YLm2tV1Gfn7t2HNuDR40cKW1QqA3QmcbvY7TaLxaLVmpRKo0xmkErRu0mhMGs0NrPZPuh79eDz+fHx8VQq9OZ6XWw2s0JR0di4u6vrLIVCDQwcHxg4hsEQoCz0jj6jFJSOctE4aEx4Lv3OMsibm89+dzznXG5RQUluZnZm9t4SsdJ0HR1UohC9pTS9RmuwmDRdtd2SDoXj3HGZ1ahQd5W2yvW63pZC/8xus+qVraUSueKG2gZVtTSLHCE6KrXkXfVdErHmj197bSY1CtHTc9oMxluvHlvUMlVNTrXCqB4cITqUhMCpjK2ZpeePZpx1tF5cUnI8L/1c1QWRfMCdHyxqkbIqLb8dQvTbx3mdrqlkNWXnf0zbdz49be+vO3bs2peRc77VZGo9n5Oxb9eOHb+iGO281GBKmrokMTZC2Ce9GdzeTtf+tjuZGya9kH906/+9tf5IxgH0yjTH0JOfeG6kJ8s3JUj1U+mxHzd/e+DIydNHJD5REb4B7uyeL0NhJd3NW9CRl5P++catR44fOU1OeOzeialDvA0aZbPYZqnfvf3nX3amNVu4w15/b0owVZ3z+s8/bPrk28OZeSWkOU+Pi4lJivEikyTH1q7edvTAoYwDYrtQGBjjR2grMobF+bDdWWR0eBDtdrbt6B57rMArepKPkERkuHse27prx/afzze0YyFjoyi+k8K4coUa09tdksIc1VlM2dBl4ZkYvqEujiEHs1ylNXToPKP9GYKgYHNeYckXGz7NOHQk46z7oifHzI5xrTu079mXNmUcOHBSwwtOnDIr2bv3fn6E4c4hyfxaVm/YfPhA2gGlWcAJn0cQho0KDxMqvslybJyqc3le0fM1rokp3sJgoaVB37J23WYJKWRodEIET3txBdGcU8bO+PfIEF3h0ade+HLPrl+Ot0otQfMemRHEIV68mR3DiHaMZ2n6qoLH84u5J8Xn0mKglZBVt57++IX/fbl3/75Msy8lcdETSQF+SUM0O7cd3/HddxkHTmWd7fSZEunD79l0fQPvdI0Ona5doScytxoMKBQ3SCSapiY1ejU2qpubta2t+s5OFKU7ngJBIXpPb6uEHr2TDipCoTAlJQUqptejt324srJPxOIsGo0eGDguImI2kXj5F4c+u7qGWywGlapFLq/W6ToEgjgymUUgwE0zf6svz5J/YZDLVa2K0JVbHn/okeVTvZmk7k/2ySeNC+EzSJhBrVVK5SqNRmMnUEgkMpFgNVsNym6ZQq1RmxQtnUp9mSV0QrDAK2RkYEiMD9eOmXUqs9WsUGgNZhvLxzdsZlyAm4BBIlj1Bse8FBqN2mqxmGxEi51Mp7u4R04PDvBzpVusFoPaaLbIZCoLZiOSHB2U4mwo5+JimO0kslbUptVqSNFD3OmewcmhIZHufBIBlWVGlUSpUqnUJpOZQGaQiTajzmA26dVGjVyu1mrMBLT86BwqaWioKWwixgXyGCwGSrJfsUZWjECmXb7hq+e7TdoulIlyDRa7nUihki6XgVaNTCeqFXskeLNpHILJqFd1y+RoBTUaixUjkdE6oNLTqFQolGjBDEYzRkGL1fO8mHM4u9O1vioJnXo8D0IaoxnvdC38bu50rR59uDc+NOTvO10ztmaZfccl3P+/1x9ftGDhcN2PJztlBlNUkEDbrXD8rIwWO4FIoZAwO2bRydHvSqXUGUwWIh39KlEJo1GrZApUwlwur668dmo1qfVqqeOHrlEb7SQiidzTSTDOatJbjDqTzapDRZAalSLWnlKEgNmMWlRCol+wRq/TYWTHo6J2658LRoLdrDeoJHLV1QsKxG63WnQSNBulWq+TtWslFxo5U0MdjShfLjf+ulTX4Owf+53ipE7XCPaeWuwlaWlpK1euzM/P9/a+xR9Ma23azm/nvrQZw/7+jg8Ohj35wf5/LZ4T5oen3JK1a9cGBwcvXrwYH3amdw4UvHOw0JPLzHhqPnrHU2+O1WQ0aOXqi62MUZk0JtvF0cQZZjHItDqD3oR2FBGjcnhsOp1yxQ/IZjJoNVpUp3BE7DQWj8OgU4hWM6oZmDFMrzdbrFYyhc7kChhkzGrEZ0UgEKkcIZtGphAtZoNeo9Sg2aODgMrgMJkMqt2ottGZFCL+PY5TtUpppVEoVDYVlTA9gxqj0UIgk8h0JhGjcBkki9lit9pJrJ5lxix6k51kI1B7hxxQZcJqM1ooDBqRQLCYNBq9Rte7tgyOAC0zyaLXyVU6x2JQ6SwWk8XAG1nvgWobZr1MqcNsKJtKo9CYNhKNQ0M1md41IhMIDCbTQqazKWidrGhkuVJHY3A5DCpmN11awd45o/OqSd+t0NlsFoxMoTJZfDat5xF6nE2PSY9+9qWcHxGXuiDB9YrFsKNKnlEtUxtt6CeD7yNUO7cY0LcZTY5ddGnD/rGMuxXrjxV8eLzQm8fMeXU+esdTBzeb2SwvL5eWlHQXFSmqqoxSKYFIdATtRsdFKQqbjeItCofDCQoSDh3qNmwYLzycyuUSyH32vwkYeBSKioqKzR0dp9lst5CQaYGBY8jkq5xoLRZ9U1NWff0RjUbi5TU+OvpJPj8azwN/0Zdnyb9Q1J+vOvyleMa6FB+BF6Wp5kjR76+1j01fEeNh7crYtO+nLT8UsDHsoRc2PzBjYpCgq6Tx+IePf5wtVRlThiWHjV0g9pm+erKr/MRBpZs7L8JdUHfwoy5P7tdfV3CGkCZMf9unpSxycbw7i92y/9jeb177rgB945w5C9hD57mHJ62IItfs3mkeN8mT0SVtKvm+gRr08Qfp45+ZseieJ5MvVZyUtfhi0DBs9Iq1Lw5jKVkaMeXe+TFY5fFDZjc3r6RkoUFZl71x6ZaTksqu0QkTl73y2dRw6ckfsgyG8kPGqkM/lPOwkS+tfWpkQNvOjO8++yrLTOQw57/8430zpw4hXLFGC59f9MgLqUH4FyOqpqOFv614cycm12LB01bOWfbsY8MuBxjGjlrJ+UNFQx4Z5snxUuaeOrTt6Q929+QsuPfppQ8/lRJgUCiy17yy+fjZiq6gpKn3v/bDvWEY02kx6bKtGUcqW2YP8d/75HQ86a7k1ON5EBKrdNM//x29vzUr8a3ZSXjq3eTAhZZ5mzPQh58emj4tyr838a+UZ9/L1wVrAu+fF4qq0pbK7R+0sFkyM63jjTW/YJgWS5q64tGlT8wdxtJitTufXrv1VEGda/S48U9+9vxoF17Hwc3f/bT5t2wMu1xeeeIzdhDnbzi866MNaY7PQx/55MF5M1LDWD05DuL8/U31uSLPsNzXPsiVK7tTlky4b+Vnqb6Y9OTXr3ycdrasAQt1cX/o3V2LE90tnX8uGN2J5YePf/7cp+cwleEqBQVi1nbW7J7x/s7OosawwICAmXOoxoR190QLgo2Xy42/LtU19Jcf+41CUfOWLVvWr18vEPRcquwjzgvR9dpOUUteRRM6YPGUv0KV5sDo4f7eHqw++duhv4bo4K5gkDeeO79r065CT/+pi6dMSkgK4t7x/8khRL+SvrNTWlzckZkpv3BB09qql0jMajWK2B3Xd1BB1nNnO5FMRh/QO5nForu6sv382IGBPpMmuSUns3x8CCS45gn+TCLJbWzcLRKdZDA4YWGpXl4Jvfe3X5VeL+voKKqtTdfr1d7eE4OCFri5peB54I9uX4iuO5+VV/7eCe9Nr40lV+5plWukVC+6yYappFXkyPhgmq+k/vdPS+krEnzYVFbX0Xa1pjTwfRSiSw79pvDw5Md48Qp33fcxfe4075jhUTyyzbf9jCOCZTU3/JaTU9DNWhjjh+orzd9fIA0nRz/xVBy5/KfvzNNmejM6ao+dffVX1n9W+PHCh4T4eocK8LqM6NxbmbW6FtuwOE8uhgkDh0Rg9aWqbhSiz4vBLhzcY/Lw8I0L1jXn/lbHjiLZKGStVm6ktrPDHo+t+nZ9qY4njJkUQtapW0u/Yo15M8zdBSs5lbG7ymXJ1OGJ4yJo3VJxzf4mVjjDRCFotO02KtM/ZskYx0L2fDuqWMvb8spbMZNFK2sykxm+w5ZPvJR7OURnNTfvK8otUtDmBKJcY9W589QQWsywF4IkW7dWMIPcXYQsoYuHX9RwXzZ2+f6AvgYh+uA0AEP0YBOmKtjx5llTdFjU3Bj+hYpWFAGpRY1mb7pP2OJYw6nnjreN9mQGcb25bm7BMeGUssMfFTdRKZwUD0+TQVN68pjvrPEpKQ9EueKzRhVTWU1HW3WNCEVqqo4Lds+EuLgp8ZfCs/bsDcczD++2/+sxR9vNuubaHJWFFj1v7QR3iaiiRiRVarUqU7fkQuTCGZTj7WJFpcojzhMF4YHhif5U6Z6q4pOn1ZOG+XBppPa2LLnBEJjyxgNxXAy/SKYVyWpPPvdL+dCo8FB3D2JXmax8u3xW+txgSVeLqKzJ6NdzntSJ6xjBCQEJE6Ku495rCNFviNMKXYzB8giJmjNnxpxrQJlRIX0UnwNwa4gUhsA1eFhs8pjRw8NCvO98fA56oegbheJdeXn1v/5a/f339Tt2tJ84IS0t1XV02EwmMoVCodFobDaDz0cvMo2GXpjVapBI5BUVHWfONP3+e/UPP9T+9BOaytDd3RvJA9Drr+3DXSM+R1AutB53d9AYtIVHf/jgiw1vf/DbubNmj1mLIj2Ykvbjx878fvRYZqHjudDyI6fPXygtPd+uaGsNmTR1yuyZqXNGDUsK8BDi87iISCJzfUNCx0waNTw+wQtvNtXQUdxutZpjps5LnZOaOmdYbLQH/8+VUDKDLQiJiZ4yY3xcyMX43NESatNxrUERETN53uWmXv/896BK1Xqh6Kc9h47m5eYXllw4k1eaeaqgRW62Wl083cKHJ46ekzp1+ryh7hQi084PD4gaE+8XM3xyamSQB1lxvuLsTwcOHissyC8pLj6XlZeTV96mwS61DEOhMbg8T2NlRV1xcWFuQUlxzZW5l6AVbDHo9KGjeldw5oLhUXwKobZLR7RbuguaiXxuzPgxKcMDuE6MzwEYAJpLT+//6u0P1q39YMOhZm6gW0R8II/B91BVVZeWlOXkoUKooVtHIFnIZ0UWEjtw+IhRI6IFmLkls5bMdYkbPxf9AGfOmHV/vI9aa237w7PedBaPQaCpiwvKi0sLzp6vqGnv+kO/vnQG0ysoPCFxyoxJqfNmDg0IpSsK2gwmsgeP3a6RF5aU5RbVnDlW0SbT6XWiDo1Y55owY+LUqCB3vbJY0VnsHjxx/uTpc6anLpqY5ObPb66VYpcaUDaomsXVu0mBM1PG3TsjdfLYUbGhHjwyiWAQFRedPXToyJGS4kL0yjl1sLCkvE2FTwX60B0rd20Ghaqp4Eh6dX2nFvqRBncBKtszPmHh68++sHTiEG836Dnt7mCzWIxSaee5c7U//1zz/fcthw+rGhvtFguKxl2Cgjzi4nyGD/cbNcp/9OiAsWP90WvUKN8RIzwTEgRhYUyhELPZ9GKx6MSJmh9/RC/RqVO9gT0+9wFNoVCUlJSYzdCq2dVdo324a4PW4+4OZqulu72muLz09Kmz9a2N9IVxHgxKV1e5rqNY1FpTUFJaWlKnY9ApDLtSR1YRp8V60il0DOPwg4Qecfg8LiLTKcHThvh78K4MwY3drWYvMj0luLfdUDQVmhbPu4jtyQubFuvbM+eLUIje0VUeztJFhPldkfxnKr1M0pJt7KotrSorKKls61TY/TwZdiLBFh3pFubnx3A8F+7pN5rOvHxJrZdK3iRtPWsSV5VfKCopqRAZTHY3AcOCEfAgXK/rbKs7lFtaWIByG0RN3SaZSovZ//Ln5J9WkO4XGcp0jdQSLC6hI2LtJnV9fs7prNy8ZhV2Ha3w3b2gJATOppGKmqtQmVNWUkf2nxY/JIFtaa9MP19QWFRQUtMsbuu2qKwmpk/kfRw7obUuN6vgbE5Zh1bZVmOJc+dEeAkxjECmMsOGxdmoXlrDFQ1JauQ1dTXH8opL0C+9qlXeIjOo8cdEca4ertFTx0QKqBQSRucJvbnuXhKFwiAuLq/MyS/OLamoKmtTyGQKkmuMP4/nLiusKDp87GhlY1dzZ7PQ1JI4NIxFdbTG5OoRwfVJxNQaxyOlvQy6bnln7rDYYG8+l4pRGSw33+AwEpls6G5Vd9V3dNSVlKASpqDNyMRoAg78i+cETt2oNrvVoO0Ud4kcOiVShcHm2Pc2k14l66g4l7tjzYOLt+/JE3Xj4w9QFr3BaLzc+fY/spqMem2X0mBxPPR8CfpoNqCfrsF8o+dKu91q1naq9TrDdfVIc32sJrNJr+zdoU5jM2mMRr2j87i7jtVqNmqVBmvPPnK056GVOntrDEKOpg9kss6cnLJPPqnftq27uNiq01GZTF5AgE9KSvjs2UMWL45btix+2bLYJUuiFy2KWbQo7sEH4x98MHbx4sh77gkYN84lJITKZqOYXFVX13LgQPlnn6FwXd/ZabcO/L4kamtrN23apFYPxO5fbllv+3AVFZtFopNkMikgYExExOyrPn9+VWhMND6aCk2L5oDmg+YGUfrt5cLiTVuxdvtnP371blLo0Ly8rFaDwUokUkeMWbD63R/3btux3/Fa/cjSkcEMjGA0mqw9z/VZrSaLWYfP45oIRDIKTU0Xu+W0mPVo2p6P14bquxQKw2AjGg3XOu8TCSRvnueSf2/c/sXP+xyLuvnjzY+ODGBT//EGLiKR7Bkx8t43f/3qp30/O1Zz8/9eWzSMf/H2VLtEVFZ37FNs7Pvfrd+xZ+Mr99/3NzcRo6iAYMZsWiM6cNGWsZkMRpvFQKLRWUHDHt36v6n+7OJv12z48ECdTd+f236HkhA4W8zEJc98hH6Jv23bseqB8aG+2gtlDdWf2B9a+9kv23765OX5k9BPkEwXBM/8YdWDY6I70ra/v+7rXLneTiHoLVaj2fHzstttBq0es5tJVzS8ZmupSG+uK468f8e+b3bsfu/xYWP/3MgaChRMRlNv3dNiRj9gPYFi1ypyP8zDZsU/vOvn77/54u0VI3ksLid2xLJXlz15j++FZ995/vv04k45xUKg6vR4xdUxLSoXiaTLbTMRCCQCkaY1WyyOew8d7fSajAZUUhBJZM+EufNe/P6HHft7yp/9rz2+ZIQXPhXoQ04N0dW67sydM6YuSnZIXfb0mlNyldGGKQqObnz53zOXL12XLVXfSLcj/VTrsVN52dtLr/v00F107vi2RRtP1qsdJ86L0E+48tSOU3mn6zV4yvWy6Lprds/46uChU43XVS+5Lt1FNUUHP8qWq9EOdRpN6fd5eUdPteKDd5POtpr83RtPdvTsI0nJV8d2Pe3srTEIGaTSjlOnStev78jMNCoUZBqN6+sbOGlS3NKlkfPmeSclsTw9Hbe1X9nWMAHVq8lMV1f32NjQGTOGLl8ePmeOS3AwmU43q9Xd58+Xb97cmp6ubWvDxweDkkpVW1q6vqPjdO/97SEhk/GMG4Gm6r3jHc0HzQ3NE88At1XgkEUjhtzvde7HzC4tnx17stl+OvuKEy6D7Wqys3PySrpMjgupElF+a91hPO+a2AIficxYXF6rQFVldCavO4SmxfOuhYxhUcFTsmT8PyzGX3BoQjUn8YdD+W0i6Y3d18PmBmqMnjvSTnbor6wkXKRVa8nalpGeQiqJhjWJizsbjuE5f8IOjGNUGzW/5Nb01DA0pSfPKhpPewj5vVVDvykPLX/81RVTGrvkPXV0AMB10Wu6qfru4Z4eji4eWuuKJKLLP0Fu0oTljy95biFRKueHj6QcqpOcqUaVXJtRr8jefZisq+Jz8CdtEJVU6o7JYoXumIWIVTYcU4uL8ZyLmqSq87lVcpPj4l1T3ZnOxkOUYeEshfScgGESsplmdXdXZVaO2SjtGZvtOzZ5Wdp7Dyt8eUJ2RAtj6L60bLnBUXF1TFv2O+YhwC41KE+jCznC4b+VNbQqUTmmU0oby/KyzSYj28VHUtide7HcAM7jvBDdIK3LOb7p9a/rawp7rqJX5hw/8N6ju7Zt/fd/P35n68GsTpqRtPC17+6bNtz7z3dxDTBWvcFouIGr6LzQmKQpby9K8GZSrmiE2o5fRddfvavWayDReH7j1s0ZMWKoV9/dvW019lxFv4Fe0W+Cvfcq+t14vfPiVfSeyzL8kDlJE567bwibSbkiVgS3xqRSic+cqf/lF2lxsUWrpTCZbjExIdOmBU+ezA8IoHG5JBqNSCL9IT7vRUBhOpFEpVLZbLaXl9/o0eGzZ3slJqI5WHQ6eXl5/a+/th07puvowMcHg4xEkltT80NXVy6b7RYWlurjk3T918+vhKZC06I5oPmguaF5wnPpdwKZ6hoeEuk/wff06qNi6+j50QRp/euLly6Zi16rt53M1YeFBfs8SFq95ukFy5fM3fxLYYP5ulr4I/pMGOuvjKj/7xNL5j64ZO5vuUSxNRLPuxZUIlH8Jy4J1PQuxsKlS97efrqu9c9P9DEFocNGrVju/dOrnz6xAC3qU6+99fV55d9UFegcPsEroOiT55ZtPZDXwp44NCF5MfbWuz1rtPS/772/v0zV8z9Cz7h+bh70oS7r3n124cNLtv9aIjL/zVV0oktiwiiOD2/XK0vmPrRk7qM/SYzsIQ+nsPSNB79eueSpZfc/8XLa/kzu+EQ2DU5tAFw3mm+4G40q/HjF/y2ft3RXdmmHJQnTGOR56U8++N+lC//17Be/ZMgSRkTSfKdMnaGT1Xz8H1TCPProE+meiVGx02LcLgdmrOgQbxFF/MbTSx5YtuRkHqaw/PkquidNT6SUffTsE4uWLnl8Z7uGu/i+8b6csBEP6zO2ff/MPc+98+Fv7Z4BVhKpctf2jU8uW3bfYy+99ZE5mcL1SRw+KTQgnPi/B5596J7eadn3L0oRXrwZB8OogmDvYffdJ1r3y2pUjj2/ZlNWhzDWSqSggjF1kufoi+XG0iUfff1buQifCPQl5/WLrugqzT7+ybZ9wfNnz521cObUYeE8l+60nAviE5kmbtiwWSsWzZk8c9GD8cGCPutF7u7pF90kKa/KS/vhl7TsrNMKubzF5mXj+I3wo2KYuOq3Xcf27z9UUl0sZwf68uhkkuWKkZvMLlQmmUu26ixCbxcq2dhSlXkk45ff0vPPZRtMikqrp5eHT6SQbOiqP77lQMbRIyeam8UUt2h3tA0v/qwslj/lRrrSpHITy4PGZF/RY7dBUnUiL/3nXYfOZWcZKZ48roBsFpeVp3+56/Dp02fkaozp4s+/stFSq0bUXb7/h1/TTp062dra0m3jt1FCJwQz6WRpa9axrO079+bmZotofAGHzzaq6gryvvpub9bpM00mE5Xt5UqyaRqKv/7+0Iljx7LQUll4/urqr78/7Bgsr2s3sQL9eRRMXpUlbi0rrirbt3ePxtB6/NiR03nVFWJNO1UYxWgr3P97xoGDx7LKCkvswmh3JpV0xV8YGCYrzz51eOfufdlZl9aIecV/Emh9G5uLC9uUObt+TTstIWMkA7W9IP37nelZrQaeK5vPoRsur2B2q0pMFkYLyJjkfE5HV+WZzKp9v+3Nz882uHrw9NqC05k7fs8oLm8UG0hCdzaFQLUSzHwvFxqBKMcXI7fgfDstWMCh2zsrxTXnGrvadv36y+lTJ1rVGFkY6MpAob2uNeeXk+l79x/5mzUa3P2iS/Lzm37/vf3YMaNMRmYyPePjfUeMcI+NZXt4ECmU6+nq3BGqk0hUFovO46H4HLPb9VKpWas1yuV2s5nG43FDQq4e5A8IIud01NnfXWzjLYdGo4eETPP2Trye58//DoXCoNP5ZDJTrW7TaFrNZi2VymGxfPHswc3Z/UiTGRyuT4Qbg0Il02g0qguPoKSFDIsM9WGwHT2He3p7enoHRiUE+wf4CRjeLJOB4OPq6h0aPTx8yNhAH89QIZVMJDDc3Dk8HpOMzru+oW50NpWIygMilUl39XXl8l2ZVj6dbCY6ZuVJFxNcAni+SUM9KUQSme3tw2UwaVQem4/PCl+sHlSOG81K71kMH0/P4Ij4cB83jouAz3VzZzv6UOW4urkI3QVsoS9LYyC5ufM8vX0CQgPDYoMFNDLd3dfDxZWHTl9oUcgY28eVwxawCDQOUWNiBUcm+fsHermwLq2Rp394UFBwpC8fbWLHQhBpFDKJxzLpHblxUUmhQ0aG+7j7C2lY7zJeXkEWh88nM/kUo4Xt5entHTV2dMKQlAAO0WyQS/RkgbvANzYyNmFMsheXiJbZWZzdVXJflYTQL3rfGjD9oqOfFJkX4OLi7nrx+CJSGRQig200Y17ebtHJicFRI4M9Xb3oRpHS4uLG8w4Pjx46akSE4weITj50GonM9/QJ8ImZnJoUGuZ2RcuSJCaDaqI7iiBfT8+hCeMCwodGegncUW25l7q1VqlQYoEJPDLDw80/asS4oaMSA7lEBsfLpifQWFxBcERo3Nihfv5RbjaLnWQl8718AwOSp40O8fJ1daVTBPhCegb2ThvAwUsJhECmUVlCT0xDYHiwXYKCwqLiRqb4+kX6uQo8XamCi+WGp2dkeHSA/x/jhb8D/aLfEOf2i/79g+t3/Wf75oeGTw3mqhqO5m1d/sBGjBv82MPP37d8WUyf12Lulk7XzNKmU4eOp2fsFanYGJYYwtIGzuRHz3wmmSKtyTm/c39OXUs924MZMWH+/JkpLlpx+cmjp09ll0vQjy589n9SE9judvmxpqEPTOaYa7Yd3Z99Ik+qFlCwlFhmnd/UsSmTpnpaG7Pzj/9yqkLbIQv0DB834bGpU3w5DLLjHGozSJRtWft2/FTQaJLph4Ynpi59Jp59/LvKwJke/mHRF/94McuLC07tO3Yqp7KLi2Ezl/x3akKgQV9xLPfUgRM1mEE7JHLKlInzksdcbNsWs6ikledzdmzd2qqwW2yRXjReSGJr4L9WT+bYO0rKD2WcyyooJtOxwHHTZ80Y7t1uLjx86OvySjZmjpo3K3V8arRZUbw74/OiC1aTkhIXnjjmvkcFDa9vOiVXiSw8QdDwYQ88tDCGI0p7Ja9TU6TzlJeXjpsypODokeo2oyVkctSc5e8mSjO/3511oaHdzKdTkia89eDkIBdvek+1wW7FTJKGjCO/Z53LbG1nWsnm7sDYpxfPmDBk+MUucDBMXrH3QHFOdlessOR4ldwnPDEyMMqiqjmcXavhuy55dNbEpDHMdtH5bet+uaDUmgxeMRGjpv9fapKw7rt3s8naiiZ3WWUBmSz1n/V/S4Z4lJ859ePe39sIHuGT733moWFsEaYU10cvmMyViCpyDh/PPFtcS6ax/EbfP3vyaJe2/bXFR84xRrVlZ1nUImHM/JTpDy9IYRvbcovP7M4saqwUCen0ERP+b/bkcHdv1h9O/IOz0zW7zWZSKCq++KJu505FRQWZTheEhQVPmeIWFUXjosP1Zpj1elldXcOxY11lZShKZ3p5+c+aFffCC5zgYOIA7TLdSb2A9F82m1mlqu291k2hUAMCxoSETL656+d/YrHo6+uPNzdnmc0mN7eU8PAVXG4YkTjYK/H9vpMqs1Rc39jc1KHoGdKJD9g9x3jHL4OnLvuWs/th6quSEDpd61sDptO1O6g9+5f65gb15Fcnu2L0/tClLHS6dkOc98eoA4WAxdLsFoVMJBLJFBY7LQEjJExdPmJkigsRJYk6RCKVxmAZYA032eSFRWfV7cpF7+/Yv3XH/oUpNk9SFWY3mlTtWZ/nWCcsuXfjlg3/XfFiTMO+Qkl90YH0CkWh66Nf9rS7sHrpxBF4G7BWzCopOXFA4xZ5zyf7t33947bxnnY+sRazqttqqtJ+laa8+dBrWza8N2/meP2htOpLbcFZlK3y8vRC3xeWvrn9+5/XrPrvmOCeZ+P+RF97vMHoxpi5+eutv/y8ffnsRHdrSVb9hUbsni1vvrdlw5okPzfp2ayWS7fc2TX1zWW1h46PfvbDbd/s2P/k/YnBlFx8IXcVSVhxY9BKrf3fhonyFlHHsWPpImk15b9bP/x+79ZVjzyQ4qqvyz/76zbic5+9/N3+bTvQUqVG8YfN+Oiz1z79esN7D8+bws/JrDYY0So0lBoJqsgHvv3ut+UPrHr3sdn/ffm/z7y47rNZ0S5eY2c+/9brn6NveeKlh1RZZVKx7OLzezajrevUvp1Kls/yjWgzbv3uy9et9R212eWSP94yWKUmdnZ5Pf/xF7s2JNdqqzPTDGP+/fPP361PUViUJU3dFJdg/8kvf7j2s082bnlzYsAo5elcKWayYU0n9YTwBQt37P7hsw9fsp43dVOYM5fcu/bdBye/uPGbVxeND/XrreRbjTbJqd+KLazoJRs2blnz5psTZb+KOhqateJ2i/QkeeL6z7dv+3b9tCi/rqJSmV5e9dtXYvfU8U9t2fDBMy89Scg6WSPqUDv1wYH+wmYySfLzO86c0TQ1kSgUtqdn4PjxrpGRNx2fIxQGQxgaGpaayg8IQDG/vqtLcv58x+nTVp0O++PflGBAusX24a4NWo8bmLQ1xfu+/PQ/K1/oee2WTGWG3AvxOQDgLkGiMqgMtuNa1cC8F3Cwc26IblRLs9ctXT5zVHJy8ihH+3AnpOoTP7+9fPH4nhbkkickJ3/6U2ZrJz76AKFpKtVH0Nj3p4T3xMZ+oTPdvJMxk8LUcTY365v3nrh3ycTkKXPvnf/Kd4eq64vLfvflK2aMScIbaLkEVe9kJRWm2VS3SUl+jqftsLChU9j8BKxT2VqQ88W+jx6afP/05CmzFz+56pucFnGXxdpbH6RwXPm+UcTPHz51POfC37eV39NOTHbbt6v21GI9jbU2iYtzM9ZtXrUwedaU5CnzHl/z1f7iTmlvMzmIvrNRQ+mi/N+0cA6djWFojfxCZ+ALWbhjy9uPP4xWatr4KU9s+PZUoZ4dgRkCt76y5kijytEOjrZdqiIVU14aHcZxv3hV3mZUKbLXvPxE6h9XYcjY0JRFiYH4SH/UeuL5Dc9f3nRSA955pM1sVFRlmWeGuo2LQJuKSGPwRy+YYWFGKtR/bFov2dv1njmjXeg0ootwyNgRUx2bnUwlog3LQRsWUeu7M/csmorWZcn/vfbpoQudUlSzx2LuT0lyzJlKobrFDg/nCi+uwx/ZLEZFZVbxnrfW/N/sKROTU2dNfnLzvswyqUYXGOo++pmJUWwaGeOGBfj4xHiozbqSsp2nv3l6+WOzk6dMnzn/0fcOldS2aA3QASFi0esbf/9dXlFh0WppPJ5nfLz7kCG0W330BiPR6byAAP8xY1DMj8JyTUtLa3q6pr3dOjj6YBvk+qR9uGuD1uMGGm7ShCfXfXIy/1jP65OVMycEwbVTAMDdwi1+amLqw6OFGM25wRy4M5y8V202g1Ii6exwXDHvlEgc3VIZNAqJROy4ht5zFV098K6i2y0mOwUjshzPKhFQcE1hkEhUzG6zE8nGmKUPvLDu/Y1bNnz8zcYNW75ZlBgrJJKINgb9UgMNl9gxFDrYmQQiHUV2PQ3QUOlEIhWz2ixuVPLSR9/e9L+P0Xy+3bT23Y0rhvuyqL2Xygl0d07YvMfWbxrB3H/80zfeXp/VgGKenqwrEV0SR97/n8UPpLBO3//sYz8eKGzpMkb4h6x88ZMtH6DF++T7z9969vlZ0SgY7f1vzm412whWjMug9DyThtaITEGVlZ6FDJw6bsWqtWiqjV9u+PSnLY/Omj92SuLM5e+/Poae8e8PPv9u+7kGtQ0zYTw6hYi3FakVKesyXmlMSF761oaP17322MKpFivVMTsqnUxjOVb4D2wmjer8p5n6UQFzPt6wft2aFx9MYdK5ly9+2m0mo51BJtF6GtgjoG3GYmAEivVPnaBRSSQmA21EAkYiUuk0umOz925YAtqwBnljzflfTpMeW/34B1vef+WxByYFo/gczYHCotEcc3Y82kyhkS+uw1/Y7TazMXDSw8te+XTDxi0fffzVpi93PjItKdyFTCHSe7ac48FCEolEIaH5kkzaWXMeefctx078euNHX3zz3LQRQYKB3R17bm7umTNnmpub8eGrMWs0ioqK7sJCxyPoDAY/IMArKYnKYhH+brNfN7T/yHQ6Cvh5/v4UJtOkVHYXFaEvQh/wMcDdRiOSlf2+YveFPNGNdmTxB33VPty1DbbW467n59y/odMERyDseaYdvYQcJt3RgTAAd4DFIGs8tOJ4YV6VDE8Bt6i6uvrYsWNVVVX9t8/8S1fRoWAakG611vv3eIKI0VNWr3519TWgzCmjIwTXaIShP6KxBCqtpaW9U+eIOTFpZ6la0YgidSKT5aZuF/rEDhk9Z3rqnOlTpk+P8IgISpLrmKU1zb0jX4YCYTaPLxZbRJIuvaMFcayzpcKga8YYFDaZGyEnBaQkjpnhmM/EcRNiPDkUEr4viXQKNzBmYuqQhNGBXBNFW96uwa7S8DpF6Bk5LH7c1JjgCA9TgVJtNHLNrDACPWTShCmzHbMdM2xYkBCFzb2/fAqdY7XT6htaVRbHXypojdB64QtplLly3YOH96wUesWFhHr5uAXFTJmaMiQmki+R6eUmC8Pmbz1UK9are658W/VSdXthBykyatjU6aOHRQcKJY6b5v+WrafjODXVzz/hniljRwwLpBlJ2KUyFQXOTO8wcmmXurpDijajxaSrPV9KNHWw6DcS8WrU7d2NGXbBmCkjZ0xNjvT0pN1YVEAgkphcd4Pcjec6dFjvpkidMyTIw+UqC0EhkNnc0C5qUHhY0nTHmFNTpycGenP7xcNEN0+j0Zw4cWLLli3p6elKpdJ2tY58jHJ5V36+trXVajTSXVz4QUFcPz8CqW82DIrzGQKBMCyM5e5uM5sNEknn2bMGaW93JAONj4/P3Llzr954ibFT1Fq1P0ekN1382Rmk6qazG7KbaqQ3ficHmrYha8O+khKR6qo3JNjNem3V/pJGUbMKT7k+KmmXqOCUzJfHYNOucgDopTXVR99e/97bb7/97a8Z5Y4y9Goutg+X23v93Msr4Vbah7s2NGc0/95r6Ze+F88bcK7n5+xEBqmmOWvzoZJy8V+POpNGXFJ+aENus1qO32t1U2TlVQ21Oa03NQt9c9WJ/FO/lYuveWrryRRVVba2tt7Yb+Mmycqz8/N/zflLfcNJDFJDW056lVysuZN9M12rJOxjepOmuuDz9d+8//YHjteGTZ/uLxLrr2/tLRaDvDYjp1ksVaMtJ6tpOvfhwXIxvukMUqOo4LTM10xk/7G9muvUc5jlVDVUdf7T0fzHVfj8y88zqroM5msew/2VXq8vKSn55JNPdu/e3dLSYrHc4lGqN5laC/Jb5bI+uRvy+nfZRTdXXtnNmKYq55dz+VnNA7Mm1J85L0TnCsNHTHztPw/PHzlxVKLDqIkj5z/xn9feeHPVJa+uWjVlVLjw5h8wvSvR3WN4JJ22+veD6Wnp6Wnnyyo6FWqMzKRyfZI82sWFp0+mpWWkpx0/cbRGYmD4pbLI5PbC7b0j51a34SUygYSx/SN5Bn1LwcEDaRlH0zOKaqtVOg3GZvtwA6epmo8cOpO2H83n1Nmc8i6j+WIUbjMo1C25p44fOt/MtngG+EVRGear/MFmltdVF586nVdda473G84V8Fy9ohj8kNbyX34/dsixeFnFFQ3yy/8sUvkBHJ6Q3rLnxPG0w+lpZ88XNHdK8YV0U9tbc0/vc0yFXhcaOzs6ahpLDx8/ld9gD/EVePgIfFzdBEm+tcVH048dROOcyynuUlNJsaKShuwjGdm555o6u9CS4191GZntYpF2NBdmn2pWGalUqqiiJSfjxJnMonqx1GK7VJoSyDRm0NhArbi74Mh+tBkz0g+erOl25dJ8XXof678+BDKRTMUI9eePnTl2Oqe4tk2mxXOugkEhW5nkwpzT5+vaFZqe0xeBRGX6jnDXiNp6FiMj/XBGemVjl/ZqXf/TyAy3sHusivrs3L370EY7evxIYYtKZbi9ddzbztfXt6Oj4/vvv//iiy/27dtXWloql8vxvF52u1Em6y4oMKkcFVYUSPMCAykMxvW03369CASXkBCury+JQkFRuqy01NDVhT7guQOIt7f3Pffc8zchepeorSotp0NvvFj10svUzWc/ym6qlt54QGIxmtXiC00ymc7RN+tf2S0oRE8rveEQ3WS0UXSE6KdH+IcJ/7oWeq2ypfr82cKC8wWnT2YWVhV1/Xkn2mxmhaKisXF3V9dZCoUaGDg+MHCM8+LzXmj+6FvQd6FvRN+Lvh0tw4B8Lv2ff85OZXUcdRUtMrn+r0edzayXyVsudKrNlw7wm4FXeW+qwm1RK9olHY1yNPE1g2G0fB1VlW1tLbflXh6jXCyRNHSp0dnztoToMkP7OUeIrr6V3XCrrlUS9iGLStVeU3zkTPG5/JKigpIS9CotK2/u1luvr6dcKwrRa9LPNYtlqJi0GhXqrtJWuV7XMzE6oE0ahTnkqfCAML+beeSr5zDLRfFe19UqJFcymHSNBb8ezjuTXVhSUFSQk5N78nBtV6d2AJZgrq6uqGrx008/bd68edeuXXl5eZ2dt/LcrcFkais43ya/pf8FL7n+XXbRzZVXdjtmkXfVd0nEmuv9InC7OK/TNcxmUas7ctPWPPjWh99+8s2OHUcKMjpdUxIDXNk0GumP/ZP0kbul0zWOv5vxrKHok/c2HTiacYDmNoLkN9nFPSglyDd0tHfZnm37t333S8aBzHPnqHELA4Kiw7DLI7cwh7i7891ptg6dd7S/T1CIMq/08Jeff3Ek68wR9yHDjO7jQgKDhkUFhATIPljz66E9aD55dWJtwJRhPvTee/DMsurW0x+/8L8v9+7fl2n2pSQu+Fc019JRo+CHcLgujsviPbTl23b8+MUHm7ceO5ubF/3EPYlxYxNC2CZ96/tvbTl28EDGgQo1i+KXmOR9MchluHNIMr+W1Rs2Hz6QdkBpFnDC5xGEoaP8fUIT3LurctI/37g148CRjAMmn5EUZWZ52uurNx08knFMlzAnbsToUf5CgSs7c917uw/s3pvR3m7wTrxviPX9t3ejVVCYZZzI+4jCiJFB1o4yI8OV7hXR+7VUmrnu+JH0fUcP8oY9NDq6esdOtOmO1bcZgif5UPzGhqNN1TMegYTR/XwFBefzf/ti89ajZ86dptz72JwxqdHuV+wYk6JZotPbuYkRQnQy7Szutrva+RGhLqh2J2tqJHC5nkHBBAb78PsffXtof7OOyPBOSmB6JEaTaqrMfkIXYaiQardYjPiW9BFaGvQta9dtlpBCYjy4GN1u0rrH+HtHJLoXV/csxpGME0cyqN7DgwUMmV2vtwek+DMxMsGk6FQaTSTPmKjgxCHanduO7/juu4wDp7LOdvpMifThu1/RLR4ywDpdQ2fE6urqkydPotr8sWPHlEoln89HiSQSiUgkopOlzWpVVlfXb9+uE4vJNJrHkCHeCQnUWy6L/gQF5zqJRNXWZjEYSAyG+7BhLD8/8u24xnIn2Syo7tWtsaLSl0gyd4kk8oJ23tRED0bvBWqDTN1Z/XW79+xIz1CORaeSdsvViNFOIqA9YzbppEaMQXF8dlQlrxzEMAqT7hY6LSE4WMggGE0mnc5k1cpkCpXKaLY7HlCwabraSo9UWEIpHDcPDpmBSiqLTiZXyBVKncFkIdGpJILVoDGb9DoDCq1UdjKDRLRZNBa7neoeLbATyFQyiUyyWw06TVe3rGex7ASZ3kaTEJb/3/MPLx1p1bM4jSbPUXhbmw697cOVlX0iFmfRaPTAwHEREbNvTyvr6FtcXcMtFoNK1SKXV+t0HQJBHJnMIqCSagD5x5/z358lbSatTK1SKFR6nQ4jOx4CQjtXrVVK5SqNRmMnUNA8rFaLSaM32XUylcFs0FhsRhsBjYnKe8xiMphNNjrTK2JiXHCQgEkl2qxGnba7W6FRazQWK0ZjCQN9Y6aH+XA5VDS63uCYtUKDctGRg3YPGR2UFqNKolSpVGqTyUxwLINjzn+EqrwKktQmGMLQOuZsIWBEEpVot1n0KqlMpVapNVdOixZXpUHHPVoDtApsN+/YkKjhfm5kAtFm1MrlKqVSpbm0vpf+dEQV8a6qSiubzfX1YVoNym6ZQo2+y2R1zLinlxaczYKOaJUZs+rkOvWVm85qvvy9Zjv6oZBRBctmtxn1km6lWqUymAwmq91owagUAtsrLDA4JdSDSbCZVHqLVafRod2g0eksBCoV7TS7Wa1XSx2LoHH89okk8uXO5GxoPhbHbBw1DRROak0Wm52C1t1m0SnN6NgmYnbTxb3Qu50tCqO05pQmLNrFwrKpr1jmP/zn2l/6Ybp2p2tWRWnlsYwfN7ZGrl+/7F8PP3T/kgUL58+ZnRLiQmWQHH9TXjoIrQRHp30kzGIzaSQyR3lmsNgsVqNR3lxxssIS5MEWugi4/p4hqXEBbgJHWWjS6EztakacJ41qQ0cMiUxFe9hmvNoe/EPdGu0yjVKJjj2tSmOX1udrmAKhTySqYF7j4DeYzMoLNeFzX3j2kaefWDDCP9Z04L+FHvFudHeKEZXYGq1WYydTSER0YNit5ktHrMmEDgeCwUZChTmBcOm34DiQ8PW94ljudcc7XeNyuWjjp6WloXIMhQ/Nzc0MBsPHxwcVX70l2HV3utYLhejdF0qx4BBXPhe7XOb0lht/XP8/bDqr4zoT2bFHlQoFKiZUBqPRRsJMsprSc51mKtPFX8igkG16pdlq0mg1Gq3ORiKaZN2oCEJFitFkJ1IpJKtO0VJY0mHutgkj3Zm0nnOqVq2SKRRardZMdDyi6SgX0Mlb24W+Fv1ETSaD1W61EOhkpmfg8NCQSHceZr1WEWS3/k3RdwOg07Ub4rxO1zBlw5Hcnx986nNps9TmuEuGRCHyfIWz3vz8xRkz4zxZ+Fh96W7pdA0V1ia1QYfKXcdnBp1BoDJJZAoL1RXQqVqh1pvMFrTpiSQmz5VJQQX15ZEpLD6LRqYQ0fmUwqChk68e/RrRbxBDZzQmi2Ej02kUCp2ETq/6boXO5riSTEShDNuFQ0MlimMOjl++US1TG21oz1KZNCbbhUayGXVmMo2ETrcXf0yozNfqdFqDxXGzOpPvwqDSyHarUa+Tq3pvgSPT2Qwmm3XFM/Lot23Wy5Q6zIZmTKVRaEwbieb4XrvJoEXltqH3X1YGR0AjOpbh8hoxGHQSWlaDWo4Wy2bDaFQag80jmrsVepSMvplCZ9hIdA4NxblWAolAYeBfi04waM4Gm5XJdaVZ9ag0Mplt6PTEQBucyqKTHTWti/6wRlQOj02nU0hXlB2OxbdYbSQWAwXBdpOjLmMnMehktK4oUkPVCccj4hc3HQWd7Kh0KpHCYmA6nY2KNp3jHxA7qvbgW5JoRVtDrtTRGFwOnWRHJ6uePeaYM74YjoKLxXFhUglmu9Vqo7FRLjoCLCa0FBiFjoo2VMtR6lA5iUYlEKkcIRttiSsXeSB2uvbbb79t2rQJnQ7R+Y/JZAYEBEyaNGn58uVxcXFUKtWkVLamp+e9/LKmvZ0pEISmpgZNnkzp6+AZFXpNJ0/WHDig7uhgenkNfeWVwLlzUZSOZw9QyoajJQf/u9t72yOjQ+OZNefL67/M9Vv3ryECTs//dvJaUem+5NxhW+bFJ8m+27ftozV7HMlJKz95dNHQIa2N6S+3DD28ONqDxcNEjUfLrxhENROxtrNgZ3n8pESq8XxZZe5ZZWj1B+uylcrYmY8/+uCiANe8D5a8k96qIpHHPTRr+cofZnphVTtXvLX1aF6d+5Bxk//vszcmuHRnfN4iF2e3qn/+NeuhjYcfSFZ3fbNl20c7dtN52JiXPnkhdUacrevovu0r1mxFdbvklSsfvfepGeFMM4lGI6qyf72AeehDx071vFwgKBQVFRWbOzpOs9luISHTAgPHOOP582uwWPRNTVn19Uc0GomX1/jo6Cf5/Gg8b6C49s/5b86SNnS0nf/m6W37zhytC3Vxf+jdXYsT3S2dGZv2/bTlhwI2hj30wuYHZiQbpXWVWzOVKS0f7LBMZNSFTfULSdw8JxydU7C6goyW9jpl4lzqiar48fFuAe7S5pP7dj+55hcM02IL7n166b2z3LEzJ7AFi4NZLHLt/mN7v3ntuwLHlyetXLFs0ePTg6jKuuyNS7eclFR2jU6YuOwVfM5/VPfr3ib56Vyx389fOeY8540nF93zZBxRWZf+0coPTncru7Erp60r+HzLb5/tSMN6V2G4O1tAkvBSU30x6cmvX/k47WxZA3ZpfVkXbx5Exf+FvXtMHh6+SWGyxuMfPv5xtlRlxFKWTLhv5Wczr6jFqhod39s1NLhwXfG5/Cs2XUct/r00DBu9Yu2L90yND2MrdV15exY9/0uXrDF0dFDo6Ht57Nj/LI6wl9Y2UiVWvwlh+uyNRwxBlccKC48eUXJdJz+z5Y3JoXxb6YbDuz7akOb4wqGPfPLgvBmpYRcra4pz6cX6Vp3/YzMDMKwy/cn98oC4sCfmxlMUNbvXdMYt8wt1o+Zf3Au92zmFZKvet7ojJfbChvK8K5f50uo79Jd+mK5d6xPnrbtQnl8T9M39w7kuDOIfz+SY7oqDcM5LPyycOTWJ0dhVuP3+17ZK5JrgaQ+lJIYGn3tt/RGDhkgfteSle2ffm6w6URa5ON6d5a7IPXXw5yfX/YbiRqzn8H74qaFeSvFV96D7lQ/WoV325Xc//3ComMXCFj8wpd1/9vjk5HnhtGsd/HKNonz72+3Dlo+JGOrD1LXIWk69cSzofreT58+e+OFILcYSYIs/+mzh8AmBPFNXyaUjNiVldPSE+1R+E58f7cKjN1z8LTjg6+vRM3CFu6HTtYKCgnfeeefo0aMGg4FGo3l4eCQlJT3++OPDhw93cXG5wU7X5BpN1fafsCnTIj1tmZfLnN5yI/kPIdUfNt3C5xc98sI0L4Uie80rm4+fregKSkqe8+iT2GvP7mqTNJEi4yctfvTNZe4n1yg4/LTM0jqpac6jT2GvPZ8mlzViYVGjFqx895HRsp0vrvkyPa/e6pHkP/0/X/1nYpDs6Dff/bT5t2wa1234/217enJojDtN1XS08LcVb+7E5NqklBSPlNQ4ZtzKe8Mqzxw1u7l5DQmQXKsIMor/pui7AdDp2g1x3lV0g6KlqGDfrv0X5t738nPPvvj4/eOCI+3Hzuaww4bFBwd6CG5or16f67uKrtHLitP//XKJ3Rdz82Eq8ooPvfxyua+vgOdjrM3LOPXyugbfcf48BuXi9earu/b/qUQSjUrnsNmOF53OoFHIVEeBTcAIKLxkMXvS2SwUkTni6itHZqJRHZcgUPDZ8z8zkUKlM3uz2DQaCjrJZDQjlIUifnbvfFhMRxs2l/6URpE/kcJg9U7CoDv+A3OMTnW0cnbFOYNAotLorJ45s9Fy9PxTjr6WSuudEC0J3fE3HD52DwKRTKZxeufMYDBpVAr+vQQSmYbCeXxCOpVMpvxxjdDMCUT0jegLeyZnMhgoFCVTe1eBwUTzotLRWOgbHBNf/treObOYLLQoaFP0bDoWi0VHo6Oo+cr1+dMaMaiUP9+p4Vh8MkpGn3pGRl/UE+CjIRLaqo7ZXd50aAnRLNDYBDSm4wpe78yu2JIXtwbauWhaUs8ew+d8cTHQi4bGdjQPR3FceOidBRru3YmO72UwGfiYbLRJ/rzIA+4qOqLT6UQiESrO0Gez2axSqVpaWoqKirq6uoRCIcNuV1VVdZw5Y1KpqGy2e0yMMCzs8sHdR9AMdV1dqrY2bVeXzWRyGzaMHxlJFwrx7AFKL6loLdmRx1g6LNDVmyYVFWUf2fj5nqN7d/yycwey6/ffTpZWu41eFO8b4+vrHjwyZdys2bPHeYnNXCaT5Ufkm89U+Yz15tD5qupmcftxTty0MV4CWk8jARalUdWU2+oV4kMyNR4sqymqDnr4oRnT5iXSOpjMMrvnPUPDfUnNrqNXTE2dd18ci6cv/zKbNiRp5IJ5s8fG+Lt3ZKt94wzV3xzrMFa7znj5vukj4z1lR0uUZGHA/QtmT580O0DSZHXrqj5iEueJk166/4HZc6eNHh3t58VjkszyxkP/PiANJHknpgSg4d51dTx/Xl+/QyzOYrFcwsJSvb0TabTb/UAVEZUmDBcqla3RdCiVDSaTkkrlsli+ePaAcO2fc3GXLqu+609nSZtJoy769rgyTBB37/3zZk6ZkhATJlDn7xXpqIykJbOmTJk+ktRupJNNCmpbQ/bWau+FD40YPTmOV0qkF4m9Z4dyMEpnXkmnuY3mOtRTUSLyCvLCNOW7LxTlKUe9NH/h7Bkzx48aHiS0a5VV5ba4oQJp/uHc5lPK0IceWjI7dXYc9YTJZuzUMlxF+9PM00ZOnD9/ztTxY6NCvDj0npPBH8jKjx/pLG10S31+8cTUcf5SEY9Go/4/e/cBH0XRNgB8r/d+yV0uvfcGhBIINXQJCIoUEfX1Q+yKHRuWl1dFQbEh9gbYUBLpSG9JCJBKes/lLrm7XO/lm0sWDIoIkgNCnr/5YXZm9m6ztzs7z83uTEishCeWxg0emj1twlBpcKD7lCM4VWyt3/p2ZReFOf7+ubdMmzxlxOBUsqnTbtLR4uL9MDJXEJyYMnriuKyk4ZFdRVgEamGIGD0H6x+96CHh/nRRZGz6uAkTpw/xJ8pc7Y6gdDEVwy+IFpW+oeCt90r8U0YPn3rrxIyIOH7Jd4bAWJE4KiQydGhW5qSJk0ewlA4Bg8qSuM/UHPjfPt4dY26+dfa4mFCH7cx2a/jsNH9Cq7IT0zn5UX66mp2vlXCGB6XPum1M8pBw87dd/okSTri/TBw2YsjI6ZOnjPbvcKDLEjNCircFSZrWXa2aIpNwQjCnad8nP/xcTRMHp6UEUxuO5BlEcaHuFkVHrVFw663jptw0OdrjoVBbjcQgc8V7H5VJ0/60zdzAnm8Gu90QveittdvaWoolEQvHRTIJ3r7F3toPF7RY6xgjbrtpCtqxgnYbmazu0nYVv6MIW3LbjBk5k7KyBsdFBIdEktp4QxfcPn7a5CSuB1OUt/qlBXhqynPLi06yRj6yaM6Um0aHdbSSneVO4Six+YKfYDC3Z8e6MUx/ZuuaWgNLmP3gwpkTJvsbCtvp5MCgKJ5BcXizMuqWQVkzp46OCg4inGqmpAZzUXO0e0Wr3dpZesAgSwsRS7mOjuK642uLqdMykhJS0oYPGzVpwuisOO1xljSMTjVrioq3fGpLeeCOmTkz09HhYixvZo8fG+Fo2Hb2XJg9afIISedBj9NNF6f4/ymouOa96AiqtXQ63bFjx1CI7nQ6TSaTQqE4ffp0W1sbnU7XYfSfTnmHw7zcXnSR1J8nS0wbNmHylJuSiS0iJpngF+l37tsTTXlDc+1vxiE5EydNnTIujMQmtNbb/VS5W+1RmZOn3zx74pjs1NiYiCS+wxmbPmpizvwJCVKS6fSr3+kS+bGTFk9BufERSSmpE6eOGxMbEswqU7CHxIWH8h30sAzZ0DkPTEmMZVTtKnYQhck359w0fnRWUOdht1BGdiobq0reKQm/bdHdOdNHRdJqbOome/iMJL/26go7g8H5hyqISCYx/lT1haaKqbTzI4WLg170y/LnobP7jtHa1aUoo7syxmVNvWnOiECKMiCBXrx/b5FBqdaYsMhr1iPocFqV9bt3GpNuk2ZgMrNSWb1zJ3bbbenRGFOtrKvZuZt9m9UZjRcG4FrTKnVlp1a/XsGhX/xbo/6hs7OztLQUX8Awm82GroWoQa9UKmtqasSoodrSEu4dSd9DJJPRz5UP5H5B3i9e6HT0Li50YTaZbshn0Xtip3PXDLooNnLUE7N4EhmX5L1Phs6mBsUnpEkoPTe6W9QGbfNxsvd3BpvHIND0J480Ypbaw7Yotsg/JSJ8gt/WamWGP02v6TAZ1bIp0UI6+UJfGnEY3MiYtJFTIplsHUdzzFRjJHOD08ekBlm5WaExqYOYlS0Fu376RRUbKgwUMSzqNl1LdWzaojgbiy8KTkkdMTWDixlLv92340SXxZUYKnbZMOWpQ6HSCRILzUQ83uLJvGViipTB9V67LBZ7e2kBkZoZGhzod+4pnqs5PtzF9Ywe53a76+p2oe0pLu6Uy3fgeTeEi5/O1UbMoyFig8bi2d1Qa45McumqG2iREaFDx8UJUYyqPPr7noNNhnZZUjDdgZlrjzscVKJfOpNBDoyJHjQlQcb2CGqLq9wHyuVOqURd3+QhSERREirW7m0bWlobmy3Nltj022YMFWM9h7O2Dh/2WlO/Q2fhiRPnTp8Sik4DjX/Ztlpya6uG6GdTnaqInnNXwtCEizzcS+eJAxJTU6cM8sPMEYYvm+iOLhedyBaJ2OXFtcbWxiYFgVtLTF8cYiirIVv8B2VMn5GGH2uVihq79/lyAgmjSXnsfdW11SXVaqu+db97+Ohwfozgz2cPkU6jCfmcyoO1BnNTSxnG8SMPuSuBjZ27lY1IInODosJTxg0fHCK0VLYVt//8e5shOYTqRybSOoqPN3TvOjrbjxVp0VTncUMfmjY6URZGaa/BTnfuqT+/KkULUn8UYQ8fmcHp1LQd3rbdTLY66GLvuW84faQZszTk28JZIunIVFlPm5MS6M8/o+M0tehc/BaNdHiEhcZVNjY7o9tqaOHRHm1XyaGDu0/rhyX5ecP5skqeQRw9aIzkwttsD2BftevZn2pC3zBa1CxrJ4/P7R7hSVN+JP/EkeJGKpOdPm1JYNOOwuONB+VBw4NRlGZpQTuWPCI+kWUjH2+wZQ4dmZIsRYG1zcqfkCgzckaMj0yKFrfXdHa/rrX9dLPVbInKvG3KYLRjHYku0yF9Q6XCHC/0XOgT7F4JwzxOzFRb1shy+w8Zg45JngVTYUXFFjam17e0n/pm86Goif5cBtulVFhpNUz+raOCmfTu2h9xWrDabVu/Kti2g+smWIzM1KxR0uAIkuN0k/P0qRKHpbN4tzU0W0hwe7StLZHj788eGcanOSo0BRVlJeh9jU1/nAsCB2ZKdFXmGRxNHZZE/EA6n6e2YN/GE56iaxOiGwyG2tpa+9mJV1GUrj6rvr4e40k8FR2EhKye3EtHYrMZJAL99MlT3gfKD/HsHG78xPiz9YxBcaLi6JbfTkWNDWfQybbOKiuNLSENHWLvKGqKnB+amDkqmOu9v2b8sKjSFnZoZEZGFNPYoSLw/ANiU9PHjIriepwWS7DtxJGaxua67k9Qtih7ZGpSbDOb3cgcMSaWbCn//uDvTVorLS6Y5+r+yEL8R5JETdaOMk7S/dnZkQEsl5JVUVpV03tCjn+ogoh0Iv38qo80bHECi9PrZlvQt3zXi67uLD1Z8MXxxvn3zh8ZkSCgUcgeKsFxetMWRsa0iPjYUB90aVxaL7rVbmg+9ckW+4iZoUmxEkd1c/mWLdjMmUkhsZSO6rLmLcepM5ekh3BoF6/LL96LDvqMVd2p6SzsJKALOt6VPZAcrW8/UlxKqCuk2U2dSkV7/6fzPmmlRy343uM/o99RW7+kpATVPx6NJtFud5rNTIFAFBfHDw3FC/UpU0dHV329QS5Hv/sPHy5KSWFI/nIfXj9XWVn53XffjRs3rqdhSqHQ2bwQJ1Xkx6bQXZ1yk7uUMf7Fh2+dOmnCWGRwVJK/5auO4Jvi2OL2hrLtRw4UFJ1pVyk7DNzomKhBiSFs7OjezrBIuqm9taPVEjEqM5RJwB+ccRrshtZTCll0ENnZYrWaRfGz0mUkAolp1SswlpGREMsy1+2pow3hi2QyZ2N70S8bClRGraqrU9GpNTo5ASmZU4UdNQJJRGTK0DC6Hesq2vrr8ZL6NpVRo1R0tBtJlMhBWUlRwVR2/vF6Pl+r0Hs8JBqfg7md+sb62PRhCVHBnHPfNzc2/tLWtttu14jFcXFxM+j0azlnCIXCYLMlXV0NOl3DiRNnjh+vV6st+MnQ/138dG5tqPOQaZyYQb2vkgQCgcKkqE4Vm0wqrcvT2eJgyTpKPzlUXtHW4tFq0GtpHBRpYnIUlyukVRLj5wz3znRBY9BNZmb5iY6EQdymkiqM7h8RFcBztJZ2yCI4TY2tJLkjcdKEMPbZyYesXRpNXQ2Wmm4p+chG9gtImpks9GYxae4GFUtvZWcm+ikPH7Yz3Rqdy6gncQI4aPv+fIHRlDeThYTwlOxgBhGjknWNJpbQyeIJuoqO5f9y7FRzXbNSbqcZBAm3hLQcLZNwZInD0iVnh0NQtbZYTSZGbAzPoSo7dTLvaFFJeU2HQm9u5Q6elBAQJuxpYpzrRWf58Y3y0/vycw+dbm1p6Wxx0vnilJtRvEvtiZysGruuvlgydWJSQCSfTMRsHqeh5JAjIZKk1Vceyj9edKpKqVGpLYFRkRx/h6fyC07qI5khQhQDkOwGi7mllTs+XexpV2lIJo8gys/TcMAcMHpIaKQ/l+xyUR1dpcSkSDqmaDiz58iRk0XVSlVHp4ETGROWlBSMN4aYRGedhd5eRYxhNdRLh6QRaRJPe3sQu+WYIylVqmovP3W4sEZj16qU7Uq9y+UXEx3mP4SjusA2pwRLvUEpztcda3+qCf+1i7b6DMriJo3Wxp2UHkDCSLrqwsKC3b/vbCjf6U5eTG/+rL6ypKrVY9IolEqVhSwNSsqIj+f5CfKPtvHpWoXd4bHTOByCqeFAFS0tRigVMY0as7xGIUnnte1pJXPscZndByFG5mHmOhu1wyVN828/YJb9+RMUC3qOK7cd0xXtPinGj0miB2Pb1EUWf76T4pCffO9YDcuq0Sg7VXoTQeAfnTYyRcam9sybYrUbW0q/3V6pV7VoOzVEMXnwkv8b6kdWnq7Yf6DwWHFZZ1uXupmVcFMASe12tFXFTr8phsMmE2gOvd5OP20NHiuoPFTqh78vgYRRxZjmoF3AwiTnDiQc3oteWUjtarHru/A65epCobjFYmlra/vTvGtdXV3osKmsKPfYLYTw9NlDEi6nF51HsTfWH9+fvzO/uLO9o7ORFJAii82MO/tFsap6S1nhLyfqaVatohOdZk4WPzIlOSM1WLev0s5Uq7Ueo87DlXJQSFKgp/KFgXESit3WWXKSm5AdGRbuRzRZ1TV7CvYdKSira2rp1BOcxIjxYyJ55upaLVVLCR4mdelLvt9a1NwoV5m6lB2dnSYSNyJtgtB6wm04w0l/KENKopPIRFOzxeWWczOT/Trqq/+5CnJbtUb5+VWfKO2WFH8WXkNdEuhFvyy+60X3ohCwJJrHqdXI5UbMptR26kxuN0WvUSvlcu/XLuiCyOIKmd5rSM8KV5GlezMUFo3GgBoXGk2HQs5Qa/QWzPsg2XXF5XI4rWYPvftx8z+3Ia5fbu+gOgYXhUn98wPWf89p1djcZIx87hl4p11ZdqK09nVNxo9z4v3xG7GuhAdtlc2gNtnIJAaLyTr70Pt53HaTzUMikehU354el4bgHyae8/iXN8qz6E6nc9u2bQsXLjSZTOcGwkCtdjqdLhaLR6Wnj2Cx3Lt3ow+K4D3c+8/xft1z6+VdJb99brj5zqEB6Rc5lNzNpXlNVcVxd+Q+l4g5K794s5GLqnIujRGbqf7RoLVVaRiYOWW48PKeQPsDgUDjiJPm33//lJjhYefuTMcq67F6/Nfu7sLoSTkz0mbMy5CedxIO/2pc7b7/zX+zdXrmrHnLbk0WMqLG3xJC4p33EAiFwkI/DofO5bLb7UYymU4kXrNT2e12om1AW0IgkKdOTbnvvtkxMXfjef3fxU9ni1+UJiClJ/EPRCrGH5GzfISi8O2tG5c/czDn5bxRFsrwUXP+k7BsQvK5GtlQerrSO1ATjiEVUtWDOvc0GAg1hNR4TnA8x2PsmXPDO/qbg+Q2Wh2YB33O59cZZArD5SA6rHZ3d1eQ02Z0uR0Y3Y8VPvL/1k1v2Hbnp1/v+IE2/+nPFiShKBxf6WLsmiplxWf7BCsXvxCaQq8oOlPzWRFGIVKpBLXHbbU5/9yqctsNXcffKsAWpd418vkQdfeTvec9iX2WWVPbWvjtSf7zHz8XymNWb6isrzuNZ+HQHrbZ7E63G+1oj8vhsOkxqhBrP7gTk9ZFPfrdsjDMWbTp/XYuRiSQHESa0eH0eL85IbjcTqfNhlbHX+dvuZsrdjTVlsXdtvG5OMxZu+HN5vNbQyIUOhraC0rLCJ3CERkJg+3q9saTVTWNIfEL2EI9MWBwypypCx6bHkA+e2estqar8tRft/n8p+5uDEJeuJtpUjTUmuJjmOSAUXOWjJowYVj51qWn6BiRSI0ZPT86afltSee3OCK/Wqfe98lTb365NzPu9geWXqh3iUCmEhyY22RDESQ6sjx2q83ttJIu1HLpDe1fVIs6HB6H0zvhAVp02q1uN9V7bMh40vn3rXlgUBBPdMGmGZWNDbp3afez6N3jEHi/RTr802GN/+AJn618hqbq2L7sgJBLcOvQ66IP19V95rtddqfD7H0nEjoXus6eCx7MbbNaCE4q6e/uhyMMnr7g2j2L7na7m5ubUWTV0NCAajM8FcNoNJpAICD5hbT7J2OUC0yce1H6psOn66oJsR/n3ityGw+9WmSV9h5mHV2PpLEjZt+88T+DaFxqr1bOkq8zG/I+/PSz136kznjm68V/09voMbZqa7a9rJzw+iOPTgzVVp+qzP3Ocv4mEtCHHz7+wYlJI+akC85VSO3Hdp9WkY12h8dbUXq8oYWj94SV/1AFeau+wvOrvtP/thkALs0/nOZXCMVCR95YuHhaZgYyctqEO97cojZ88+6yJdO9CRkZYzMy3vvmUMuVzHLwr23r3ozxc5YtW6fVrlu2bM74jOlLlr27Dc++jihbqwt/XrOv3eCto/sPg8VwevOa3ZXVnZc+BUTL3mU//vruhhIDvow1lpZbjE1h6+fEC5nnN3z+JbvNUH1kzZSlt9798oe7Sy4wBRS6mnWVbNxacOBUC54C+lJjY+OpU6d6N+gR1KDPzs5+//33X3nhhVHDhlHYbHQRQ41K1KLDS/Q11HR1u1DLw4tIoRDIfXJ0XdcMXVhTBTEnUxDkd9FIRKdWSTBVqkiCOYnYmdodBvkJlEqlUDmpmfWdJ0+VaLCO5GjBv714UOlsFjPw2Ft7iyoVF675SSRMLA0885Pq+N783jfheVFp3Khxz25cFh+dgRnUmMGsKto09ZtD519EIiJui4xcyGDIFIrTxcXf6XTX8lRG7462AW0J2h60VWjb8IwbwsVP5wUPPkmQxeCpf+GXumTa4ldevrXBZhExY/Y1eQ4c+aPm/ysmT0SMTT5TlXtCT+djsl73vHCjQplVfsZv99Zg3mE6zxccNa1Vy99+uEjbXbm3nPy2U1mInR14Inj86sWLZy/OautQo8Z6T9o/sFnV6o5jIWIWi0a1KBuaG0sKSFS7KC2B+pu9c2/RX441t8vWoTgiZNhFbKbDoOo4c/i4w3ah+YcNNrVdnR8lYpNpVIOiqaK+4o8nCHrY7Y6CguJmtRZdUo2dlehK5kiLwAjGEIItEf1FTjtWc3qPUXsK49BFBmHG1xVNJr0Rw0xt6vqa/GNodfx1/pZOrfbHNEki/+5zv36PQfGnLwlYHMxptuf/mm/n2jE/P0xh0dTtOBkVGUrmBopEHSfIx/78KVxwm9kifl/2NF0XOOGJIUyGe/XSTSe7zGiv9yYQJde2uM4dhH8g0jDRuAUvLBs7OQNTX3hSanZYCqPKZvw+vxpF2Wgfluw7qm04IBHxL14DE0mYSBpQXW2vaKhH7Zzzjw3OoC+3FbbK1f94QPRAm6zUlImxDrGAa3fYlWUFh3QaNYMttnvYxwuKO+ze63SnvLCldju6mmLC1D/OBbcNU+87so3aVIXWxV/uuqJSqY4ePdrV1dU7PkdQfPLSSy+98PrbhPB07IJPdF2M2thEM1cH+ovcRGJXffkJRVMjntONzQ0z2qQb8/a1W/7Sqg/OvmPxkmfvzG7o6HL+TZXksBnNqoYh/iIRnY6p5C0ttd9j2J++AuD7R9X8WlZ0sKp3heR9X1LY9yVnzN4Rq/9ayfxDFXSBqg+d4Hgm8AnfhujoomfVdXYq2+VIu1LRqTO73Ua9RqX0JqAkudxgtDrxlvLVZeneDEVHdy+6obsXXanq7kW/3rhcDptJZ+35qrL/cLs9drPO4jg3Y/sl8E+/f+yoORPODVRgYMvi49OmpYWzvAO34YlXwtRpbz15PPjxWY88tnjmkMgLzyvgspssNov3K2DQ51CbvrS09NyxzOfzx4wZ89prry1fvnzUqFEBQUFMHs+b673dwel2eAfD7ynZt5xWq8Nk8t5zy+FQuFwS9ao9F3ltqMo2lp3+7ExMTjybxb/4TS2shJhgOVX+/J05C2bl7DtC0DpjUSqBSKH5Jad1HGMJtIyh6fzLunIQyFRezBDVTx98uOa9105jgvScNxc15n/91OIc5L7b78wr0Fh6NWrJGCl27P2zpcTKH//PWwJZ/UvBgQMbN789c+asW+besexXC8UVFC5DlYzLZlSarOdfRMhklkw2Pjr6DjY7ohNFBdXbOjoq8LyrC70vene0DWhL0PagrULbhufdEC5+OgtEYoz059at227Un3jv9eWL71i88JGPfv6GMzmGJxs5b1ECQV333LyF83PQz4rv9h1v+dPcwgQqV8ALT23cjAkJRD+/XjfeEQXhaVkRUn7BkzlLb0err/7kp3LvEyzdyCETs0KMkTVP3Ds/5/b5OY8dCzPJJk8L6Gja/fL999yy+K47n91ZfZiblkRSFH+2pbxBfuE4qRemMCwoPqfzvYf++38zn//8t+OdwniMSCb6pY6/id1ZueURtAG3LZz/1W8n8Zci0VihQ++y7Pzui4dmPvLKWz+1SUNdpAtFK0JhCD9hWumHTy+6d8GKL3a0qHkReM5ZZKIrXtR2fO3y5+fn3PP6pvfdj96WGZGcmRUkP9Px6u0L/2/xwgMKgtYdjbYxJHnwjKmt7zzw8t05C19Y9/6JTv9EtJX46/wtVkKkTE5RPP/g/AWL5u8rwLTOP92Lygzgc7iD3UcD48IYHJ6fhMcIDsy3BQjJJAYpJGHK5JQR5z6FnJXrNx5vv/A2R4lofXE5v64QyZKUweNGPXtz80dP3nFP92G8ZNXPH5CeHxnOjR66cEIc8dxBuHDF5xuOF9Wd3Lxp/sx7Fs5d8uSvpxtcMQmhZAorNq0575NnP16/Mb/97OsKBqVncgJ5Pz4zP+cOtA+/6bSxk+8aFfJPNTAZI8aOnBuq1/224j855x0bUUMy71ws++bZ9+6dgzbygeUvfnJCZ7Jf5AsqdK6FJ04yNzaue3rhPfc9+F0FKdxK4xHEydERgbeTVrz24JzF83M+/P5kvWOYtzCp17mwYP7Ce3NV6UkJk5KDfBxt/DtqtRqF6FYrXtswmczExMTnnnvuhRdeQNcdaYAMI6O2weUerbKQQSSK37aXFt66eP7q3XVEPUuK53Rjho5LS8+Yh734aveuW/jk/17/+UB7w9b1S+c/sOi2e5/Oyz3EHTNIQKNEh4h3F+x5c+XKHwu12LmPiMyX8GMzojcuX/fALQvf++brOsc4zDudAxYQxq891rb2+fu/Km4JmL54hpNc/c5j3kMRr5EsoSMSwiOzTz341JKbF87/ayXzD1XQhao+H9+JPeD57ll0AkagM8UhEWPHZnmfdPw7KDMiRMS83PtILuhyn0UfmnPLrCn4dpw1ZuyYYZmZQSLaX1oW5+urZ9GtLYcP7c37ccv2wpNFNlEyj0kjdZVXFuR9+X3ekcMHtFSquuR08eZfdp4ub1BYSSJ/zFBUc+Sr7345gHIbHQIqWyhm9WqsGJpqi/d9+s0PvXLtdmP96U++2LZ3z57KjjY7OzyIj04qzZmNB/ds3ry1qLCwxWYtb3cJMbfZ0tWwv7jZVvLtjj2/V6pRm4iKNeR++UPe/lqrncoOELPJLjvWeeLnLb/+tm376doWDSsqiEchaysq25sKT5fLv//218MHDnZRMSbG6SwrWP91Xv7pWqXBSuVQqdquove/+/UAUtlpt7MDg3jeU/vcn59fdKKNFsF3WKkMLoEj5FFQk1tR+cMvhw/sO1R5suRkkd27czzG2oam0ydbdcd//CHvwP6aTjuNJfXn9dr9Vk114/ELvJGXTakoO7j9s29ya+0uk1giJjG41gY5Tczzjv5u7yzvkFdUGOm6ox9v37X/eE2l0mSmCGJdlSeMTAaBgQ5Ri93afvr3VgKbbu+q7aw+1tDR+uMP36uIEgaX4m4pKlj/uffPP3ygxYCRRWHivugmuPFGdN+7d+8vv/yi0WhoNFp6evqMGTPmzp07ceLEuLg4FouFroTeEaL37bNrtUQymRcczA0JIdP6pHr4A4r81TU1nRUVdpOJLhIFT5kiTEpCsTqefaNAOxJ/OMrTcbr8TKWamZCZHcntaG9x2uxENpfH4Yljgzno6PeWRruezKTygzPDA4J4HgaD7CAFyWRpGeND4wfHBYr8+WQHWVf1TTlXEBM5dUTAn+6UJxBpZIZ/oB+dQaWy/UXiEO/gvd7XJTD5PJ6/lEVmcF0mF80/KDA6Nj1MFibDHBiTwxXLZKHBwTGpQ2UCKpknCRWhN6KgTaFzpH5UGoNCprBlXnEpGYF8jOq2W0hoKTgxa0xafGgQi0TAKGQqPygzWHz+RYRCYdPpYgqFYzQ2Go2tTqeZQmGyWH549lWB4vOmpoMoPqfT/aOiFspk4xiMG228g4ufzgdrFBe4Snpcbou600yhs8WyyISoweNGhwhFflIGRmeQyESpTCqVhcWnRwT6iTk8NkccFcjpmVKZQCKT6EK3MyBuWEigf/fHTaSR6P4yMZPH59MYAqLNxQyQ+UvjULQTEsLjMJicwCAugy+ku/h0soPofeXg9KmZySkpYqLDqu+0MoQiaVBCRmJKQgpXffynGmZcqEjKP+/YZviLBaJzFxEKz58vlPjxZR6jg+HnL4tLi43PGBQsiwnkcwR+JO+87RSmNFAqjUtMD5aIRH48np8/m8YJcFsINBZXGBEblZKVFhySFMxnM87V5+iA54j90LHPYkmJRgfLTxQRm5wUn54RHBAiY2H4hMpWjV1dXeCIjmbTpX5CQWRK9JCbpsSI+HwexUH07rrAYGnSiNEhEanRgX4yP55A5jF5N1IoE7MZTIeTkzIuyY9OpVB4PC5PzKOSKAxRVBCf3XPikEkkrixYKuB56N59FSSVpqWPDo1JiwsQ9rrCEilkElXA4YSkjA0RMTgMMpHrz/CPGBEl5pAZTD6fKTz3KcjCYpLCQsP8uQyunyyAQmJz+ee2mdMzpt9Zvn489Y+a0IfPonvrTxaXExxA1ZkwsUiCDjZZZErU4JvGR/C5XDGfSTh3EErDEmMjpAEMol1jcUtlfoGJqYPT0hKD+VQSg+M2uZhiWYx31/GYdHGQmMXh88lMPsXmZAeg14zPGpmePCxcgELwC3yCMi4DP668tShbTHfRqCQSOiR7HRuBEr4oiGW0kvz8eVJZYGhUWHRihLD3WD8UEoUvi/Jjs3s+J+9LMQVuF51GIosDg2PSM4egVwryl0i4VBnLbiUEisUyCcdCZ5E9QdnDg9ApJz57LgRJA1OGTx2WECPxtjvPdz2M6F5VVbV+/XqFQkEkEqOjoydPnjx//vybbropOTlZKBTWqgyXMy860vMpiHl+VIr3I+MESKNThqZGJgwK9vM/1yYkUjksJuvcrpOGxISHhcRIaIZOC1noLwxKiktKH5Uh4xLpdIreQxUxRVHRceiEI3MDY0UcDptOITP4TIPF+wlGJ8XFpE4IDw6KEjOYTIrVzaCxqOEJqXGR4RIy3fuR8aV4jRQUIPXj05hSot3BDBT7BYkoHnTSshOz4vkECvGfqyCSd4Lnv1Z9eP18ieBZ9Mviw3nRr75Lmxe9yyA//HnG3cbHPs+aN2P0v50B5+IzZF4StxMztpSd2rPr4ImiijYqnZk2/qns0f4k+dHjv+/eWt6JKtqshXcGyGtrf/31l1aCJGbC7IfuSOIUth7buPEw+tTs4sTbJ04ePy6j53khxNhVcPTQjl2fnKlmY1jsTY9NGZ2RxtMqSo4c/+qX40Zzpzg2dPCEGVNGD6YpduX+b39hTbM6mEUOSgs5jmW+NjSKy2gvXPeDMiuw6FSzBuMNjY9OCmCc+eX3yk6qf9aUm2dljw7xtFUXHf5++6G6lg6Wf3j0qDmzs4cFdmz5+UT73pOGofL8fMyukI2bPmXoeE5n0VvvfVVtpQVljps/d8xwKrHwtfV7MIPFwQ0ZM3jM7LlTItjGlqP7Nu8+evpMs47J4ife9nK27ajTL9gRPWoYR6uu/n7fZ/mFDZp2qpVMcAdnrJw9W0Yo3nfm+JGOJFHx75V2NUM46qYRN9+0IPqPB+ZM7QVV+85/o2kxKNtbhVia6o/kbnrr419sEgl/6sycoPihworGtAUTxGw60VTxfVVj1VH+7UnFy3/YUl1nY0SMmTJtzqN++z8nTZsmi4wO7DVfKNu0o7po1zFGZuuRw8NveTQjwoWVbP/9m/IzbMzhVItCbxoyfvGsm2T4+16BG2xe9K6urlWrVn300Ufo4peYmIguh9nZ2bGx3l7aHh6nU3n8eOHzz3ccP04gEkNGjoycNIkfFoZn9xGrVlu3e3f97t0oROfHxQ155ZXACRNuvBAdVeP4RJ1k+e6jJUXVusTwQFRLWCiD46NDkyPPDmv1zywmpbz5aEljU833/IzRQ5LvThLjOdc3p9NUX/99U1Ou3d4pFsfGxEzj8YKvwnPpbrdTp2uprt6mUlVRqX6hoTkREbfdYP3nyD+ezn1wlbw63CqjunjDeteI2enR8X6XfmJcVdoabdVvK9pn3jksMC3gH761dJiUXa0F5S2Y3ek9fbt0nlZn2Pz5g/1Z1L9Elteer6dK/qMmvLIpi/vN8Xx1OPV6ZWttaZ0anUAYZusqsJMI7IxXxgZj9EurYq/5vOhGozE3N/fee+/l8Xio4ho7diwKsYYNG4ZnY9hlzot+3bOqO9ubT1a1di+YTG1qjOIfknNrCvePaSN8DeZFvyxX62O5/vQMF/cXHQqlyeryXOSmn77icZodVRu2KgKFY554e837Lz2zTHx4j7zm9/21NgXj5tc+/fnrDVvuu2n2rCXzZ6989fYJT6z59Nlbx0Slpd8y+e5v31/z0eo1b03ETJ7GmtY/tlVRc0ShrklYtu6Hz7/b8tLCccODXOrqumPfVHOfePX+Neve/k/mBHHj14dbtWXfbZaPEE5b9+nGTz96f2GCq4Fu884Og3UYCMcV9JmfPrV23a0So/Lnnw8HLHvrox/X3KSJwIpKGzr0rYfeL+CPmf3422vWPTF/SlL9Jyc7TBo7piy2demSR23c8vHGDSsinYEqTVfMpFmfvn7rhCdfWfn00kWjhkQNTrt14xuvr1+zZvWC+DBu2Ykau9lSteHzCgFtzHOfbsz98tOvn5wYHtEzXb7HZtfXH/70HX3WvHnrcr/7+uu1zy9xf7e7vqat01NpICo7Apa989GP3707JzKKsLe0p7rBsaR/fqNat/cJLi9GaMSQKfe//J+Rj3zy2ocP/d8tiX/5FopCZYUNuWft7VMfe/KR/y1b8cKU8L+72CjanOp95HGrPthw37QYWtWO8prGgFW5H3yb+91nb00WCNp+3v/H+4Kzzpw5097eHhoaumDBgg8//BBdGns36BECmUwXi4XJyUQq1WmxGNrb9a2tff6Eh0mpNLa3241Ggrd/QcqUyW68+Pw83KREfjuv5rWlSx9dunR7lc5K8b+sMKSro2TX5gefeXSVY1hg2JR+Ep8jKCqOibkbRcgUiqC9/XRFxWazWYXiZzzbN9Dro3dB74XeEb0vene0DTdefI784+ncbzicRKuVOTSBK+Jep/E5QiQTKGwenUQ5rwf6wiydJRV5S198Zunjjy19fPnmrQXsqfeMuD7jc9BfWeUtBT9/8tjSZ9Ax9tjST49TuyIe//sm0/Woubm5qqpKIBBMnz799ddff+qpp3rH5zcgXW35/i+8dYL35/GtjVZm1q1D+FcvPgeXa+B+Mj3Dxf3FrROnbjqkMl9k1Jq+4nSYqku+zl+/+LX/jMkelzl95m0v/VZQqAoQYVXW1g+X/HxGY75QU9JUV73j3eXjhk0bN2nZ+p+3V6i6/hjzLEya1mwO+er5NfuaesaW844Ts2fXb28/PXPMrHEZ2bctuf+dX4601JWd/HxYkigzMZLtHQVKkjQ0iyfsHj4nOJA6f87IIIaIKmKHjk8cN3PGSAGdRgyOmuYny7DrVR0nfzv+7QP33zE+e1zGrDsWL99wpKbVZrNjIWNih902LMb7sJsgIjFCGvqXRry901D94+o54+eOG/9/L7/z7ck2ucJUeerrs5txPrvWrqnPdz8WHhwXhV6J6kcPypoxv4XBM5rMGTIxvlVYcFS6X2A2vs5Zf3mjSx8H6HKERfmPfGhcPJtGxvQ1TebYTvbt46O7L07cwYkjeUMuZ/yhgUOj0YwZM+bdd9994oknAgICSD2TvJyPJhD4Dx1KZbMJRKJ3arSGBhSr922Urqqq0jY1uZ1OIoUiHjQIvSOeceOSDFqy6JXCwsIjhYXvPjIj4S+n3MVJgrMWPVS4f3/hQ4uygvvdvdpXefS4G3t8uN4u5XTuH6h+DNmE2VkBQefm1r8OsYM5SQuWjQ2KuYSNZAdljbi38OethXv2oZ+P3v1vdgwGT42CPsWKjJnyyMp9hdu8x1jh5y8/siCln33TbTQag4KCPvjgg1deeSU1NZV6ow9Jg4nTR8x9ubtO8P6semLJ2GA8B1yfBnQv+tlR63rrUCiNVtdVia08HofdmJFz30Mvf/z2mo9Xv/PRB589PSdr8Khxt8+fd9ejnH3PPbzgo98KKjV48W6tlVtrqw9IJqxZ998165+9K3FodO9tJfunzp02/9Fnh8i3LVv8/nf7jjeb3BwZdcQDT/73vTfXrHv73c/XvvTi2xPDWEQrjUKkUShEjEAgkCg0OrGndUUmE9gsOplAIhAJZDqFzmTQvbOjkCkMEomKedwkMi1u7ouPvvzB22vWrVn72VtrPr4lRSBhYmQahcbyPptF8A6PTSb9+dEUlaKket//DEmPrXxyzfoXH54+I8Ppcnn//LObcT6P2+Ny2jxcMpni7TEgkIhkGoPtIhDdbrf3waqerUKbRSWSzu/0uNAbof3Tx72wCJlCpHMZFO8seG6H001xEdl0Ctqb6JSiUmhEGt1H79u/DRkyZNKkSYMGDeLxeKhBf8E51ShcrjApiR0RQWYybVptV21tZ0WFu4+Gdne7XPrm5q76emtXF3p9blSUJDOTfnZ45xtMdHT0ww8/3DOqCInKYQtkMlmATCbkMinex70vA4lMZ3NlAQEyLvtaTJB5ha7m6HE3/PhwvV3K6dw/oCseic6ke/8IPOU6RCQTqazuXvR/3kgimU7jyPwl3U8+S0VCgfcB5X778Vyp3jUh6DMECoXBFUhlku7xI8R87tm5cvsNdGBMmTJl1KhRfn5+KD7vxzXYJSJRaSxBd53g/RHyOP3oloeBaeCG6CmT5t/12Iq/eOCpZcNjOLSrcLcbgUjm8qINtAhh9NAxU2ZMnjJt8pRhsYF+AUEJsanjJyZGp0sdcp2pRdtrUgOLskWtl1OCBk2Zlj1lcCyFyzl/cg+6MCY8bkL24PiEaEaHWqfQOWlkosTSIYodN3wseosZk7NGjosQ+Yliq7tsTVrvXBwup66tvtps/NMsIReA4nM6K8DY5hcYPyrTu8EzJoyfGONHZ/7jzXO2ri5tZ7GOEz164tgpI9KkUmEXRiLRpMEj69tMtW3KPw3di5GZZLZfJHGnStOuNHgfebJrak4fF9jN9H8YOOxCb3QRNqO5o77F6HS6MJWyqr6x4K/da2jnH+nUqHQGzGXUaGtOHHfaz/vOBGFIRLR2rvXoGSXmcKHPqEleY26oFnJZ6CPGi4AeUnRZkMku3lQi0WisoCDZ2LHoXw+GGRUKeVGRqaPjyidgQ/G5Tadrzc/XNTc7LJae7npBUpJ3jrcbEZ/PT01NpVDg5laMwZAEBIyJilrIZMpUqqqmpoO+iNJ7xodDr4/eBb0Xescbb3y43i7ldL7hWTXVzflvF7QYak+Vt7U0/eOA8H/L0KRoKt5RY7I6e3+zi343tRwvrq+8glce8KAmBBckEAiCg4PRv8S/m7T9ijidVkXNzrdOVFS3XMF9uYaWprYz5Yru6el9zG5UtFXuzG+12v/cJgfXiO9iCItJWVe1Y1dRo15rdaOD1aprbSzasaOosVXnnTXTbdXqG4t27aiqU5quyURnKRPn37nspb948MnHh8VyqFdh0k4imSmOmUPSVp85/uO2HXk7d+/YebJRrmprqzyRv//okWpbZFCmWMinUGgUsotJPnn8wInaJotNbLLyiot2bNu9o6i8Sq89L7I2dtUWl+45cOCUkhCWLhIL2WyBgM9J5tSc3rljz9a8nTvyDucXtJoZgqgZLnVtxZGfd+7Ytef3E+XNnaZLmHOdxBRxAtIDFCdOHd6ehzZ4x759+xo6bM6/WZNCJDD5rPKqkqLSCpWO5iLF1ZQf2bFvx7Gi04qOLsw72GfSIpK+tufP3/37rpPNep33UEEhOpvKDx8R3a4sPbAvL2/n9m2/7z5W70jnMIX8i9+I5KaS2H9+o79F5pLcdqx58++/523fcaygqKG9w9SdQePwLRpF6an8gmaTmyXRtZ08eiwvby/ar9XNrU6XrbvQHxhBYTKyjFRyaHPeru15O3/bUVTjMlITg9jY9dwlc90iEIkULjdk6lRhcjKVx7MZjZ3l5e2nTpk7O93nz1x6WTxut02v76yoaCssNHV2EikUdliYbPx4plRKvOFvbwPdUXpoaE5Y2Gwq1Q/F0g0N+7q6GvrquXT0OujV0GuiV0avj94FvdeNHZ8DL6deo6zMLzgk19ray8rlzU1//gL30qEQvblkR/VfQ3Snsa2muqb+TPs/f40OALhueNwui66lpLNLa7qC/gV9c5O8O0T/435ZX7EbUIi+43ir1QYh+nXCdyG6Sl6weeOCO1Zta6hVo8PTqq7dt/WNBQve2LqvVo0+foe6tmHbqjsWbNxcIFfhq1xV13y4OCKVzR3y0N0pcnLR/158bOnjTy17/NP9J6oK8rd8/B5afPKZx9c6uHR+XHAQj00IlXz3/qvrt5/h8Pz1Qv37Lz/2xJOPldQHEJmDGL3uLVLU7/xmA1oXefkEgcELDY+Tpoyf9MKd9l9fW/e8d4iIN9778HAHi5Z+5630YkPu848/tvylV7Y10ROdDAGRRKFQ6DwWpftuHyKFQaezzk4LQ2JQKTQ6V8ZLmv76Q7a2fe+s9I42seLFFXsrdDYLiUGn0c/d40SgMqhUGpXIppADE2N+27bp0+93dZq5glGSL9e9+vAzj+3er7Systl0KgMLn3FHbG3Pn//M8qc+OdLSZiF3r0uhMoOGzH2MWrJry6toz7zx+pet8c9NTU4JkvTeKgwVptJ736nDCJUG/OWN0HadC5V7j7hzfuF8g5/0liFMCpGI8UITbc1nfvzmvQ+PdXIChz+KFXg347+ff3+AkTWTxwuhkMjob2Sce2V2cNrkqMiElrVLVzy59PEXt1Zx/YfdPyocbV/Pm4LLREJRTkaGJDOTExaGeTymjo7aHTs6ysqsWi2KtPFCl8Pj8TjM5q7a2vrdu/VtbSjUZwUGSoYPDxg9mtTXM7qB65aPRo8bOOPDgT/xGBs69a4T7FfGRfCk5z5wjwdzmLrUHQqFvEOl1lndbo93NniD1puiUCoUBqvN6a3HPC6H06zpULajdI3OaD3bjj9XWNnRabCxY8YFumi2kmMNKL93+A4AuI5RKMyw1PkfZQ8bFM2zO+wmrdlkVCpUCpXWYLE6rDaDvEMpV2iNRrvLOxWl06Iz2S1GlU4jVyiUHR1as8PtOv+E71UzKA02lwtde1A4rdebe6oR9FI2m8Oi71K0KxUag8XR/XWfx+N2WHUKdQd6WbWmy+LwplhNFotRrzGou2ukLhMq67AaTHqV1qzXKBV6k9XudHS/lFyJai1Fl85od+IbaTHpOrVaTddFJ9MHfcJ3k6611ORt+m7x25Wv7XxiZtyQQEdb0S+/vvHIC9ir7z496+bBgZS2E5Vb3pr8fNzjXy2cNyO6T8YsuKxJ174yulsYdOqfH6yMEkruWL193lAJ6+JzIPbV9BtOq8Zktlrs3t5DjMrhMYmY3WI2oYs1Cv5YHAGTTiMTnFaHpUtnpjG4HCrR6rQYDFZvLoPupjBoZMq5KN1pNxotRrPFuy6NxeMw6BQyhk4qq6HLYHN7gxsyhc7kChlkt8PcZbbYrE6nXa88ue5D+/QHEgenxrBcZjuJwyQTCR70nk6Xm8RioDiT4LTYPSQ3gUonefsidagacLrQixGJLJ6YSXFb7S6ii0DpidLddosLI3nIVArB5TSrDGYSkc6i0wkEq0ZnxtweFMATaQwSicamETHX2T+fQCBSOSIW0UkgetelElGjxmZCNZnd4cRIRCKNLeDSyJjH1mur0N9rR38VsXeUjv5Yh+UCb4QH6W6n22kzuOkoFKeQCL0L0+newh4iG720x2E0mc02F5nJFTCINrPOuxluMoXKYpPtGI1JJXjsblQ9nntlj8NhtRhRHeZtQlHpLBaT1furk3/vBpt07TJ4PNrKytoNG2o3btTX1RGIRG5QUGhWVnBmJtPvsme3thsM7SdPNh082FlZ6Y3PAwJCZ82Kvv12/6FDCf13jCvwrzidpqam3Nra74zGeqk0LSFhtkAQjuf9K11dDSg+VyhOs9kRUVELUYgO8XmPG36SKnPV4SZ5+5nwWVODyK25P2olUv7I0dEOE1az6cGVX+8vqhUnjB5z//vLRgoIZR+s/+bnL3fVYCwhNm/1+7cMHRvGs3cUN/z+1pJ3jqj1tmFDMqKz5igCJ6+YICaeLcwSSG5buX1OmsBTdqytQ8OffXMMavjjb37j6C/zMMGka33rmk+69o+ucNI1h8lU/fMmx+jxUkaHurH4i3pq+Dtv7tBHRd15z4zJDOKeO1/YhHWNf/7+W2fen0LUtRes3icdYl1ZmF+4Od+fK57w0LrnJ0TxHScOoiiZMntuIoZZTrx3Xs0wiG4/VlRddFQfXvXeO0f0Y568f1rsmK4j7y//ogAbOX/lEzMnpkazbVZd7ZE1C9ft6zzTMTJ93KJn3p8Yo9735WGrtXybrXLbl+U8bMRTKx8YEdq6aefn768/7CBymDc//dXc0cH0kh/fX76uAMNs2JzZDy68655QYfux1fuwiLp1p00hpsS7X79nBP8ye3ph0rXLQlqxYgX+a7fq6urffvttyZIlV/yAmV5TXVb66zHV+EWZcWIZ121or6w8smMfNn7qqLh4GZdkkKuqjn67V5x5c0pSrOji8fAlOnTokEAgSEpKwpcvzGo3NJ/6ZMtxlbrZZPgLhpuYMv2etGAO7eL3uh+obj9Q086mURYNjUf/4qmXj0hm0BkcNhv9sNkMKoVModAYTO8i+qFRURTsDd7JZBqHxWbQKCT0G5WO59LpKATvPXYMkUSl0/F1vYW9Y6oRiASUymKzutOZTAbFYyE073znw48/+2bjrp2/HTqez8i8Z1B6YoSYxaCQ6dSeUX+874mibO9gbd4XppBIJLJ3UwgEMh1tX/dbsFgsKhmlECnesme3g0DyFkZLKINEZTNYTDqNQvZuOPoTvBvGYNCpFLSi95V7//kMtB76c/Ahe1A2mYpW7s5isejo7ySiV+y9VejvRWt4N+sPZ/fVn98I17M3yMTuXXNe4e6d6X1p9NejMjQ6y7uv0M4g4puBwm46hUJFG0IiEtHf2PuVUZyHPjbv66Af79/bV7e4H61vP9rQzqFT7smKR//iqQMBOtDYbDKTiWJ1U1ubw2BwmM02vR4F2yR0inC53gEOL2FwF7fLZWhtbTxwoPXYMe8o7nY7jc8Pmjw5fNYsv4wMMuMqPNFyzdTU1Hz33XeJiYk3/kC1l4NIpDIY/lQq32hs1uka7HYDlYpqmMv+3qdHR0dFXd1upbKMxQrpHh9uHI12408QcIn66ip5vTK2na5va7IKMlMCKQRdZbmVzaYHsOmdp77KpyWkjphx000j4kPEyiNGWQpfEBASNWjYqEkTRmfFaY+zpGF0qllTVLzlU1vKA3fMzJmZLlW7LdVK3uixgrI9B3Vu0aDp8+ZOnzg1IykmgEuj6IsNpuYqyrAoDvaX4VX7vV+K6+pUuhgJb15GFJ7Up/qqJrzRj+erzWhzfFtYif4dExMwJuYKOwV9orpDt6mwDv0yOzUq0u+ywxS33aY4ke+IiGSTtC2F1V9s8kx4YPbocTJS0/GqwkpC5iOTxo8OVct5NBpVKmZ3nd655gNnxMS4sXfMyEodEmL8toIYFijgmjotJiMpOsK/acd2uYgSMmrOtIljMgeTT7bQQuj69n1NdadqQ++aO3FSGml3XX1zmSNt5i2Tx8VbDrn9CAxetLu98fBmZdQtg7JmTh0dFRxEONWEpQrk+d+eNpFC426+Y/Ko4XHmz9zidK4sNVQQzDJIxjzyQPaIodH+Qr44KDx95MgpN01KJRFFbKWLHuWs3bmmkDt4fFr29LEpUcEC5tnW+KXy9cl+rcjl8hMnTkyaNAkFHnhSX7jhKvt/RqdxYoYve+qBnuHhkBeeXbFkSkyId54wdgAvblpyCIN6/U6OeuUIJIzpHxadmJo6ODU1IzV9RNqIjDAJnw23ZYPrCYqfBYmJITfdFJqT473jnUjUt7a2nThRt2dPw969nWfOmFUql+3PIwP0cDscVp2uq66u+dCh+j17WvPzuxoaUCJTJgvKzg6bNUs8ZAiVy8VL36C0Wm1xcbHd3mu8SdCtr0aPG2jjw4HzOcweioPA9qdh3V/5erlMneozu3J/23Lk2JHi0yeL8g8e3ZtXIbdYWXymUe88fbLkVGH14e1VDR3yljqVtrUlcvzE7JumTZmROWRwqETkbe5SKG59lRLVYKEjzg3IyuRQGByaVo+54U73ywc1IbjmyAy2MDIxIXvqmJuGRAZK6a7AsPQZEybePD1WKKM7uhwYRiJjflGBseOGjpwxeXr2uHExfgfqTQpDzwhJbodZUf7Ngd2/HjhwqPj0qVNFxft2Ha5o0mjtHAY7MiJ55ISJ0yeHM0N5HHrosKFTp02cPTiMQqTplfqW0lPfbN62uyC/8GRx6cGCkkP7i5q7HC6XQOoXM3TQyBlTJk6eleZPITI9/JjQ+FGpwYlDJ0yJC5cI2Fwqg8ylnaw8c7L4zMEjlaWnmrUYiYT5hQQnjRk+aMiQcO/0j33UGwUuzLchusth6yg9cGjP1ry87bsPnSqTOxzyslOHdm/Py9u659CB0g6bdwjsq4xB5cQOe/zJB7tHh1v+xNKlt6QPTw7ms6NCYjIn3TZp7n8GR7IoN3LnGomKSYbNWfjgU8+8hH4effjxMVEcwY38nQTor2gCgXjw4Kh584KnTuVFRxOpVGNHR1tBQc22bd7A+/jxjrIydU2NrqlJ39KCAnj0o2tu1tTVdVZUtJ840XjgQM327U2HD+vb2lCEzw4NRfF51O23B4wZw5RK8fcAA9IVjh4H48MBLyadzGNxezWknBajqa1Sp22uri4rLi6qalZoUbOZ5DI1ltQWHTtdWFRaerpFo1IbHIbOTitZT5yUJKVT0OWXww8XSVIwAhljRyVF0zkUefGpY7/v3V3daTU7MCqdTWfB3RkA9FdsKS96UlIQOtkZLLYsPSQqM15CoJBY/oF+PFH3nDJUJjZsflx0SDAHw+hMqjhoWL2JbnT0jNzmctkULUcs7cWKOlSxFJdXNZqlYiqVTnGF8zmD0qK9d7Sy2MExkYkpMaFMEokgCUmgM0MxvUXT2XzE1lFTUllWVHymVan1BEsZHiLBnRDnFx0czMBIZKo0eCSd6e2k7M1llHc0Fhw7ffT06RPFdfImpdZkNGJUKjZsSHCQ0A/G8LkqfBuiO4zaE+seWXbnnJycuXc9tmbdEaPxyLo1j901Nydnzp3LHll3Qmu8goEOr5DbbtFrmk/t2Ll+3t2v/9qgHnLrktVvrHnloeE8dp88RtwfeIersWp1VqfjT6NS+IQH845RYbPa//F7GY/H7bLqTHaH95F374AYRoXO4ri8jXTbrTabyTt7AOjHqFyu39ChifffH3bzzcLkZBqP53G7UaDefPjwmc2bS777ruTbbyu3bKnetq12+3YUulfl5ZVt2oTSy374AYXx2oYGp9VKotO54eFBkybF33df8JQpdPGfr0ZgAPrXo8fB+HAA53Z7XG50kTp3ZSIQCFS2OP6W119894evN+Z+tzH30/WfzxuEqbcf1vAHT/hsyzdffbP2wdGJIVwC0XuLqM1md3UPCORy2Z0Oc3enFD8+55VHb54y1bL9macf3FCklhvRBRGBaxkANy43hpnsTmd3feJyumxmI4uCkb3VRDcCiUQbcuszT73z8zfeiuWn7za+tGBMFIqxL4pIIMl40vn3rdnw0bdbUHX03YfvfHjPiFA29R+f0zA37auvP1Mcv+Htj7d889GKpVMywvAccPUMwBvdz9IW7V7z9KNzlj37qyjhwe++2vb880vSB9oh6FBXtP7+ylu/N1WrfX8PmNuGqfdt2FG4v1iJp/wtu83QemTNhpPVLZ0YZmw9dHLDlDd2V1/eRuqL9h87smFvI74I+i0imcyNikpYunTQc89FL1rEj41FKSjdYTIZ29s1tbVthYUtR440HTqE4va248dR8KRvbbXpdG6nE5XkhIdH3HJL2vLlyY89Jk5LI8LsuKCXiIjbIiMXMhgyheJ0cfF3Ol0LnvH3UBlUEpVHa6F10SvgGWCg0RpsSnVHd+u6B4XGZjIDT7y393SNAl28uqFMpaZMjHWIBVy7w64sKzik06gZbLHdwz5eUNxhdzgwrFNe2FK7HV8DEaePmHbPhldv19vsJpt3nGdjVxueBQC48Vjs2PenW1q0qN5wqFvbT+VtnBWNBfN7RklB8bm/dOShE81Hy+suZ/ZFDk1k4Az6clthq/wyG/lGfaPNWBnuLyATicbGkiplQzmeA64e34XoYtnQ2Ytzc7/PvQiUuXj2UNlV7tJyWjS1W+58+sknXvm6WCG76e5V3744d9iIBD8+hzrAHsdWqdS6EydjxsUKpFzfxy2eS+9F936LaNUZe3rRGX4pMdlvzh8SHHxZG8mKieN0hbsP7WjAoCu9f/OOSEhh+Pv7jxgRe/fdg154AQXbQZMm8RMSmDIZlcNxOxxOq7Xnx2W3E+l0uljMi44OGDs27v/+DwXniQ88EDRxIis42DsF+iUMMgcGDjKZJZONj46+g82O6OysrK7edvHn0lEuKoNKovLd48ONh/7zgYrtL6VJgtydWsx1NkYnsIP4yTkvzWss2vjUA/NzFs6/b+n92052ScMmmRsb1z298J77HvyughRupfEI4uToiMDbSStee3DO4vk5H35/st4xDPPYsa5juSsffer2W+5+6J3Xv+Kmx3D9+BSjgee0imPCMe9YqQCAGw8Nw8bZ6796+cP5OYufWfvfkpQHZ6YmB3F7gjQilSMY/sTcsNOabUvvQRXL4vkLV2093KC+8GA8f2AKo4Zk3rlY9s2z7907Z+H8nAeWv/jJCd3fTJdG5/AJAaGn3n1k0de/FSjZGXyy/5kXZt23KOeNnXVtOg70ol99vhvRnUJlC/1iY6NjLwJl+gkv4Y6LS3RpI7pbbPrqoytf+XJn5ck2u4fJ5PCIXRXHC48ePOBVVljkESf7s2iki2/VjTC2p6GuU9lRahs0dpjU3XRc2VJ2urJsS942myiZxzSoju85vGHTr/n5R+Q0vpDD9yg6FWf2NihUP3y7a39Vs51Gomq7it7/7tcDB1RUjMkL4bntxvrTn3yxbe+ePYfLa9vsrLAQHgXrqjys6Hnl3C02FuOMkhsgEsX5O42NBZ9+e8LI5LP5NI+qrHzHxz9uP3DgYJcBI1OorQ07Pv5pd35Ze53Bw2CyAgR2s1UQzPW01be0nC4u1hV96y1cb7dT2QFiNslpsdRt/yXvt607dp85U2axu0/rWTw215+ldzhMpY2ixFAmtX8OgztwR3T/CwKRSGYwaCIRKyiIEx7Oi4nhx8XxY2O50dHciAj0C1oUJCQIU1L8hg6VZmbKxo8Pys6WjR7tN2QIJyyMyuN5B4EfSHw0xOiNh0Jh0+liCoVjNDYaja1Op5lCYV5wjPee8eFQfE6n+0dFLZTJxsHz5xdxo4+ATSJjKovHWmMIikWHD4nA8PPnCPw4TH6IFHMSmGy2WCoNlQXFJg2KCJAQCHQaiSwODI5JzxwSEpEa5C+RcKkylt1KCBSLZVEJQ2OSs8Jkkii+w6Axu2lcriw6OHrYuNGhEkJbdb2mxSxOTwvjEG7AWx99PchzX9WEMKJ737rhR3T3NltIZLYskMtg0qg8Nl8aJaKSvWNLMnlikX8Qv+cYovD8OUwizda8X8VLEDD9JGJmWFxEytiZg4L9mBRUnMrjc/2lPJbUn26hU7kkukwqC5KGJaVESsRsFkcsEgX5s9GbYQQyL1Qg8Bd7D3P0Lhyxn0DkL2SLglhGK8nPnyeVBYZGhUUnRQhpZLp/kEQg5tG8JYlkjB0o5rCFLAKNQzTaWRFxg8NDQoUsAdHmYgbIwlMy46OS00IkQf4CMsM/KpDHZvzL4x9GdL8svpsXvQd6cbu69lRDa2e7AU9CxCGxoZExsu4hEvrQZc2Lvk6uqsRTeosTy5Z+Xnj3KBnn4mOz3AAzZFprd9e1tRZJ7poTicnznipQGk+Zpdqquuylr6dSm9QHdh47XHSaTMfCRk+ePnW0sFlZU/TGEfrEloNVZg49LjkunsIz7Niab5eLxk2fMm3B2AiGsWL/c2t/79LLnTxh+NAhC+64JZEjz3sGf+Uz5dlzJ51uDhseEzA+1FR88NDne+0T7rxlWBSR0LAnf/9ve6sxqyk5LntkWqqduv+9Dzcrbf6SobPuyR4yJKJt26nku4dQT+bvrzpW2JgiKkOF1YzArCk3z8oeHWxrLPr8o43VbW0mezCPnBATUBT0yH1ZoWkBXY1VjfvzDJPvzRL3zwB34M6LfgmcJpOtq8uu0zlMJrfN5nG7vf3tVCqZyaRyuSiYp7DZ3TMIDlA+mqjzRuV0murrv29qyrXbO8Xi2JiYaTxeMBG1Xbq53U6drqW6eptKVUWl+oWG5kRE3Ab95xd3488jbWlqaTxzuMyYljUtVMRk9v01xtuC6ir5bX8jVcdLv3NMEJ58Y/H1VMl9VRPCvOh964afF/0yWNu0bYdXbA+8c2piWuSNPDAkzIt+WXz6hazb47KYlLVHvnj6pXtzenvyjfV5JZ0KrdXhPv8bgquBSCTR2RKpv+yC/KUSNp3knY38hqdW6jRylb/IO40ChtWX2Aj6uAXesW3SXMptpzpZKaPWrHt75X/fHtfVLG8/0WTWtzprf6fFvvXFK5/dmUk9WfbzYcOYLe9+smFFpDNQVX3GwKbzh0xa/f7y9z55+393zcrmHz9UZbU5Pede+eMv56UKpTSrtaOqorRma138i+88OndMGK36cF1pAzZz3Qv/W/f2a4OD/cxn2kKz7v9kSdZ/lq9cd++S+cMCera3W62C1OEnvTf3gy9z19ykicCKShs6jE2Hv/8hYtz8Nz/YmPvK0/+XSN1JxnpGweTQrWSRsqLJ5eiZuALcSMgsFisoSJCY6D90qDQrK2DMmIDRoyXDh4tSUrzd5hzOQI7PESqVyufziQOiMusDFxk9DsaHAxfGCOUxSFH6lcdbDJ0WPK1PofaRsa6gkerwJKXemPH5VQA1IbjeEUgEEoPHolJIcJSCP/j0aDCYVYc3TZ278v38vfV4Uo8TW9Y/u/T2Kf/bV623XfWpKjlMcda87bt/LLygH3dvn5clZl7hXf79hJhGDUQheveVKzkratitg8IwtwNTF1ec3Lju5SV3jcvInjQm+963P9t/sllvEEVLRz46KYlDZ3NFooSctBG3j48m0smCiMQIaah3PAG3Ta898trT907Jvmne/S99erxZ0eF0Oc69cg/lvv3rj+z/hZzz2Dgph0bBGhWn83e+8eFLt2RMz87InrXktfW5p5VqbfcYOxeQliqeNm6kCKMRseCoaX6yDLtepW0tcj8wNjha6odhbF5YTOpiCqWn9cyksTh+Id77EQEYaBISEl544QXujT79e9+64OhxMD4c+DvsoKzUedvnpoqD+vquwG7o2ixImb9kwrSJKXAe/1tQE4LrHdWPEzRx2dy0mKCBEXyAS+PDEN0oLyv+5fnPG2vLg6ZNffy9jfgQcciHK2YOT6vJr9+65vMDrY3qqzzvmtmqK9n79BP781u7qDIu1tp66KmnDrW2YlwZtas1f/8TT+8t0VnNeOEbG5FAIKP4vLurkUon01g0cvegbnZ72MTRd760cs26t9d8/PZ736y7Z3pOrJBIIdG4DCqRQEQoTCqNTad47yymUMgkEhEzyXW1O59pSM9Y+OLb77yx/P9umeh0Ub29AGdfuYfLajW067UKq4dOQGtjTpctNiRy6RPvrnsTvd27X3zw4sPLpieg1s6FD00qhcig07u3mUxhkEhUzON2O20Yl06meO8GIBLJFCrb+8JeBLR5EJ+DgYlCoUDf0eUi/2X0uPLyH2F8OPB3iGQ6lSVhUb3XQN8gUlkcOgNdefFlcLmgJgTXOwKJSO7uRSfDUQr+4LujwW7WyOtPllaGZU9csPDuRbfOmnHOrfOXLFl8x/hx9FO7j5ypVxmvbke6w2lV1u/eWVOnVFsxh1GprN65s1qpNDowq1pZV7Nzd73S6rx207VfTUaHs8tgxNy9HzZAlzEWj2/TiLn+EUNnTJ7S/ZMSGSWk4wX+hsuiNrSdbCfFxQ+ZOHnkkIQwUSdKxDN74cXHjU1IiMNKPs5vNdmtGJsudrCiCfTI8WOzb/K+16ghQ8JFKLa/RCQyjcoUNTS0qU1mdCBZLSpFyxG3q2ecS7vTZjWoMfeFe+QBAODPGAxJQMCYqKiFTKZMpapqaDiA/kW/oxSUDuPDAQAAAMDXfBeim6w6naKa6U6ZM/emkdmJkl4Rnjh07E2T7587M8nZVlDVpjLAc8LXBJ3pINNtHZrzI1gCCWOHxPkZPC35B7bk7dzh/SltUHb1PNz999xEEoFKSpEX1x/ZtfNI/rFGZe/ZYv/AjYubMCYzO4xUWnBi97aKBhspmsGPbCn//pc927zvdfh0RX2Xi0CkCPwMDeVHy8qqFRc9PkhMETsgja/ec/rolu078g4cPlTZrHDgc+CYrG5zp1XI9vzD+PwAAHAOisNDQ3PCwmbX1WH19Z1Uqh/6HaVAfA4AAACAq8B3IbrRpulSnSJSAqRcJv0vPbB0OpMrDaAQT6m6NLbLmYi/z1j0GrVSrujQaAxut0Gj6VDIlWqN3idDvlyfRDI/cVCgWulwuTxkOptG77mVjoxhUcPv/0+YRF/45tLHH/P+bNhfUm+gUagMHp3UfQc5mcqg01n4nXcEKoNKpbHEgaLEcfG71vz4ykOPb9q1W8O6jUdnEwiUc69MIGBEOotBo/MiIjKH3vEs58ya5fv21zviZg0dMirgu6dXPn0feq83v/j59zorC2BhAAC1NklEQVQHhcqJG6Y/svmdH77PK1aTSXTvGH4kEpWO3pZ+9s51EoNKodG5Mk509jPxO05veu65x5au/fTnBsJkjMhE7+ZxdlkpFl14aigZfzYdgIHD4XBotVo33EPyr/SMHrdnj6i01B/GhwOg/4KaEADQH/kuRPeiEUkjZVIR4wL3SNMZIqlsJIlIw5evum3vLlsyPWP8nGXL1mm165YtmzM+Y/qSZe9uw7MHArEM40iwkjOYwxk8/q6hI3oNSMMdPPb+N97dV7in++eZuVnJCekx6dOXjRRwaOiYCUseM3Li/MH87gOInZKdkJiewuUwxFmzf9z9BVpl9Udf3LtwzmPjAji0yHOvjD5r0bgFUzLGpkq8Y2PE3Lrs571L0CuLJUGZi/5vX2Fu93t9/vIjC1I4RBqXP/L5Nz7eseqJJRPTg/2z5mXJmCLx4LEjRi4Yf3bkueBstFVjgzEyUxwzZ/u7X3lXX/vfh9OI38ZIqCwa1dJQbGw6iaXEYxR4Hh0MOBUVFa+++qper8eXwb8ilY6B8eEA6L+gJgQA9Ee+DdEdJm3ZJ489efct+GRrvdxy95OPfVKmNV2zh74teo3qz73oqkvvRfcOREYgeMdWc1+DieP6BkkiYlBTGL9+XaRottBotF4D0hCpdI5QJJVJu394LDqVgv5j8OhEorcbnUyl0xhne9GJVAaFSqWiHCKd6S8Vo1WEIjGHxeLRSUSCt38ef+WzvehUkndsDAqL5y/loFcmkUg0Nkcqk3S/l5jP9b4wgUik8wViiZDHYVDJJDqLTiJ4e9FptD960ckMtE10j9rcuOPLxx994WFvh/8b3xwslP13YrRAhpWfqrSebI4YEUuhkXtGj+tn0IGFDi206WjX9ss/AFxTdrsd+o6uHJlMh/5zAPqvvqoJb4RW33Xj3G5EuxTBU68z3tZX97Z1N8bgI79SLu9+xM8jPAlclG9DdLfDpiw9eGj31ry/2Lr70MFSpc3RX5uPdAqJRSOj463LYrO7LjAsWn/AYPODYtJSw8UMJqXfnjAEConhH5yYlpA6OBX9pI9KSZsahf4iOkcUmhSblB7JxfrpGJkGq93scFJIRC6dChUaAAAAcK3cEK2+6wXagWg3op2JdinasXjqdQa1vngMKoonvY0xuxNPBf+K98QxW+0uN52MziMYHuqS+C52YbAkkfEzZkzFR3G/IJQZHylhMfBV+hM+k+rPYbjcnjqVzmTrrwPAk9gyYcLMqQliKbvf3gpO5tKlGVMeevqBZ1566pmXHrhz0ZRoFp1MwBihcSnJI4eHMru/Cu2P2rQmtcnCoJKDBSzv5HgAAAAAuBZujFbfdQLtQLQb0c5EuxTtWDz1OoNaX0ECFolIaNMZ1aZ/GjMZXJTT5a5X69Hn7j2PuP8wRRTo4bt2v1g2dPbi3Nzv8bnQLwhlLp49VCbGV7k6iEQSnS2R+ssuyF8q8Y5M9o/7JYDLjBRz7S7XieYOjRlOXdD3zig1rV1GHoOaJBOSfTbrLgAAAAAuDlp9fQjtQLQb0c5EuxTtWDz1OsOjU5JkAgqJeEbR1dJlwFPBv2J3uU80KbvM1gAeM0J8buArcDEDsN3PYYqz5m3f/WPhBf24e/u8LDGTgxf+W+FibkqwyOpw7TrT3K4zueExFdCnXG53fqOisqNLzKaPipbS+unN+gAAAED/B62+voJ2HdqBaDeinYl2KdqxeMZ1RsxhZEUH0MikgibFGWWXyw2f+L/k8XhMNsfOymaFwRwu5qQGifAMcFEDsN1PJJDorIv1ontHJvvH/RIqYo+I8I/y53Yazb+VNZxu7cQzALhiZrvz+5M1p1o66WRSerB4eIQEXSTwPAAAAABcXdDq6yto16EdiHYj2plol6Idi2dcZ0Qs2qgoaXKg0OZ0Haxt+72qBc8Al6mly7jhRFVdp9afQ88I80+SCfAMcFHQNdeLvqn66MFVb+dXGez/OLA7m0ZJDBDOTA0jEQkHatu2lNSfbOmAb1XBFfJ4PEqDeUdF448na5q6DPEB/IkJgX5sOgyACQAAAFwr0Oq7cmh3oZ2Gdh3agWg3op2JdinasXj2dYZGJoUI2bPTw/05jOK2zs3FtftrWi12J3zklw61aWs7tb+VN+SW1uus9lFR0uHh/nzmNZtvu3+BEL0XfVPV0UNvrj5ebbBdymNGAXzm7PSwERESrcW280zT90XVR+rk6FjUmKw2pwvqbXDp3G6Pye6Q60yn21Tbyxu/KahElzEplzExPmhUpBQvBMDl4PP5qampVOp1OhIPAABcBX1YE0Kr719AuwXtHLSL0I5CuwvtNLTr0A5EuxHtTLRL8XLXJTqFPCMlZExMAJlEPFQn/zq/cm91y5l2TYfBbHE4YSa2C0I7xely6632Zo2hoEn5S3Hd5tN1dSpdkkwwPTk0MQC60C8V4U9HWF5e3tKlSwsLC2UyGZ7Uf6xcuTIiImLevHn48uVqPZi36dDda9ifF949Ssa5lIMI1Tv5DR1v7iw+Vq90uT1+bOak+JAhIf6RYp6AQSPCKNzgEqBz0O5yt+tMJW2qA3Vtp1o6ULjOpVMfy06enR4e6QfjapzjclotZo3e1H0NwDAalc7kCmiYWe+msEgUIsFmsWhNGF/MoJJ6Ht73eNxOs97lzaX034kFwVWATkOLxUIgENCRQibjM1zk5OQMHjz4pZde6llEnE6nw+FAhRkMxnU7ne914pXfil7ZelLKZe584Gb0L54KwPkWfb1z15nmm5JDfr1/Mp50HYNW3+Vyu91dFhuK0E40d6APutNoJhEJKD5/anLqsHD/fvEQ3+kW9SeHK38qqu9um9HGRgeOCA+IkwglHMYljC494KDro9HmaNEaUWv296qWWu/Q/e4gAeulmwaPjZX5sW/A4dxR1Lxu3bpVq1YJhUI8qS9AiN7L5YfoaN/Zna6yNs3mU41bihtrO/R0ColKIqEKiIiab9B+A5cGnYUuj8fhctkcLhaNMihEfM+ouOER/hIuA6Zb60XesHvLhjtf+xrDjN7FkRkTF73wQRa24bXOQYvCYvxox7fkLvsEW7M9J0MSzvOWcJi0Zza8Jvfmpsb94yCQYAAzm82//vork8lMSkqKiorqSfxriF5bW1taWoqC+VmzZqHCeCq4EAjRwaXoXyE6tPouF2reuD0el9tjd7msDleUP3dmatjs9LCkQCGVTOoXO8zhcter9Lsr2r4+Xl3R3oU+aPSJU1B0Dp/4haBzxNumdbvtLrfN4ZRwmeNiZXeMiEYtWzaNckM+ttmPQ3Rj2Y8//Lbv16Ot+DKGBWXOGnfT3FuT+niIiEsL0Y0WTcWeZWu3afRteMpZFrVSzqjXzrj0EL2Hye5s15rL2zXH6jtKWtR1Kn2HwWKyOeEhJXApUHVFJhH5TGqIkJ0QIBgc4jcs3D9CzOEyqOgagBcCXi01Rwp/frVIungQl02lYGKhJDQmnt742dNtw+6NTJTQ6w7/8OZerD0r87/ZySO9sznaDZrSz55u8eYOSYbbEcDfs1qtBw8e/Oqrr1QqVWRkJArUk5OTly9fnp2d/fDDD6OwvKxbXV2dWCxevHjx6NGj6XSY3PViIEQHl6J/heg9rudWn6ej0VO8ixCeRpDFYcxrf9lDIRmLRvbnMCK7h8QfEeGfGCAM4DNZVPxmpX7B6nCpjNaaDt2xeuWpZlV1h06uNessdmjn/xWBQKCTSUIWLUzESQkSDg3zTw8WhYg4bBr5hozPkf4YolvshuZT63MPle38Jb/46BkVnoxh4vjM1Oy5UyZNvn1CpJhB6avT9NJC9C6D/PDnGXevk6sq8ZTe4sSypZcbovcw2hxNamODSt+uN2vNdnQ+/2nfAnBBqDpD1RabTvZnM4KF7HAxJ5DPwvPAeVpqiqp/W6+f+fqUQAGjZ7yRXkG4hN5c/vOHVYGqhvLpszLHDsoJ5UKIDi6Ry+WSy+WvvPLKjh07ULge1u3o0aMJCQkZGRnV1dVNTU2NjY0oLJ8yZcqLL76ILpEkEsyzcDEQooNL0R9D9B7XYavP6XRW5h/46a3nacHxM+9+ICYp9dxjO9eKN2CjkPhMagCXGS7mhorY1+34cP/I6XZ3f+KGNq1JbbKabU43SoWm/vnQJ04hETl0ipTLQFE6+hHdiDe399b/QnSHqa7t1JdvzVm7xelHCw+KlnHPnpQOvbymVYdp4+94f+V9E6JEfvS+6Sq8tBBdb1IWfDd1wVol1xrwl61qp+slD2/YvnCohAXteQCuM+f3ootDJKGRaRz7HyF6TXXu+22j5jZ/XE6Ojhm9eHym2DNwQ3StVouiShRhUij9tT109W3evHn9+vV79uxBEXtPCpVKJRKJKGhHv6OYPDs7e8mSJbNnz+7JBRcBITq4FL4O0QdUTdjc3Lxp06ZnnnmGwWC88sort956a0hICJ4HAPANH4XovruN1qVvKina8N9NZrc+Y+HtK9Ztyj1n07oVty+M7CQc+vCz3Y11nbar+wUUlUgRCpOJrNG3zn3uw95b9eFzc28dzSImC4UUIgyCDMD1SNesP7Tu1WUPPbh06dLV33xYqMDTzyJSWX7DF99BKxTU791fZ/d+wz1Q1dTUrF271mAw4MvgEkyZMmXMmDECwR83Udnt9p74HEHpKBeV6VkE/wAe0wSXoqcJ6LOjZeDUhA6H4+jRo3l5eR6Pp2dwDbSIEvFsAEC/4rsQXaltaiz+huUwLX548ex5EyJ7DdXEiZwwb/bih2+z2U8fPd2g0prx9KvD6rIpFIddMQHRCWGBvbcqMCwhOiDGdVihsLkuZdI1AMDVJo4TzX5zw97DR71fWj6/elIYnv4HVKcJB828m8cOqd9f1IVhAzlKB5eLwWBkZmZOnnzh3jyUjnJRGXwZXBQ6FYkEgqd73CB47AtckPfY6D5ObtSHVK+murq6AwcOoGtjzyL6BS2ixJ5FAED/4sNedLfTabeTPUPCQkMEEgal1zsRKQyJICQ0LNXlzJd3qixX97tN1FRwoRC8TmdUWi29t8piVRp1dSiEh4fIAbhOkShEptBPGhAgk8lEfCHjgk/ZEWnS4cNiqdGcE18e15lsEKSDS0UgEFJSUqZNmxYSEtL7UXP0O0pB6SgXlcFTwUUxaWQeg4qic6XBYnXiDw4AcI7L3X1sOFxMKjpU4HmcK7V169YjR47YbLaeRfQLWkSJPYsAgP7FdyE6g8Jhc6M8RJPd4XD/5eLscjscdj3Bw6FQKMSrO5YFnUwLCMkk2Rp+Kz9RUH5uDDtVecGJ8t8qjcQYHo9MhGsFAP0YVRQUGxsbxLQc3F7YZtXgLRYA/plAIEhPT58xY0bv3nL0O0pB6b3vgQcXJ2LRZXymw+WuVGoMVjueCsBZDre7UqEx2OwiFk3Gg9EK/j273X7y5Mn9+/c3NDTgSd3Q4oEDB1AWKoAnAQD6Cd+F6GyWWBo+XEBuOl24t7y4Wt09j3EPh15eUXu68GQjyZ4qFQjofTz32j9gUBihybemhnUVVP226euf8nA/fb3pt6JjHZyYibEBdErPYNEAgH6K6h8fHJY43FVaWu7o0uOJAFyKoKCgW2+9NTIysidKR/+i31EKSu8pAC5FIJ8V48+zu1zHGtpVRivcmwb+xOZwHm1oV5ssgQJWjISPp4LL5PF49Hr9jz/+WFZWZjT2amtjGFosLS1FWagA3B4KQP/iuxCdzhVHJI8aJuZt/XblF5+tP3hSfk7tid82/vz9t7+whey4ICGHcZUH4yfTOFFjHh0bO9h9bMt79+Xg7ntz8+GG+LjoO2eMkDGo0IsOwPWHRKbQ2Hw6qdedxgQikcLi0akUCuFPuXRRSFjmvDH+an+2BeV2pwFwCTgcTlpa2owZM6RSKYFACAgIQL+jFJSOlwCXIFzMSQ8Ruz2e/TVtDWqd1e7EMwDAMIfL3WGw7Ktu7TLbov15qUEiPANcJqvV2tjY+NNPP7W2tuJJ3c/s9PyCElEWKnBu2EsAQL/guxAdo/pFhk5+4Jlsdpx425b1S27NOGf8vGe+/bYtTjR5+Xd3Dh0ectUbPSQaJh531wevLV8ycxqe5DVk5pJ7n189Lw5jXuNZJAEAFyQJjs9Y8Oy4IC7t3JwLZCY3fsHzY5MTItl/yaX5ceNznt/x6sIZKLcnCYBLwmaz77333oiICCqVmpiYiH5HKXgeuDShIvaICElCgEBvtf18ui6/6c/zL4CBrEGt++RoWVOXIUjAGhbunyiDR0j+pbq6unXr1imVSqcT/xYMxecsFqtnRnSUiLJQARg3DoD+xYchOoHEZPqlTnn8m/dff2jmCFkH3oWOKOjxE2c/9vq3T0wdFsBhk324DX+DgJHobFFy5pKnn8NnXPNa9fSSqYlCFsV3c38AAK6Et5+cxaeTeg3+SyAQKSjpbC/6ebkEEpHC5EsFbCb0ooPLQyQSpVIpnU5PTk6ePHky+h2l4Hng0pCJxGh/3h3DY1hUCorPNxVV7zrT7PIO4A0GNLfHU9Tc8U1BJToerA7n1MTg4eESCgnOr3+jo6MjPz9/x44dHo9n0KBBd9xxx9y5c4VCIYrJ33jjDbSIElEWKoCKocL4agCA6x5pxYoV+K/dqqurf/vttyVLllzxHX16dfXJYx99t7Wyta6uqqyqsbFdi+dgGJUtDImMGTsmK5hN7MMI/dChQwKBICkpCV/+B1SmSBoQ+4dgqYgD86EDAG4IBAIBVeNxcXEUCjy4c6lsNqNe197ZUatQnNFoGpWKM2GhvPi4QBLJrFY1WK16l9uJYnUyGS4Vl4RKJonYNIPN2aAyNGsMHQZLl9lm6b7jHQXwKCqD4fEHCBQl2p1utcla1dF1oKZta1njobo2jdk2NSl4/tCoRJmQRv5jAoW+dWPXhA0NDZWVlTQaLScnZ+rUqRMmTGAymUePHl25cmVCQkJkZGR8fHxiYiKXyxWJRBKJxN/fH18TANBH5HL5iRMnJk2a1LdzshL+NIBEXl7e0qVLCwsLZTIZnvQvtdTkbfos56kPMeyCc6oFJQy96f5X500enhrE5tP7JkxHVVJERMS8efPwZQAAAOCfOJ02k1FtMqn1OkWXpkWnbbNYdCgUR+koF4XkRCLJ7XazOX5cXgCPF8DlSTkcfwZTALH6P3K43OXyrk8PVx6obkchOorEhoZK46WCQB6bQ6fCbNgDBGpqWhxOpcFS3dFV2KxUGS0cOiU5UPjAuMQhIWI+E4bo/ZeqqqpQlI4C76SkJCrVWx39tRlvt9vLyso6OjrCw8NjY2N7EgEAfQWdbuvWrVu1apVQKMST+oLvQnR5w+4tG+587WsMO298yR5uh8NqsWOsIS/mvXZL0rBgRp9cpSFEBwAAcOncLieKw7Xatvq6I00NhRZzl8fjptHYHI4fhUKj0VgYAQXwdpfT4XDYDIYOm81EIBCZLGFU9OiQsCEoYqeQ6QS4B/6fNKkNeSXNm081lLZpbE4Xittdbo97AA4x7XFjFiNGY2CkAXdvC4FAIBEIFBKBSiZF+nEnxgctGh6NfoFb3PtW3zXjAQCXpN+F6C6n1WLW6E3okoSn9GKsLN7249vLvz8x/Y2Plt+Ukx7AwjOuCIToAAAALl1nR21dzaHGhnwUnPN4koCAOPQjEAZRKHQUUeh07Q6HnU7nsNlCbzegRafVyjuUde3tlXp9B4MpiI4ZGx03HsXz+MuBv+F0e6wOZ7PGeLhWcaimvUze1dpl0lnsAy5KN+vd29YShs8mBCXgKQMDkUBgUMlSLiNeyh8ZJR0VJU0IEDCpZDKJCPdR9C0I0QG4yvpdiH5Rzo66Qz9+vXz5O23LXv1s0dyJEVI844pAiA4AAOBSOJ32lqai2uoDXV0tDAYnODjZzy/cajGYTBqDQaXTK1EZh93i9rhJRDKK2MlkCofrz2IJmQwejc5WtFe3tJQ4nHZ/SUxsfDb6lzTw+kUvl83pUptsKoNFZ3VY7E7HwBs7TtOhfGz+jAdeXDl0TDaeNDCgOBwF43QKiUunith0EYvGpsH54hMQogNwld1YITqmatz/44YHnn0Te+p/Hyy4dWyYGE+/IhCiAwBAD7lcjmryPh+/5MZgNne1tpyurTpgNqtFohCpNIZKpZtNOpWq0WhU2e1mt9uNwnI6nU0kUdwuh81mcrmcRGL3rAEsgVgUxmTxzSZtu6JKr+/gC0KiY8dIpHF0Ohd/AwAuBJ2VGRkZqDE3Y8YMPAn42ECrCSFEB+Aq81GIfs0eAaIyJYHxUyfPS40L4sBsswAA0Lfa2tpyc3MtFgu+DM6yWvXt8vIz5TsNBoVUEh0Sksagc1pbysrKdqnUjWQyTSqNjY0bk5AwPil5ckrKVPRvfPy4qOhMP79wEpGMwvjy8t0KRTWbIw4PGywWhyjbKyordnd21KLYHn8PAMD1AWpCAEB/dK1CdLFs6OzFP238/oXp46JEdDwRAAAA8CGXy6FUVNZWH9BqmmNiRqHA22o1FJdsq609RqZQExOzR2XdmTlyUXLy5OiYUYGBiRJJFPoX/Y5SUDrKRWVIZErlmf0V5XsIRFJ8/HhUQN5aXF97RKNu9Ljd+DsBAAAAAPwrMJAmAACAgaJDWV1TdUDVURsamh4aOqi+vqCkeKvJqImLHzNx4sNRUSNZLAFe9EJQLiqDSqLyOr2yrGxnZ2dD+qCcoODkluYiFKUbTWq8KAAAAADAv+K7EF0lL9j8VU7ObTkXdt8zr+bVYRYnXhoAAADwHY/H43TaGuqPabuapdKY+Phxra2l8rYKJpOfmJidkJDdM9EagXCxyyLKRWVQSVQ+MWECmUSpr8+Xy8/ExY0T8APa5WW11fvxogAAAAAA/4rvQnSLSVl3Ji9ve96F/bTx2/XvvbXphEJugDAdAACAb7ndTqWiqkNRRaexUYhuNuvq6/JJJHJwcGpY+BA+P4BIJOFF/wkqicqjtaQBcQ6Hra72GEoJCIgjEonytlKNpgm9F14UAAAAAOAy+S5EZ7AkkfEzZkydcSFTxsQLXae/eHPdjjNVndCVDgAAwIc8Ho/dbm6oO+qwm/38wllsYU3NEb1eKZPFh4amc7n+eLnLgdYKCUmTSKJUqsbm5mKhKEQsDjObNI31+U6nHS8EAAAAAHCZfBeidw8Il5v7fe6F/PDhO4/fmkFwlB4tbVLpYAxcAAAAvuN2O83mruamE2y2UCgKRuG6XF4uFAaFhQ9Bi3ihy4ei/YjwDCaTV1tz1LsoDiOTKfW1Rxx2858mNAUAAAAAuES+C9Evih0ojooeNdRNK1BqVFYDngoAAAD0PbvNpO5ssNmMYr8wtKhU1KAIOip6JIcj7inwr/H4AckpU50um6K9Ei2KhMEmk0qrlTsd1p4CAAAAAACX5RqF6BaVrq21tJLoiBdweVQmngoAAKBvREdHP/zwwxwOB18e2KxWg1JRScAIfL7M4bCqNS1crr9EEkWjsfAS/xadzpZIopkMXpdWjhaFohCX06FRN9rtpp4CAIBrCGpCAEB/5LsQXa+uPrrn5Zf/9/KFvPr2e9/szNeSQ0bEBoo5V9pEAgAAcD4+n5+amkqhUPDlgc3hsBj0CgaDS6HQzGat1WIQ+4UzGDwikYyX+LfQK6CXRZG/ydTlcNrYbBGVyujsqLXC/WEAXAegJgQA9Ee+C9F1mqoje1as+N+KC3n9o42H6uijps4ZnxQtZlPxVQAAAIC+53RaTUYVl+vvdrssZi2BQPD3j7jy+LwHkUgSCAKdDqvNZqKQaShi1+sUDrjRHQAAAAD/iu9CdBKZzubIZAGyCxs0esoDb3z9zOTwKBF8tQkAAMCH7HaLTtfO40k9Ho/DYaNQ6QKB7NJnWbs49Docrj+BQHLYLS6Xk0KhY5gbw2C4OAAAAAD8G74L0SXBWYseKizcX3hhP36yel4cxuybPgwAAADg2iAQiDyeP4VCs1qNVpuBTudYrQaXy4FnAwAAAABcDt/2onP/vhddQNB07F61eMGGzQVyFb4KAACAvlFTU7N27Vqj0YgvAx8ieDvkCQSPx03AMBSrO+wWt8uFZwIArh2oCQEA/ZHvQvR/4LZq9Y1Fu3ZW1ylNFjwNAABA39BqtcXFxXa7HV8GPoMic4tF73I5SWQKkUS22y1UKhP9gmcDAK4dqAkBAP3RNQvRAQAAgKuDSCRRKHSHw0ogeHu8PW630+noq8fFUYhuMKidThuFwiCTaVargc7gkkgwzAoAAAAA/g3fhegup9Wol8vb5RfWruzs0NncbhhQBwAAgG+h+JzN8TcYVSQSmUplulxOk1GDQms8+8qg1zGbu1DYT6Uy0Bu53S4ikUQgEPBsAAAAAIDL4bsQXdly6Jv3MjLGZlxY5rTFC984ojbY8OIAAACAb1AoDA7H32hQE4kUJouPYW6FshoF6nj2lUExuVrVzGaLmEy+2azr6mpjs/26x3UHAAAAALhsvu1FN1y0F71TZ3X3TR8GAAAA8LeoVKZAFGK1GY1GNZXKYDB4CkW1yaS58ijd6bTpdB1abTuKzwkEol7fgWEEf0ksjcbBSwAAAAAAXA7fheg8YezI7BUrnl1xESgze2SskIevAgAAAPQ9Gp3j5x/j8bjV6iYSiSoWh5mM6tbWMotFh5f4t0wmbVNjkd1uFopC0KJG00yhMPwkUTQ6u6cAAAAAAMBl8V2ITqHzJMHDRkxa/NgjT7/w0kvPPf3ofxbfNGzYTYv/8+jTz73U49mXXsrOjBFx8VUAAACAvkelMoWiUA7HX61qcjisYr9wJlPQ2HBCo2lBi3ihy2e3W9SqxqamIg7Xj8eT2mxGnVbBFwZzuFIymYYXAgAAAAC4HL4L0VXygs0bF9yxaltDrdqBYVZ17b6tbyxY8MbWfbXqf98gAgAAcAmoVCqfzycSfVfJ9ycEApFOZ4eEDjEauzTqZgadExExTK1uaW0p1Wrb/924cW63C71Ua2up2ayPihqBElSdDQ6nMyIyE+JzAK4TUBMCAPojqLMAAOAGlJCQ8MILL3C5cJcSjkymR8eO4wsCOzsbOjrqIyKHCoVBTU0nG+oLUNyOF7ocer2ytvZoS2tpYFBCZORwjbpFrW7l8QLCIkaQyVS8EADgmoKaEADQH0GIDgAANyAKhQJ9R72hXcHhSgKD04gkaltbuU6nTEvPYbPFjY0nS0q2orjd7b7UoeNcLmd7e+WpU3ny9kqxKCwudmxjY1FLSymb4x8ZncVgcAkE2O0AXBegJgQA9EdQZwEAABgICGQyNTh0cIAsye6w1dYeJRFJ4RFDuVxJu/xMWdmu+vpCvV7pcjnw4heCclGZhvqC8vI9qs4GgSAoLGywx+Our8v3YJgsMEkWlEwkkvDSAAAAAACXz7chusth6yg9cGjP1ry87bsPnSqTOxzyslOHdm/P64H+f6ZOabLgxQEAAAAfEonCwiKGifwiFO1VdXX5HI5fWPhgLleKFisqfq+pPtLaWqZRN5tMGqvVYLOZbTYT+gX9GAydanUTyq2pOVpZeUCtahKLw0JC0qhURkPDCZNZJwtMCQoZxGaL8XcCAAAAAPhXfBuiO4zaE+seWXbnnJycuXc9tmbdEaPxyLo1j901N6fHbTk5X20ukKvw4gAAAPqGw+HQarVu978ZCO3G5ucfHRU9hscPqqvPr6s9Rqexk5Inh4amoyC8uHhb/vGN6N+G+sK2tnKlskahqJLLz6DIvLbmaPHprfnHN5WW7LBY9JGRw5NTppJJlIoze+sbCmVBKbHx2X7+Ufh7AACuD1ATAgD6I7jRHQAAbkAVFRWvvvqqXq/Hl8FZJBJZIo0dOebeyKhRSmXtqVNbFO1n4uLHTpz4cGraNCaT3yYvLyz86dDBz/f+/uG+vR8fPPDZ4UNfnDqV19FRz+cHDB48e+KkhyOjhjc3nyou3qrTKsIjMwcPuY0vCMLfAABw3YCaEADQH/kuRBfLhs5enJv7fe5FoMzFs4fK4L5AAADoW3a7HfqO/gaBTKYJBMEpabOiYseipaqqQ/nHN3V01AkEQSmp00eOXDx4yJzUtOmJSROTkielpk5LTbtpxIgFmSNvT0jMZrL4dXX5x459V1tzjM7gJ6bOSEmdyWKL4RF0AK5DUBMCAPoj34XoDJYkMn7GjKkzLgJlxkdKWAx8FQAAAMDnCATv0HFCUWhkdFZsfLYkIMFk1qPAu6HhhEJRZTSqyWQKk8lns4UslhDF5Ewmz4N5urra2lrL6usLGuoLbDZLQGBKTHx2RGQmeh2IzwEAAADQV+BGdwAAAAOUSBQWEzc+Nf3mqJjRNDpfr+9saiqurTna3HS6paWkra2ira28paW0pbmkseFETc2xpuZio1HD4QVEx45LSZ8VGTWSy5XirwUAAAAA0BcgRAcAADBwUSh0sV9k2qBbJkx6YljmXVHRWWyOxGTWKdpr2uWVPT8KZa3T5Rb7RcUmTERlxk98IillBp8fSCSS8VcBAAAAAOgjEKIDAAAY6AgEAorVpQHxSak5o8c/OD3nldm3vTNn3lr8Z+6aSdOWZ476T2LiVFQGlUTl8TUBAAAAAPoUhOgAAACAN0onkShUKpNO5zKYfBbL+yB6zw+TJWQweDQ6h0JloDIQnwMAAADAd3wXouvV1Uf3v/HWT4UKucGJYXa9vLjwxzfe+LGwWK63Y5jTIFcU/vTWG/uPVqthKgwAAAAAAAAAAMB3IbpOU3WkO0RXyvUuFKIb2ksKvCF6QUm7AYXoLr1c2R2iH6nS6PBVAAAA9A0+n5+amkqlUvFlAAAYeKAmBAD0R3CjOwAA3ICio6MffvhhNpuNLwMAwMADNSEAoD+CEB0AAAAAAAAAALguQIgOAAAAAAAAAABcF3wbojstpppt69avfu3ll1euXv/LtnKLpXzbL+tXr3z55ddWr1+3rcZkceJFAQAAAAAAAACAgc3HIbrVWLN13SerX1ux4n/eEL3Caq3whuj/W7HitdWfrNtaY7RCiA4AAH1Pq9UWFxc7HA58GQAABh6oCQEA/ZHvQnQSmc7myGQBsotAmRw2nUzCVwEAANA3ampq1q5dazAY8GUAABh4oCYEAPRHvgvRJcFZix4qLNxfeBEo86FFWcESfBUAAAAAAAAAAGDg8m0vOvefe9G50IsOAAAAAAAAAAAgvn0WHcM8GGZqOvLNDx++3NtXufvLVXgJAAAA4Ppk7ygvPrn77eNyg92FJwEAAAAA+JJPQ3SH06po2L0195M1776xorfVH6z/+reDu0oUeofLjRcGAAAArhPo0qSTFxwp3rtt17Gj3x5vN9sgRAcAAADA1eDDEN3t1Ohadm1YfN/ajTUlBj8pfnM74i8/tuW9Zx5c9PaO4k6z2eXBVwAAAACuCyggbyr6cNWvPx0rM8mGYBgFTwcAAAAA8C0fhuiG5tMnNiz7zKRtTL399tc37cWHiEN+XL9k5jRVpXHP6x/sbKrrtOMrAAAAANcFMobFZ6/+9Km3lt01VISnAQAAAAD4nu9CdKvF0NXWYNelL3nogQX/d9OQKLwLHRk0eskjS9968M4YVWFBab1Kb8VXAQAAAK4HBAyjMIRinpDHpvl60BYAAAAAgD/4ruVhtHZ1KUqorpiRIwbHJsm4ve4SZIti0lOyR4yIdmrzGxQqkxFPBwAA0DcCAwNzcnIYDAa+DAAAAw/UhACA/sh3IbrFYTAa60h+MimfSafiiedQ6Uy+VOZHqjMaDQ4LnggAAKBvyGSymTNnQsMUADCQQU0IAOiPfHv/HoWAJdE8Tq1G/hcardNDS8IIMAQPAAAAAAAAAADg5dsQ3WZQH3lj4eJpmRl/kTlt8cI3jqgNNrwoAAAAAAAAAAAwsPl4FBy326rr7FS2413nvbQrOzt1VjfMig4AAAAAAAAAAHTzXYjOE8aOzF6x4tkVF4Eys0fGCnn4KgAAAPqGXC7fsmWLxQJjfVwZmr8sKG7G8AAGjYSnAAD6D6gJAQD9ke9CdK4oJjP7pZeefekiUGZ2ZoyIi68CAACgb7S1teXm5kLD9ErRJLLguJzhMgYVQnQA+h+oCQEA/ZGPb3QHAAAAAAAAAADApYEQHQAAAAAAAAAAuC5AiA4AAAAAAAAAAFwXIEQHAAAAAAAAAACuC9csRHdbtfrGol07quqUJhjEAwAAAAAAAAAAuKohusfjcpiUqg7vvOjNFcfyN752+7wNmwvkKjwfAAAAAAAAAAAYuK5qiO40q85smHrPLRlI5rTFC984ojbY8DwAAAAAAAAAAGBguxoheuuhV997Lge5+dZFD7575tApby96u5JmI92y/PO5k4bKxHhBAAAAfSM6Ovrhhx/mcDj4MgAADDxQEwIA+iPfheh6dfXRPS+//L+XX35j7bdfbMhDdu47pAgbH8cJCA9Lj7nlnueXL759dlKMhMXAVwEAANA3+Hx+amoqhULBlwEAYOCBmhAA0B/5LkTXaaqO7Hn1v//76OcjylBp8gxk5qyZC+9fOD08KDx8UOwttz35+LBYDhXicwAAAAAAAAAAAPHxje4UJpYy787lr7+7zuu9NaseGx8VJqDhuQAAAAAAAAAAADjLxyG6zYAdevOlO6aN8Y4QlzF24tT3DqtaDHgmAAAAAAAAAAAAzvFdiC6WDZ29eMuv3//wzUfLJg8PI8nl8vrqmi+fW/FlWUVJ6e6CN/97+515BRqLES8PAACgz9TU1Kxdu9ZohCoWADBwQU0IAOiPfBeiM1iSyPgZM6bOmDFr/v8tfeTpFStWLH/ysZsjXA6aXaVqVp7c8cvmz95ZuS+/Wq3HVwEAANA3tFptcXGx3W7HlwEAYOCBmhAA0B/5+Eb3bvTQUZPmPvAS8uLzzz1y54LbZs+YMWP6xPghYeWb1x4+WaXR4QUBAAAAAAAAAICB62qE6OcQqWze8IdeWfNVbm7uz1+/9+Hj2XFRIjadTMLzAQAAAAAAAACAgeuqhui9Uf0SYm5ZuWPvkkVZwRI8DQAAAAAAAAAAGLgIHo8H/7VbXl7e0qVLCwsLZTIZnvQvqeQFB3e/9uU2DLPgKX/FwLBpdz4/cfRQmRhPuSIrV65sa2sLDAzElwEAYKDSarWNjY0JCQlUKhVPAgBcU3q9/sMPP5w1a1ZcXByeBHxsoNWElZWVv/766/3338/lcvEkAIAvoUpGrVavWrVKKBTiSX3BdyF6S03eps9ynvoQw/5+kjUOht3/Zu5/5s2IDsZTrggK0S0WS2JiIr4MAAADlVwuP3HixKRJk+h0Op4EALimurq6nnvuuXvuuWfQoEF4EvCxgVYTnjx58tNPP/3vf/8rEAjwJACAL6FKpry8vP+G6GyeX1B0WrQ/DSMRuvO9+r4XPSIiYt68efgyAAAMVKgaX7duXZ9fMwAA/xpqyWVkZKATc8aMGXgS8LGBVhP2XTMeAHBJfFTJ+O5ZdBKZzubIZAEyqYhLo5MDQuJmLX1j3Xsfob9i3adffbvhp19zc7/PzV08u4/icwAAAOdQqVQ+n08kXrMBRwAA4JqDmhAA0B/5rs6SBGcteqgwf3/hrvUPDhsf0VBZ8OFTUzNGDctA5j717hcn//7+dwAAAFcmISHhhRdegMcRAQADGdSEAID+yLe96FxZYIAsZsxdb7z88eaff/z2y4/e+fjJ6UF8YtHWrz58fF5Ozm05OV9tLpCr8FUAAAD0DQqFAn1HAIABDmpCAEB/5Os6i4BhNFHU8CFjZ8yYOiY7I8DTonIZrcb2usqjO/LytuflnalTmv5+yHcAAAAAAAAAAGCg8GmI7nY59IqSXQd353lt2fzrT9998Pnu+mYVOyAyLnMKitpnzIiPlLAYeHkAAAAAAAAAAGDg8l2I7nJatera/O2rbn9wUU5Ozuw5Cx958PXcUiaXIZMNnr74/rc3wXBxAADgIw6HQ6vVut1ufBkAAAYeqAkBAP2R70J0Zcuh7z8Zv3DFZnWl91nz8Lih97+5vfBwfiHyw5uP3DWI01MOAABAn6uoqHj11Vf1ej2+DAAAAw/UhACA/sinvehGg6Kzy+x2uNBie3Plr+ueXvrQfUuRexbfvuCWWTBcHAAA+Ijdboe+IwDAAAc1IQCgP/L1cHHnGHWdlSd25237rfu5dBwMFwcAAAAAAAAAAOB8F6IzWJLI+O4R4f4eDBcHAAAAgBufUqk8dOhQVlaWRCLBkwAAAIAL8V2ILpYNnb24e0S4vwfDxQEAAADgxldQULBs2bLVq1cPHToUTwIAAAAu5Krd6A4AAAAAAAAAAICLIXg8HvzXbnl5eUuXLi0sLJTJZHiSbzjUta35v7z0TeCsx8aO7qOO9JUrV0ZERMybNw9fBgCAgQpV4+vWrVu1apVQKMSTQB/RaDTLli1D/+LLAFyCkJCQmTNnZmVl0el0PAn43kCrCa9aMx4A0MNHlcxVDdFddoPy5PodJ4wtasypb1NVFX37+9QXf1g8b0Z0MF7kikCIDgAAPSBE73MbN26srq7GFwC4TDExMfPnz8cXwNUCIToAwKf6cYhulBfUNSmbVZjTomncvezT7ZqKNpTMptLjU7Puffy1qROgFx0AAPpUTU3N9u3b7777bjabjSeBf0WpVBYUFKBfdu7c2dzcjH5Bl+HVq1fDdx8AXP8GWk0IIToAV5mPQnTfzouul8vb5fKTuc+/8UQOMmf+3c/+6GruoNBoTLogJSb+3v9+M28KDBcHAAB9LTo6+uGHH4b4/AoZDIb9+/ejJi8yc+bMnpFOv/zyS4jPAegXoCYEAPRHvgvRlS2HvnkvI2NsRsatyw9tKfImUTmckU8/tSgubsjgmVkrV+3ePi9LzOR0lwYAAACuN+vXr//ll18Ku2VlZeGpAAAAAAA+49tedINK3x6Ys/DFj7780dvzsHnTtyvnD02Tsrt70YVSCYtOIsCY8gAAAK5PRqPRbDbLusEoXwAAAAC4CnwcILudmK658UzpqZNexaVlBjvZ5SHhuQAAAAAAAAAAADjLdyE6gyWJjJ86cWosyVK27YeP31qxYsWrr/1v3be/H5VrVKpmZVHhzt0NSqvTgZcHAADQZ7RabXFxscMBVSwAYOCCmhAA0B/5LkQXy4bOXpyb+31u7qa37188fbBMJhOwmEc+WP1jTWVJ6e6CVa8sWPTdjjOdHVanC18FAABA36ipqVm7dq3BYMCXweXrmfkcRoYDoP+CmhAA0B9djSfBOYPueuTNHwoLC/MP/75r1cxhcT0juDdqVeuWTf1sy6EWZfcyAAAAcP1YtmwZ+nf16tU9iwAAAAAAV8HVCNGJVDZX4C+TyQJDo2OmPf3G+9/m5ub+/OWba/4vxm2ymaAXHQAAwPUHetEBAAAAcPVdjRD9HAKJQpOmDh89ccaMGdOzs8Yk+9MoMHQcAAAAAAAAAADg5dMQ3eG0Kht279yX57X74PFihc3h8mB2tbz8xNE9hw6UdqBlvCwAAAAAAAAAADCw+S5E97gcKk3Djg13LFiS43X7g0+v2lHTrtZ11B/JXfvSk3c+9dgn1UQWjUUnQ086AAAAAAAAAADguxDd3Hnm0NaVy9brtY3dy6rK/N0v3fz1xx/ces/K5Rv2lmJhfPHS1dv/MzMrWNJdAAAAAAAAAAAAGMh8F6IbzEpF82GndtryZ9dtyM3N/fa9p+4f3vjLD1+eLPYbMuOld3LXb/hm4ZR4P3/oRQcAAAAAAAAAAHwZojtcVpujix6VPnH85Blek8ePS41ubaGkTJhy6+L5t84YN3liuIROpuDlAQAA9JnAwMCcnBwGg4EvAwDAwAM1IQCgP/LpcHEYwWXntZw+dWBXXl7ergOnTrfw7S6+JMxu05Yc8w4htz0v70yd0mTBiwMAAOgbMpls5syZ0DAFAAxkUBMCAPoj34boDqP2xLpHlt05JycnZ86dyx5Zd0xrPPbLu8semucdQC4n57acnK82F8hVeHEAAAAAAAAAAGDg8m2IDgAAAAAAAAAAgEvkuxBdLBs6e3Fu7ve5F4EyF88eKhPjqwAAAAAAAAAAAAOX70J0BksSGT9jxtTuoeL+BsqMj5Sw4AkhAADoW3K5fMuWLRYLjPUBABi4oCYEAPRHcKM7AADcgNra2nJzc6FhCgAYyKAmBAD0R74L0T0uh9mkaVe0a/Rmh8ODuZ1Wq16uaJef065QaEwOh8uDrwEAAAAAAAAAAAxgvgvRzZ1ntv342Mjxox55N6+izogZmg8dWpsxcWzGOSPHT3nkp+qKTju+BgAAAAAAAAAAMID5LkQ3mJXypn3qNv8IoT9byLhAL3pTc+uugyX1Kr0VXwUAAAAAAAAAABi4fBeiO1xWm0VD9sRH+/tx+OSeRBqGjZw4/6HHVjy7bMnNU0Kd+uMNCpXJ2JMJAAAAAAAAAAAMYD4eLo5IxMQ8OpVCxZfR/0d5Q/SXlqMQfVqEm9GgNxocMIgHAAAAAAAAAADguxCdSCCRSDQPwWSy250OD0Yk0+ncAGkAh00nkzC3x+Vy2QgeKipE8PH3BAAAAAAAAAAAQD/gu+iYQxcLJYMsxB9+PlnSWmfEOCFZWQ/v373/oUVZwRLMYFVplAVE91CJUEzn4KsAAAAAAAAAAAADl+9CdKY4MGFUznSa68T3qz76esPhCnNPLzqXTVdUbvxu48uf/eKhJGQmh4p5THwVAAAAfSM6Ovrhhx/mcOArUADAwAU1IQCgP/JdiE6miyIjxsy/fazR0brj16/effu/L5/1xtvrN/1U0NFGGzNpdGSIHwMfSw4AAEAf4fP5qampFAoFXwYAgIEHakIAQH/ky8fA6SJ25Jili6fPywlmKo9seXPFWe9/UaZWDpoyY9od09P8JByI0AEAAAAAAAAAAJ+G6BhGZgijZn75xqq3Xrxj+ihZL2Nvnfz88i8+GBVid2JWpwsvDgAAAAAAAAAADFy+DdFx/METH3vj88Je1j3/epq5+qflU8av/+ZQixIvBwAAAAAAAAAADFxXJUQnUhlcoVgm8xfQzYXL33116dK77vi/ex+7/+09lbVqI/SiAwBAX6upqVm7dq3RaMSXAQBg4IGaEADQH12NEF1VtjH3K+8wca+8unLVR5s3/ZSHbN195kRj4uyHRw2KFfLwggAAAPqGVqstLi622+34MrgotKNOnjxZVlamUqnwpAtBuaWlpagk7FgA+gWoCQEA/ZHvQnSLSVl3Ji9ve17ej1+/8/7b3mHi/vvW2l/lYRQHTywOkQyacvPs/zy6fNywGBEXXwUAAAC4BpxOZ3V1dW5u7ubNm/ft24ficLlcbrPZUBb6F/2OUlA6ys3Ly0MlUfmeFQEAAAAA+pbvQnSVvGDzVzNn3TZ30fIvm8rU3kHiQqMiJz3+0G0xUSnJE4c+9dy3X84YKmSw8fIAAADAtUEmk6Oion7//ffHH398yZIlb731FgrXOzo6DAZDVVXVli1bVq1ahdJRLiqDSqLy+JoAAAAAAH3Kxze60zhY1lMvf73tQPcgcUf27nr3lqQEPzqeCwAAAFwHKBRKSkpKdnZ2aGhoY2Pjzz//vHz58vLy8q+++mrWrFnPPffc5s2bUTrKRWVQSZhmGQAAAAA+4uMQ3WHGSjZ9ufKZR5Z6PfrE03kVxk4LAc8FAAAArgMEAoFKpaJofNSoUSQSyWQydXV1ORwOjUbT3NyMfkcpKB3lojKoJCqPrwkAAAAA0Kd8F6LzhLEjs1947tn75kyKdOtqj+Xl5W35Zcsna77Iq2tuaDhZ9dP3q97OrzLYLXh5AAAA4FqKjIxEQXhaWhq+jGFut9vlwmcdQekoF5XpWQQAAAAA8AWCx+PBf+2GAumlS5cWFhbKZDI86YoZy3784bd9vx5t9bjs9s4zp6qVnTobhgVxhTMeXn3PLVNiYyQsBl72iqxcuTIiImLevHn4MgAADFSoGl+3bt2qVauEQiGeBC5BVVXVpk2b3n77baPReO76SCAQ2Gz2448/jq4vsbGxPYnAp2xOl9pkUxksOqvDYnc6XO7zGivgOkDoPjVoZCKHThEy6WI2jc+k4XnXjYFWE/qiGQ8AuAgfVTJXI0Q/x23Vdu1/7cF3fj9Y2uFxOZxWTG24+/Vf/zNvRnQwXuSKQIgOAAA9iouLv/766xdeeIHP5+NJ4NIcPXp02bJlp06dOjdRE5VKTU9PX716dWZmZk8K8B2n22N1OJs1xsO1ikM17WXyrtYuk85id5/fXAHXHIrPKUSiH4ceK+FlhPlnRUuHhvmzaGQKiUi8bp4EGWg1IYToAFxlPgrRffws+vmINK5g7PPvf7MD/TFHt3313dMjRZzr7gtXAAC4ASQkJKBWKZcLk1petoiIiHvvvZfN/mO+EfQ7SkHp+DLwpbYu45dHqx/ceOS5Xwu3FDdVKrQQn1+fPB6Pw+VS6M1H6pQfHih/7IdjT/x0vKhJZbRdR1MSQk0IAOiPrmovem9uq9aoqDteyY5MD5LBje4AAACuD3a7vbm5+dlnn92/f79KpRKLxWPHjv3f//4XEhJCpVLxQsAHHC53ubzr08OVB6rbOwwWGpk0NFQaLxUE8tgcOvX66ZgFPTyYx+lyd5qsdZ3aU62d9SodmUSI8uP9Z2TshPjAQD4LLweuIuhFB+Aq81Evuu9CdL26uuzUxt2FqLmDp/wVautkTJyfnhQj6pOvNyFEBwAAcOUsFsuuXbteeeWVkpKSwYMHo3B90qRJDEaffJkMLszqcDVpDGv3lm8tbUaBX2qg3+iowHiJIFjAEbHoTCoZRtG/3qDmo8vl1tvscp2ptlN7sqXzUG1brUo3IsJ/8YiYGcmhAhbcKXm1QYgOwFXW70L0lpq8TZ/lPPUhhhnwlL/iYNj9b+bCs+gAADCgac02ldGmMVsNVofN6UYXpmt7W7PH7bZYrW+++WZpaemQIUMeeeQRBp1OIF7VR8P+pF8MzXUlWrtMv55ufHXrSfRnZkXKZqdGTYgNJhEhLO8f0CnbpDHklTb8cKqmVWucnBj0wJiEsbEQJV5tEKIDcJX1uxBd3rB7y4Y7X/saw4x4yl+xMeyO579cMHNieJ9UJBCiAwBAD4fDYTKZuFwu8ZoGlheHYnGHy22yOQsaOw7VKAobO6qUuk4Upru9UTpeCHTrF0Nz/WtOtxsdAE9vzq9o75oQE3LHsLix0UF4Hug/DFb7J0fLfzxZ43C75gwK/++sDCqZdG2Pzn5RE/YhCNEBuMp8FKL7rsKSBGcteqiwcD/a8L+FMh9alBUswVcBAADQNyoqKl599VW9Xo8vX5eMNmdRk+qJn44/9sOxDw+UH6lTKvRmh8sF8flfoX1y/Q/N9a81qY3H6pUoPufSaXPSIoeFSvEM0K+waJS7hyekBYn1VkdhU2d+Q4fd6cLzrpF+URMCAMCfXLPh4nwBetEBAKAHqsZ98bVuH2rTmn4/0/bZkaraTp3T5YkQ89KD/CL9+H4sOtl7fzPc4XyeG3torj1n2j4+WLGzovWmpPD7RqXEBwjh4++nUKvyy/wzm4qqDTbb4hExD45L5NKv5SCL139N2LegFx2Aq8xHlYyvQ3T04uamI5vzi+vPdOJJSFj6mCGZYxPF+GJfgRAdAAB6XOcN0y6TLa+06atj1cfqO6LEvKyowEHBflF+fBmPxaVRSfAI8l+gq+kNPDQXOhJW7ylp6zK/NG1YdmywP4eJZ4B+6ERzx/ojpYfr2kbHBKxbkCVi0/GMawFCdACAT/mokvHpkzkOp1XRsHtr7idr3n1jRW+rP1j/9W8Hd5Uo9A6XGy8MAABgoChuVeeVNBc2qsKE3NmpUXcPT5iZHJEUIBIye7rQwZ+hfYL2DNo/aC+hfYX2GNpvaO+hfYj2JNqfeLn+SW2yyrVmCokYJxFyrmmnK7hyYUKOhMM02pz1nQanGx5aAQCAy+bDEN3t1Ohadm1YfN/ajTUlBj+p7Bx/+bEt7z3z4KK3dxR3ms0uqL4BAGCgQDW+zen6rbT5RGOnlMO8OTXyzuHxYSIuTKl16dC+QnsM7Te099A+RHsS7U+0V/vv1dRsc+osdiKBIPn/9u4DvqlqfwD4zbjZu+nepbuUsjcyLEME3M/9HH9F1PfcuAeOhwMRcVZUVAQBcUDLaGmhlA6623Tv3bRN0mbv5OZ/0oYpQ5lp+/t+8gm95547cu7h5P5y7j2Xy2RQKa5UMDwJWQwunWaxEwN6MwHjSgAAwD93BUN0bUd58S/Pfa9XtSXcd98HOw4XnbBr08qblirqdBkffJnW3iw/93PTAQAAjCwWm72gVVbULteYrOMDxA9Pj2XTcdc88E+44dBcF40YHN6fRMIGx6eHH2uGN8rgMXQ4HHYH9KEDAMDFuHIhusmoVXa3WtQTVv73yXseXTY53NWFjky8buXTqz7+z4ORiqLCyhaFxuRaBAAAwAhnttlzmnp71YZQD97UEB8+kzYCnhl2TaByQ6WHyhCVJCpPVKqobF3zhh3oax2R4KgCAMBFuXIhus6kVPZW0OyRs2ZMihrrxzull4TjETlhXOKMGRE2VUFrr0J/7genAwAAGFGsNqKsU6EymINF3Hg/MXSZXgpUeqgMUUmi8kSlisrWNQMAAAAAw9aVC9GNVq1O10zx9PMRsP469guNwRL4+HlSmnU6rdXoSgQAAHB5CASChIQEGs3tRt6yEY4WuVZntnlzWSEirisVXCwYmguA83DblhAAAM7jCt6LjuAkbCzdYVMNSP9iQGVz0MdiJLgFEQAALr+IiIinnnqKw+G4pt0G4XAM6M0WO8Gl04Ssa/k0ppEBhuYC4DzctiUEAIDzuLIhulnbn/vhvQ8snTnlL2YufeDeD3P7tWZXVgAAAKMACiKdg0i5xgaDq9wvFQzNBQAAAIwwVzZExwjCpJbL+3pcXeen6OmTy9UmAu6bAwCA0QZCySsBShUAAAAYEa5ciM4XRc1KXLPmlTXngWYmzooS8V2LAAAAAAAAAAAAo9eVC9F5HpEzE99665W3zgPNTJwZ6cFzLQIAAODyUKlUEonEarW6pgEA56XvKezpaejVuybByAAtIQBgOLrCF7oDAAC4FhobGz/77DOtVuuaHgkIB2ExqI1Wq/34Nd3oX6vJZLFYrtzzwB12q9Wk1lvQxl0pF4+w2ax6vdVxGVY1OjgwwqQfkCt6pb3o1dfbqzWZL8eD5RzoqOr7tEaDyTZYlRwOzKpvyf80ryC5XDaYY3ggLHqj2WSxuSYHOVA0alRpdbq+Xle5HX+p9aYr+B/FXY3ElhAAMPJBiA4AAGBY0Bq15X9sSK9rkB9/VCeKTWqPHK6slPS5Ei4/Q39D9ZENO6q0Bp0r5eLpujqrf99RbbgMqxoVCDPWn/nL6vsenj8lEb1uXJj4TfaxrssQa9kMiobfb9i0b/+RVsPQNNa4I5f2CCXsvnmBgzmGAQLDlBXb9xVmlXW6Ugbpmxuq9733zc8/3Tj/oaFyO/764NfsSoUrFwAAAHc2CkN0q0XXeuzLfz/zwx/bq9CX1fHJB1esWPHEM2/sOjaAWaCDAwAA3A5BOK5JL7rFpNZZHJdheFPCbrPqddbLsapRwTHYix677LqV763f8Pn7bzx5d9/H7Y1VdQOu+ReNQucHXvfh8unTx/vS0SRBpmk4kxYkxE8PEzOoQ1mGBbuzF91oPrUXvb81S96U7jV20dz3Nry0IWk9en30v3devC868anp0WFhMPYPAAAMB5Q1a9a4/hzU0NCwd+/elStXcrlcV9LwkZ2dLRQKx44d65o+O6NJVX/0nferhHNCYuLHshR9ZX9s+Ozb3UcqSirbOtR2nU/slHA+C6fABQYAgOFLKpUWFxcvWrSIyWS6ktyD1mz9LqcOvc8M850V5udK/VtMFpO8MkvrNz5I7MOjOVNQZC6rq7VzODw/kV5RnfzjrylHjmTmdmp6qR6xYhzTN+bX97RWZLUc+23PkRKzRzy9v6j4aMquw2XlSk5IAJ9BVXbnZOT8smN3Tm5uTqeFL+YIuGyq0aJrKf/2h/2HMzLq2us6DWSFXjhvgieDTpZX1xWm/LgzJTcnK7fNYqFxfMWckzGdua+3Ni/1h62pOVnZOUotxhIGCViueU4m5cBAcyOWMMHD3tuWfTBt52+pOcdyc8y4D58nYjmDxYuS19KT19rDZeCPzIlB767UYSWroSersYdDx++fGoPeXakOG2ZoypcHhMVNWbZgcliAp7D1t1p8Cl0YHIL3nTjcnVqM6hEipFhkpcVqJpPERCVptJh6yg91kTgMi7JJ3nCsVda169edWUcOD2UW0wmiX2lie9NZHLatX9d+bNOOA1XlhZXF3e29uGesJxMzdOfXdreWVrUc3bXzwCl1w7VrgzTKppLCTZt352QdHaoMHLOttzRDquzauyc/dd/+2hYJ4R3jyaKdOKGwWzB5cX6PrPZodt2e1NQyBS04yNL6W/7hP/7IP5nZcko1U9H8mDwPPv3UOinrtjACxZb2Q9/sTT2S31jXpzcwvOPFTIxCVrRV1Eu7aZHzV4yLDw+LjAoPD/Vhsx1SA2v6DTNj/X25uF0nPfk/xbkqTmiAAH0s0kB17pEDO37fk3uiTrK1yr7WI5IOc8XW1IxDdf0YiUbDWgeXbTKdWflP5z510m1bwisEncbv2fPbsmXhIpEvjsPT4AG44q5QIzMae9EJm1rdQARR+X4csq6ztmL7rj3lvsKYBfPnBvvQulJ2lnYZrBZXZgAAAMMAYTUYFU3VlWUSSUlB0bGS6iqZ0WbX1eYfPJp9KLu6Nr+8JCM/eW9hYVFZVUVx4ZHso7tq5Uad1aTvbe+QlEjKiyWFObmV7W0Ko1Uvldfvykw/WlhQJKmurGnuksoxux3D9NLGutL03LwiSUm5pCQv+89jFaVNylOGoSJMhoGuVklJBVphXm5RVUvtqXNPZdOqupsbUbayYkl2dkFTX4futBuKwV+QSSQmmxdBpTFJZrmqt6G4uqa8vFQiyZcUSRpqpUqLuac4X6oc0DgzmyymjpLUqp5ebX9HfuWxX34rri4pK5UUHcw7VlxS22+2mQ0N+a3yAblBo+loLEvJKamvLauSlOZkZWXnHmhTmmy6zoL9RTlpudVVkrIiSXb6PklLleL4DRZOVl1vV2d5Wd3Q4ZYUljW1N/X06duyt/5RkJdTXCMpKCjIPXTkWIfGYjpx1QRhxnrzUw8eO5hRVFNWWHYsK2vfvpLS3IrqUzJrpdKuOlSBJZJiiSSvvKCqvVPWr+mXlpc3lpdUObdVVF5XUyZVy9trpPK21rb61sYmuQFzPhZf3yIz+6uZSxK8MZzi3KBd16Xoaqnv8Zoxwd9TxMRM/X3tVQeycvJLi8vQ/5RjB3IK0yV9RquhpyWnJD8zPw/V7dKiooP7D1Q01/a29zYW7d2eUVFRVFmRVZyZmn/w8FCxo8pfWivphqH13IzR2Ecmd8TEEB0dO3p6stCkawYAYLgZhSE6iUSiUBhYZ09Xc2tpdVHO/k01GOXOx97+dtOXLz83P4IoksstdrMrMwAAgGEAF4YFXf/Sx2u/2Lgh6Y35wTPVWQVDdy2VtOLsBdNXb//yo6c8fn41t9036q5Pvlvz7+cCt1Z16vv1AVE3P/Lgps3rkbcnY0ZlW0uvpqum9sBPvQ++/99vft/27qr/TPaUVWOEDbN1pKfWqErFj3yzPXnr9uQNK1QifU5G9WBIOIQZHDLrnqc2JX30adL6VyICfZXHTp17Ku7YKXf+Z/XXSes//mD981S1YaC2ffCmaPBXJo1uoK+3t0sq7a5t4ASLhAFYbXNzxR7SXS+8tXH9hk+WBnmbco80Ec6RCc6mt9vWn0mdv+7LX7Z9v25RTKCsrAodlaGo2aFrbiqR7NwZ8J+Ptny3PXnzhuVLpncmpdRrTFYHViCncsXT12zbunXbumkqm1rSdsqd3ISqNbumvo4aviHp7Q1J62/1FNm7DlRrbEZH7W868d2vPLF911dP3fugLKOu36Q8/Vf/tkwjKfK227ds2PBqVNfG1Q3mZQv+ezKzvCm9oMPYEbJy/Yav12/4OEEtU1YdK69rPvZzA++Fd59A2/q/mdeLu3dUcWPv33jfDc+ufvr959a8sSQUY1AJS2urmk42xIXxhk7vCIu6taS3v966ZHkog8lGEbu8rLK69Av5itc+2/7T9uQvH4uez9y3M0+q6z68Z4ea7f/ABlS3t2z+5jV7c09jbrWckGlJ+b2Mm7578bOkO7x1fb//nuP73Mdf79qwbCAMK6nsGfpAwC3YbHqp9DCVeuDxx0V2e2Nj4xY0iRJdswEAw8ooDNEZFLqPz2xKQ+pbr951x63PfbaTyxj/0qJJ0T4hXDHPw9+VCwAAwHCiNSqy/7hj4UPzp9z9zKuf76/s68ec93wnzg+dlTCOxyDTxnjPePj6BfFxoSwOPyRy3L+pOIpZMGNrenrSw4mJsxNvf/H7fXn1qqbuTqx594NLJgT4edAwtr9HWMS0GRiNhnU27Q8QqG6YPUkw+N0ZOPE+T+8pWH//0OaH6Lqyj30z5bYbpyQ+8Mp7Ow5Xnz73VHLJpl/XTklcNDfxsfXfHynt0MCI0+eQ8dmWZ5Ylzl9x54M/9y97Zty4WI6qqPzAW/vfWHTLkmmJ8xc8+vanW0u75f2DVzqcRUi416z/zo/h0KkYLyLY3z/O2zUDMfW16nAZ/syiSC6Dg2HM0ISYiBl3dPRZbIQVuyEudO6scVyMSsMixidyBRNcCw3SNLbXJO/c9MoT86csmX/ycNM4jKnPLB4f4eOJsfgefnHTwnHamReDx905bdJ1UYE0BtU3InT2K9eNjw4Xn8yMqlnJjqe/f3pB4nz06RY9t+n3AyWS5oqMg3vXv3TT3JvRtu5c+cSnfxb29lpO+8CorisrciwsI9O5z0M0JQV9rFLL/FsjMObgXsilRZih+O7l832ZztsJPMMXBMbeTnR2qKqOWpeGe6K9QnWbzhTMuu0GGytapdUF+tPuvm1WANOD5sEJXhA3/6bls4QMOjkwfKmn35TBbQB30dKys7l5m9Eo9fQci17oDzSJEl2zAQDDyigM0Wk0duDsh56YJvbgyGUyzNNx3ZP/tzw80kdRn5GVm1JInuLpSaNc9D2BAAAArjqTsrWheGcW5dE1Kz9K+uDlR+9ZEIbic4cDwxgMKh2nkUkkEpVM5zAZNJxKIpOpVBoHJWE9OXub9Vme967f8OX6ja8/GBMWabfabJhVz2HSKRQKCSNRUF46HUN5bVYjhUygNQx9cVLpHAqZhtlPXMSMmTpzmhur8nw/fPGdr9f/b/X9cyeGnDL3VPraXeV9DM2k9evXf77+3SeXRgR4wxBy5zLp1kX/ef+DN1euXKz+vVEu1ZpJhEUcFHn76k3vf5y0fsOmjV9/8Mrzt0zgYa4DcyYqTmbwmDiqAhiZig7q0BXgQwi7lSDZscHZaGkSFcXIdLYNhb6o7rBwKt15tEkYhtMYJHSwT0FYbV4JYctWv7ch6eMNSes/++nLZx99apofiUyi85g0nEJBVYZModGpzsVPh7PpdDqqhiSMguN0PqqSOOVkZlTNwqcufvD1Tc6R3jZs+nzTmpV3TAv38qPNeHL1/z7/CCVu3PzZW2+uXxQqOHVoO8KKqaqqGCIz1zfMWRCoOqlrD3WTjKxx08NZuLMCI3abBXNY0H8DtEGUQMEZVBobs9kIq8nBpFLQXqFMaF8YbCZGwu0EQaWSOGwGlURBH4zKwBksJoNMJqEyZVIop5UHuIZsNn1Dw+b29mSrVenrO37cuHvQC/2BJlEimgV96QAMO6MwREdfgwKfSf/615OrX1qzZs2rq19e+a95YwRCBosTNmH6zStWPzIxhI3DNw8AYFjz9/dfsWLFKBkhCcN02m5Fa5pDNDtxxg0Lp0T7+ND/1nPNTLLqfp2V4jdr8cIliyeE4DyGFmPiHBM7LFeqsBhNGGZW6uR9zU3oJBjz8B6nNLAqGpyXpKPYv78tT6tpxTgnB2TSyyUD8jpH0C1zr18+NyHQS0Q918Xr6s5MtcnCj755UeKiOVF8OpuCNgXOzjc2fGriDctvXrJ8/nj1j1Jps8ImpnAi1ayISfOXJC5ZvnjJvBlTwr3pFjIpVz6gUGsxu25A1Vicb7NccOh3Gt+TYeMRB6t6TVZ0CCzyTmlfU5EHn0Imn2sgNBcmh+0weVEwnwnLFyxE+7B88dSEiT6XYXQuNifAxgoneY+bs2T5IuenmzU+PsyXSfY2yjyi5k+fN7itObPmhQjo1JPRv91q6S0voPgI+IE+bOdAeyZD4/52O5vpExbje3KveMIQjBaSX16nsljtGKbtq+3vLiJ5eLD8o6gVMm19T79zWYuhsbiCbOlhMxiu5YaxEd8SGo19KA5va/vDYpF7ecWGhs738AhHL/QHmkSJaBbKAPelAzC8jMIQHcNIOMaNnn3/Y0++9dZbzz/2wrJoHyZOtZBwTz+vyMh4Op1EIh1/og8AAAxLfn5+N91000g7MbVbMXlV5bH0jNSUtNTMzMxWmdk2OCAbiUqm0jBSc3HG0Yys/PLGroG/1Wtkp9N8DDJeTU5aempaWWO9xqBDMbcPO2SurCkzLWtfStrR3GM1HTKN85p5UdgSNpXaXfrLvtSU1NSU5KJ6JUEKCxS41oXgVIpVQ6o6nJW+N6+sprVfe86doNNwdZe6NB19ksKaNqnOBCH6+VE4fp4xSx8e022SlHf0im2ccG3VzxkZyQdQTcgpLm7tt1IIno+6uzTvWErK4ayssoaOLtuFh5XBRWPEgoDA5sPpGXv3p6YcyCgs7tJSJwaxaZRT+trPhukd6IF5mSqy/0g5eADVxpSiqobey9FVyQ+azyBhJ6pZWkFNvZLKEXDjuY3laakZqE6mpuQUFLZrMDtB5wqMA72VZQW5zQplVaHST8wL9OdhhMmqapH8ua24s668saLY+Z/F+Sqo79Kzxwu9xp4oupS80pp+49iYQH7EvBB9r6LkYDLaaFrqvswGhZhHDxCOgBB9ZLaEx6HAu6cnq6lpm8EgFYujgoOvQ2H50Cz0B5pEiWgWygCjxwEwvIzKEP0Eh9Vq0AxIpT1SqbQhK/mzt55e8cR9DyYXDhj/Vv8LAACAq4dMtttYnbt/++y1155d9fyza95cc7hGTTgYNBrNSxzuNfHe9p3rVr/57Jf7Sqz2oMksnESmMNhMOoM2GG2RKAw+h4aiaOeaqGScw8LJvNg5Qdpe/TfPP//6y89XWf1IrIlMrkfgxIk3Pmj69b2k11c9/9kfu9ps0fM5TDqZ7Dt7QSQxXfPF28+uWv3sqvXN06hjbl4Rc7KL0iN0ricvtvOzVWtWr9pcorNgfuNPf8o2mULF2Ry0XwEJd7IUmqKPVr3y5us7e/x9UKQ4tJPgVM5L008eQSqDH7r0HY/STl0bUxg780nvH79/96mXUU348JtNhxpMdG7I7GewwoN73l31v807s5hzbuLzg3AKlcakMTkM51XsaB1knEYbvHidTGZw6FQqzgoOmhC14t7235w1Z9Vrv1TXOGZ9sDScz6DT0IaZ9MHjh5bEGc5qduoxCoi+8bZJS12H+/lnVyXtTClXUEk4h89wXUtPolApDA6DQqac7O0mYziHzaAxcJREJpNoLD7TeZn7KZl5MXcsncA/Uc2e//z3FImZP27BojcetOwerJPPrvrw86+yu8hmOz84ztxRu2vLp2szGuoq5dM86J5eKBS1qox9KDBvyfju42/fdeYfen2enF9uCY+OCD1RdGsP2+p9n3h0qifba+bCu2h27a71aKOvv/l2eXziuPHLYn1xnMFn44MXxZNxJgMdDNfz0yhMGk5nQJ29pobGh2ts3KLTtXh6RkdGLj0Rnw9BkygRzUIZYPS4kYQg7DaryWzWmUwa9DIaVEaj2mR0/m0yaa1Wo91udTjg5qnhjeRw3qt3UkpKyqpVq4qKivz8/tHjat3C2rVrw8LC7rrrLtf0BWnrJPt3ffxcUi6GmQmzUafX60J4fqs2Fz08248rdGUCAABw2UjVhunv/4neX7h+4urESa7Uv4VwEBajQmUgiMGxu6lkMosvptkt6C8UFBF2s3ZAayYcKAoj01AYhrOZZLPBQqJQqGjKQRBmrYnMolNQlE7YHHazEUMTdrtBZ9QZjCgIYbGZBJVBx3E6GbOZtEq0LoKgojiOxiSRcS6LSiY5LFqTQasd6vJm8DgsJufUsM1htZqMOjUKzlE8yUSbxVFIfkqUTthsdrMZY7EoDqtFj75yTDYSitLY6I1Bw10/Jfxz6zJKPj5U6sdn5b9yC3p3pQ4r7+wteWdfqQ+PlfbkLejdlYo5MMKsNw8dQVQ46HTFZlIaCefd5SSSaUA99KQxdNCYHBRJklFmldZosaIMNDaHasHoLBo6ZoTdTtA56KiS0BGw2OwEhtNxzGywUulozRTCerzmOI6vCsXwhEVvdlAoFAaNOrRdk4NMppwWpZ9yuFEOGpPLYjFpDrOWYLBwMoq7HXYbYTVbcTRFckXpaBM2g56gOT8RFZ1C24xaO86iUVFMf0pmzHpKNUMhPZvJPrVOOm+vZ7B4IibaM6tObzBoeyo1jXsOc19ZNM5rjIdzw8QpmU/A2QI2k0nDzFbj8aKjsegsjnCwihIW56pQlcRIZIzG5XMYDKqzwhoslKG6bzNZUdlR2M6B50g2o8VBIVC9Pe03qJNGQJ10fw0Nm9va/jAYpCgIT0i4l8US//X+DNRYGgwKiWSbXF7HYvmFhNwaGfmwax4YnlB8rlH3yvrq5bImnU6B2hGjQUlBX2zOESJw9PLxjfEQhwqEAUwm37UMuJJQ1JyUlLRu3TqRSORKuhxGYYiuMw7UZDz32f4BTbdVo+rtqi9vVqAaj0XPvGnFsn8tmegZMn5OoIhBdf1UDAAA4PK5hBAdnN3IDdHB30KYVGZVu4we68lBIb4r8dqCEP2Kstn0LS0729uTLRa5WBwVGbmUzw881/gJKEpXqzsbGvYrFPU0mmdw8IqwsDupVOfzLMDwolJ2Sbsre3tqdVq5yaTBHATV+SMyTqXSCAeBQnfCbrPZrHbChuNMFlvk4RESEDTByzsSxe2uVYAr4AqF6KPwQnerzdTXkp7W1E+lh868/ub7n3jztTefv/P6sNj4sIkzF81fvDDUG+JzAMAwJ5VK9+zZYzQaXdMAgBGKzBAwfRKChe4Sn7uVkdcS/nV8OKEw9DzjG6JZKAOMHjd8odhbrZI21h+plKQ0NhwZULRQKRRfn4jw8BnR0ddFRM4KCIwPDBwXFjY1Kuq6qKg5gYFjuVyR2ajq6iitkqRUlO+Ry5qsVjgZGGZG773oHO+QsNgJE50mTBw3xp/HGgHDogAAwJDu7u7kZHQeBt/Kl5WpXy5rP9KmNtvgNj8AhoER1hKeZ3y480PZYPS44chqNQ30tzc1Hq2u2t8jrcCpeFBQQkjIpKCg8WLPEBZLQKez7Xabw+HAqXQmi88XeAcExIeETAwOmSAU+qpUnTWV++rrDvX21JqMatdKwXAwCkN0MpnC4Hj7DBTs3Pr+fx958L57br79pgfWbimvbdQr+3tlvX16kx3GWAAAgFHP5hyiRKm3HP9GsFn6qooLM9462q42211pYJgjbDarXj84tpLNYrGYTIMDHYwKNovJbDxZvYG7u+D4cOeHMsPoccOL3WZRDnSg4LyifLfVog8NnTxp0i3RMfMcDntzc35e7tb09M8PH0oqK91TWrI7J+enw4e+PJr1fW3NYZWqR+wRnDD+xnHjbuByPZrqMysle6TSKhTwn3GDM3BbozBE57LEc+46kL6rCNn7xydPPYBhg3fkVB7+5dWVC+9YeMOObIVBO5gVAADA6NWZseW3XS9tL1E5xytB2iqrjbr2kE23xYhY57ysFAwvuq7O6t93VBsMOnR8JZVHDre5Zox8bZVZueknqzdwdy0tO5ubtxmNUh+f8QkJ9/L5ga4ZfxtaBC2IFkcrQatCK3TNAG6pu7uyrPjXlqYcH++IGTPuCQwY19khOZj2aWHhru7uagaDPWbM1LixidOm3z1j5j0TJq4ID5/l6RmqUkmrqzKyjn5fUvwnnc6ePeehyKg5WnVvWfGuhvpMm+2CD6MEbmEUhugGk7ri8EsvHCnoUtLixi958Mnk5F+Tk5O3rXnq+hhPZy+6zmQ/bRBUAAAAo5HXpEVz5628PpKDDT6xS8vxi4kZv3R8KBunOB9DBUYC59OL9DqrA33vj75edKPJBL3ow4HNpm9o2Nzenmy1Kn19x8fG3nrW8dsvCC2CFkSLo5WgVaEVotVCX7p7knZXNjce1Wh6I8JnjB27SKfrr6k91Nycb7NZYuOunznrvunT705IWBYTMz84eEJQ0Pjw8Jlj4xdNnHjzrNkPTJ5yq9gjSCZvLi/f29FRHhg4LiJiJplEqqtO6+wogSvehwXKmjVrXH8Oamho2Lt378qVK7lcritp+MjOzhYKhWPHjnVNn53epKw9/PInvVGJntFxEX4iz6ioiKioqDFBfl4BQeFxE+dOmzkzwIMOox8CAIYxqVRaXFy8aNEiJpPpSnIPWrP1u5w69D4zzHdW2NV4dIhFXl1XmPLjzpTcnKxcJQ1j8YP4dMxuweTFv+/ZvXf/gdzaFgnhHePJIqR52YdTdu05UFBS3E0PEzEMJAwnkQTefBSR99b9+mdOVmZ2XWlFaYnFI57Pott6qnsbjrXKunb9ujPryOFOLUb1CBFf9fLOa+nJa+3hMvBH5sSgd1fqsJLV0JPV2MOh4/dPjUHvrtRTmfpNveUZUruy/I+iw8nJB6tKJQ6PWC8WTdmTk5Hzy47dObm5OZ0WvpgjoDsUvU1HSuXm4v0HKtsGNBZdZ90Pm3fnZB3NaZZb6GwfL/4pWzApBwaaG7GECR40raLTpNczo2M8MMzQmb8zM3X3KRuiEKdUJJVS2a6nym1sX6ZRVvpF8v70A+lZ5U2dA+zwAD5OVdXU9bQXlVdLd/+x2yQW89miwQeK2y3as2Qmu37ucdiMxuYDf6bs3ZeafqJO0ihkTNveJMn87udfXRWYYuLaVDVSupiPU8gkVL1l0oYGWxCqeBRVde6RAzt+3+OqwFyGo6/2RBVVkL2ZdJuxOS/1h62pOVnZSmVXB8F38EKnBzMxQ5fr82adWJZj7jyx3TarkMYRidl/97mA7lMn3bYl/PuMxr6urtTW1l+t1n4vr9iQkHlicSSJdJF9bGhBJlNIo3FsNoNG067VtpHJdCbTC8c5rhzgWiMIm1LZWV+b0S9vEfC9x4RPV6l729tLNWoZj++Fgu2Q0EmenmN4PC8mi89gcGg0Jo4z6HQWk8ljsYUoncsVs1lCCgXXamRKZTeDweULfBl0tkLeqtX2cbheLJYAhnm/XK5QIzN6h4vrqinKy0g56VBFi4XpNTFu3DgvAf7Pf5kEAADglgiTUimtl0hK0CuvIKeqtU1pMlnV7dX78vLyCgtQel19jUxjVbUUlxYcyc8vlpRUVFa0KowGTWtXV1ddp95uVcuq90jKCiVlVfVluWV5B9L31Lb26OUd+ZXHfvmtuLqkrFRSdDDvWHFJbf/QU7LBZWYa0Lcd3fpHVk5hYRUq74K8/PS0PfV9PXqtvre9Ax3E8mJJYU5uZXubQq3tra/e99PRivLiiqa2bln/QG+PpKQK5SnKyy+vq+zSudZ5DoTNomkraWkoRhuSlJWUF5Yfa5QPqHql5aX5ezOzJSVlkpKagl9zS/PzO40OwmqUVzbWodpVUFpUVJTXqDDbrAPVJcfyfttbWFcpqehRa46PXHD2zEPznHPtNnV7S0MFqqjFJYW5Rcc6tRaTqb+3sqo4NXdou5KO3t6BLqW8uaRBb7E5K5pVXtXTmF3SY7cYe1taGssrnIs7d7s4v02mlLaerKIdMnlfe2lj/p9HskvKykoktfU1/Urp4E8D6rYDpaWZ+cUFEkl+WfGhI7vyGls7Oyrra45vt1E6oDJBd/s1cNHjw50fjB7nthwOh8VibGnK7e2pZrH4AQHxdrutvi4TBdtiz5DY2Otj4xIFAj8qleZa4GyYTH5gUMLY+EVjwmeQSOS21hKNps/TKywwaJyst769rUil7HZlBe5q9IboR35495WHVvzFE/c9mFw4YLzAFzgAAIBhghE4Y8btbyZtSPpkQ9JLYUofZWWVTKZtzfr2K/LsW9d8uT152/oPP1/ox2n/dXONkD73te+2J//43ZbVC0PDRIOdDA6zRdOS892nmjl33ZWUvG3Lls9eX0lsS29p7JI7ertt/ZnU+eu+/GXb9+sWxQTKyqo0aInB7YLLy2Y01/6Wa4p6/M53k39KeuH1f3dtPVzT2MOPvPmRBzdtXo+8PRkzKtta5ATWZyXlNDDuWvnyC8/cf/O82ctv//7HtZ9+s/69G6ODHFXlHeeNNQmbUVn/26ZeryVzn0xa/9F/X3yClJPZ0F2dVZqn7Vbf8cH25C3bk2+fRvhQ6lBuKkMYuiTphde+37hh49O3Lg0uONRmMukcWJ/ErFTHz9689Zt7pk70dfVPnivzEDKNzZu86pnV6z/fkPTegzfdp91dpTD295UeS29v6JgztN1tT956W4zYtcApHISZkB35rdzGjr17PVr8jTfmD/wq7Wlp15+soo8vjaR3ZLf0qqauS07amrztjlnjfKklGGE1Khp+e7Wav2jO87u2bd+R9PFLUw/taa8pOHSwt78x9rmkXzdv2/PWvfOnB8Jzb662Sxwf7vxg9Dj3ZLdbtVpZQ90hKgUPCZ3E53vX1hzWavtDQibFxy8JDBznyvc3cDhiFNJPmLDc4SCamwv6+zuio+eJRAHtLfldneVoQ658wC2N3hAdAADA6NDXlffzt/OnrJg/5aF3v9qV2ybrUqi6Sogn5wVG+HgO5rBZ9Q0VW6aN9ZgZN+bMyz0tKstASwHxbGhgdDgKjmiejIA5y+/uZPJ1ekNIuNes/86P4dCpGC8i2N8/ztu1ELjsaBzu1GeemD9pTCgbw7lir8gZ03uUNL1poDU9PenhxMTZibe/+P2+vHqVVocFM2kPLpsV4Ofh7Giy9tc073n6jhWzEm9e+d6m5PK+/vMOkKa1GiRVO7K++88Djy6bkrh46S2PvL9f0lhTU6iMonPunBaJIm0MCwxf6uk3xZmdMGP9mb+svu/h+XPvfOyFT3OaWnpsZgsWNDdq2vHMJ50j83E2DKs98tojq+dPufnfD7z6S25jl1nRUGE8Zbvn4rCa1bU55X+8+d4zyxLnT1ly4/VPfLUnu6pfd2oV1TS2G6LknPsWRGCMwc8wwdMv0fl5O6p23BMvjI8LZWEYl8GNWfAMjnuHcKI6DEE/vb4hs11rhnP5a+LSx4c7Pxg9zg3p9f2tzXlGoyY4eCKFTK2vz+7tbQgLmxY2ZppA4OvK9LdRqbh/QDxaFv3d1laq0ciioufR6Cy5rFHW1zCUB7in0Ruiz3vojfd/SP6Lr7b+uGKqiAl35AAAhrWIiIinnnpqOI4qcrnpOvNLGuvUPm8lrVmftPbpm+cl+NjtBGEzYzwGFae4bq51OKwWHR0n03H8zO9FB+Gw28wOHjrXwVFuEjprojM5dhLZQRBUnMzgMXEyiYSRqRQKxZkB/EVBQcHRo0fb29td0xeFRCbReTwGHaeS0N8UCpVOtxGYNDulWZ/lee/6DV+u3/j6gzFhkXbCgVFJJA6LgQ4ICRuormiqXau54Zk3P12/8d3/Lp419QIjwhIOB8Wqv3H5w++++WnS+k+/3fDJ1989vWhqIAfHMTLbeaM8CZ344kwKBcX/OpOqPvXlVuHUhx7Z8M3/XnvikYU2Bu58qhGVjtOPZz7unJkHWS363uLvdhum3nLj2qSP3n7lxTvHohXYrRbHKds9F4fzInpzyIKH7n/58/Ubkj75dNNn3+x4eNGkSOEpVZSw2gjcTuYwcMw53CEVp5EpTIzAHDaLnkMj05wli5FJZJzBI5EoVHH8v5be/cwrk6X7n3vgi22Z+Z0m18aGFXdoCevr6zMyMurq6qzWv/tbx+UaH+78YPS4q8ZkMh08eBC1hDKZzJV0NuibSaPu6Wgr8hQHizyC9HqlXN4sFPpHRV/H5/uQyRfxBUOiUmlhYVP8fKMNBmVTY56XV5inOESnlXV1lLmyALc0ekP0gNgpMxOX/8X8xQtDvdFpmysXAAAMSwKBICEhAUdRxWinUlQp5Q3CwGXLFtywIN6fIaSaKAwOSxRCOlTX36ceesQmmUL3CZzV0q1v6u47MxChsqgczzHkNMVATx/KbdNYBhrL84UWA51Od2UB56fT6Q4fPpyUlJSamqpWq4mLemqKzWZvaeno1xss6HxX09PbmEYEeWL6Fq3OSvGbtXjhksUTQnAe44xnplpU7er+LiV36pz5SxdPjfX24ipdc84FJ1M53HAZLTQyYtLixUuWO9c8MSTU10+vt3V09xmc8TDW31ehVbViNoNF01HSRxHGTZ+1ZO6MuDBvGUY514e7QGazzShr3KPH/SeOX7p49pToIIaGQiIY4kC8x2YqaOnFsBPP4jfrDLKWTh0qEUzRV9/SVtiJQmoWz8uk9OSLx09G+zz4ig/1Fp5aRZkctlZLb+vs1mF29BkG+tq1qmqMQaF5BEw71qnvkspR0Rqtpp7ag3a7GhP4RIZGX584KSY2ginrV/fKh+UtgO7QEhqNRolEsnHjxt9//72jo8Nmu8BTA4zGPhQtt7X9YbHIvbxiQ0PnC4Whlz0+H4JWi1aONoE2hDaHNoo2DfelX3ao0VOpVLt27dq8eXNeXp7ZbD7r88lNRq1K2Y3iZz+/WIfDrlRJCcIeEjpJJArA8Yu/04TDEfv7x3mIAvv6mvS6AYHAj0Km9Pe3GY1qh+NiWmNwFYzCEB2nMrzDFi6OGOPtAfdVAQDASEej4jatsjpnX0Zabll9p0JnorA9eYHTonpLqnIOpKSmpGXnZkutwuh7KZqm2vxd+1NT0g8dLO3QaIbGx6JyaILQGRE9fZVZmSkpaQf2H0o/1mKdwGV5CM43Xg84KSAgoKen54cffvj666/37NlTUVGhVF4oUv4Lwm7V9DXU5h3KTk3Zn5WT0aIKmxwm9vMINMh4NTlp6alpZY31GsMZcSSB4xy7MaolPzdjf1phhUR2wQ3TqUzPiJvsqubcgt170o5XBgsvhk8x6Ov/3JeakpqaUlxV06fSYgSFRKIxEjrbWo7kpGblHmvpkmP2E5H0GRwXyEzCSGwas6e+ND/zUHZeVVOf2mZ3MPzG+1MoeHX67sHtplU0N2lwCmHBOv44dCjlQOqxwpLWHpmeTKUxA6Z76aRdJQeTUbbUA2mpta0y/WlPQGZ6B/KpQl3N3r0pqQdSjpcGk8ryjfmXXds29Hl3ZxzaX9YdwWNQKT2SyoysrLI+UsgED7GIgxsNGkV7da/RaoeT+n9ELBaTSKSff/75q6++QkFaYWFhX985Y+ArND7c+aFNwOhxVxSVSg0PDy8uLv7+++9RlJ6WltbY2GgwGFyzj9PrFCql8xc3H98ojUamUfeh6Do4eMKlj74u9gzxDxhrtRq7u6s5HBGbLTToB1TKLoI4V4MFrrFR+NA1KpUmDph1nb8fl27X/oVRb8CoTJzsvCYMAADAZXbVH7rG47BbpYo973/wU0aakhciEsbN8PCbEO0vDvc5tH3X9l+27jxY1VbEn7p86sxY3U8VGT999f3eIzl5ff6J0R5GB8G0kL2igkR+YT6SbduSt23emV5e1CC+8aP/mx7jyVK0aI1GR/C0IBZGJVlUfWqzBfOMcA6rdTW/Qdz/oWsoRKmvr8/MzETBeUZGhlqtFggEKJFCoZCdX7ekv/HQtQFrf3Wdkej7/aeDO3/+o83aPuXddxLDQ8eIDDlHJF+v/zzn6EGv+Mlmr+vGePOFuKa5nzcj3oNBY/OZ9p7Ozg/eTMrYt5fmLaQELxV5B088eYwsGo2mp5sSGy+iGdR9NouFExUX7DcxXrdj26Ht6FT6eGWIGhdHLTCVbXz/s73paXsp3Eib71yeb9z0ULFQtmbrjuRtO5Tt/bz4f2GCqLmBhFRuZhkZ/pP8TukKoLDIOPcsmbkMtrN/lEYhM718MrY462RxSzc2Zk4MHrAgwj9ojHeX2lmBv81I23vQ7C8KSpjprcU71qz76sDeFDo9UBh7ayRJMCt2TNQk7/L6ot++/mrLwbTDB9NoflPDRMwBx8kqyhN7W1Wmko/Wrjt0cO/B46UROjXMNyJes3Xo8x48VtYa+8r6eZMxXcrmne9+8PnBQwezqBOWLJg2kaFrqd73c1vg9BAW4wK3dIyABwFeRjweD51fpqSkoP8F6Ey1vb2dyWT6+/ujyj9U/135Bq9v7+pKbWraqtO1eHuPjY5eIRZHuuZdYWy2J3oZDPKBgVqdrgPHuTxeGJkMP0NeHqit8/X1PXz4MIrSS0pKjhw5YrfbPT09UbSF6gCaO5Str6++q6PUQVjHjVva1lqs0fR5eY2JiJh10c/YOwHHGVarSSqttdpMgYEJZrN+YKCTwxV7iEPg6WuX6Ao9dI10xoUWqAVZtWpVUVGRn9/VeFzt5bV27dqwsLC77rrLNX12an1f4Y4bntvSN9DkSjlVuMj7358cuGuqN5vvSgEAAHDZSNWG6e//id5fuH7i6sRJrtQryWEzmox6td6KYXQmA6PQmVScyaAQhFmj1pnNNjtGoZFZfDGLSpiVeoPJaMHQ+RCN68GhEQ6CRGBUBo2EEWa9Smu0WG0YiirpHCGPTiVjViM6zSLoHDoZxXuEzWKzExjOoF3l69PWZZR8fKjUj8/Kf+UW9O5KdTO//fbbZ599huITFJCwWKzg4OAFCxY88MAD48aNo9Fo7+wteWdfqQ+PlfbkLejdtcypVI2qupQ13Ytvj+ZHe5Btxw8ZmWS36HRGncGI4hwWm0lQGXQqhUKyGSxkrnM2GbPbzUaDUuO8QJ3BpJFpTApOZ588RoTNZjebMRaLQrLbLARBkBkMdLpsMynVBrPFgs6ThioDOt52ncmg1Q7eCNGT+XgdZRot4eVbIx02g0JrsFvsaMM4k0WQ6Tyaw2wlyHYSfsp2nBwO+1kyU8iUoRjNcaJOkqgUKoNFxnAek0omE0MVeHBYOQaPw2KyyFarcUBtwAgHk8Eg05kUB5nDpGIOq05vMOhNtsHfH9hcIYtGsjpOVlHnk9nNJr1Saxxc1YnSwMmnfl4yxVm0uMNuGCxY53J0Np/LtDVU1zX9nO/76kPjhRz0X+J8hkWdvJpQVPbOO++kp6ebTCY6ne7t7T1p0qSVK1dOnTpVKBS6Mjn7yTa3tf1hMEg9PaMTEu69EvefnwdB2AwGhUSyTS6vY7H8QkJujYx82DUPXA4fffTRli1bqqurUUyOmsHo6Oibb7751ltvRX8MZaivzairOYhT8anT7sw/9ovNZomOmRcVdd3Q3EukkLeWlu6WyVrmzntUre6tr8sWiAJnz32cwYAxay4JipqTkpLWrVsnEolcSZfDKOxFN5o1LQUbtmVJ+1qHOs5PwyTI4258ZHwgl345fwkBAICrq7Gxcdu2bXFxcSj+cSW5h6vei45CDhynszgcLoeD4hkmDcdRcI0CLxKVwUTJKJ3NYtMoKIFMZTKYKBt6cZg4hTI4AhzVGT+RMBKVxmSzBmex2QycQiKTMDIFp+A05+hlQ9tBmQdzX2XDosfSgMIOqRSdyqC/rVarRqPp6OgoKyuTyWQeHh7lMkNOs+z8veim/sYj+rFTI3zCfIUnDplzGAEag+E8LlwOnc5g4OgQOA8EwzV78GZbGn0oA4PJpNNwNGdwlUNIZLSGoczOvizqYOVAZ0dUJos5tNRQZdBXF/6+dcunSdvT9h5M29vGnRWasHRmuC+XhhbnMNkoG4vFptNoDJyMagLaDerp23FCVewsmU/kOlkn0cdjorloDWjuKRUYfQS0r2gZKpXOZTtTUJVGn5mGU9DSGIlCozPYrpwcOo2KPtGpVdRZWqgeH1/VidI4/fOynT9HOD/EiYLlMOk4haxu1mhUUuHUqcFMunNgufNxnzrpJi0hqvNqtfrYsWMoRLfZbHq9vre3t7y8vLu7Gx1BFLFjmLmpaevg+HD9Q/3nXK7v1YzPEWcTSGXweP4Wi1an60Ivu93A50dCX/rlgto9VCGRwYefW1QqVXNzc01NDaobQUFBqCZ0dZbLemu9vSM4HFFXZwWLJQwKHs/heLiWvzQWq0mjlcn6mgKDElDwr1JJKRRaSNg01Jq4coCLAr3oF/b3etGNFm1H2abkIp2hfyjBbsb6yn5JLW7oUHB8p42/ce0XH82KFEKIDgAYxq7Qz7qX7ur3oo94Qz2WXLL9/zzk3HMOVnaNyeXyioqK7Oxs1/QgHMcjIyOnTZvWyIvKMwnP14tu6jcpGo/oosYHcH04VzVucTG21x0rKCms7R6c8p9286SxMdGeoyl00bYrtboWSly8GKNdaGBp96mTKAa+EmfP/5RWq21qajp48KDROHgJw3HorHXixInTpsXEx+M2Wy7KOHRb+FW4//w8ZLKa9vaj6N1q5dTUTLJaIYS7PLq6uvLz86uqqlzTg3g8XkxMzIwZM7hcLo/d4+9LREVdJ/YMLS7+XcD3TRh/o0h0eR62p9cr29qKCwt+nTrtTgdBtLeXOkiUxMUvMplw3fAluUKnW6MwRD+NVd830Hy0/Gj6m19X9trIk5deP+/O5x+ayOVc7QsVAQDgcoIQffQYCofodtMsWTaDcN8nY8lkspKSkr8OZ02hUEiTljkm3ni+EB0MK+5TJ1UqVVtbW2xs7DW/nshkMh07dkyv159x4k0mk6Oj2ffcIw4Ksnl7R0ZFLQsOnuOad+20t2fX1+/t6Gj49VcSmRxKo/FcM8ClaWpqamhosP9lVEkqlerv7z9/rv+i66OvUIhuMmml0pqjWZsTEpZScXp3V7XOoL5xxdss1slbLcBFgBD9wv5ZiE5YjDqdtCIld8fDr+z2sNru/Pfq+1Y9Py3cNRsAAIaxUROiExa92YGCPAbt3F2rDrvVaDFoCaaYQaVQLvQDLMpNWPUmMo9BJV8w8zn8nb26bIbFfb8oMt+/f/+99957aohCIpEYDIZYLDbGXq8MnXlmiI6y2QxKE4mK42zGqc+rt9utNpPBweDS/9HYroRFZ3VQHBQmg3LqmikkdD6gUBkIOs6kUmlkvYUi4tIpbj5q7GUpHLvFarejDz6Y15V2WbhPnXSTlpAgiI6OjkWLFrW2tp76KxWdThcKhVOm+N93XwCGNfD5PmPGLAoJmU2lXss+f5vN2NaW09x8UKeT+/rOjY19QiC4lr36I4bFYvnwww/ff//9Uy+mQF8UTCbT29v79ttvDw228tiqKxaia7q6qnOyf0gYv4xGY3Z1VqrV8uW3roUQ/RJdoUZmFPcVq0rSN7z0zG3Pofg89j/bftr/+usrJ4S45gEAAHB/BIYpK7bvK8wq63SlnJWhv2F/xkc3bC9VdP2NRztb+2t6jrz3e5Xm72Q+m7+5V6NLW1tbWVnZGV2IKD5PTEz84osv7rn7blfSqWwGrHHHG9/u/iar+fRD0dfVUPT7hswerdnqSvlbdBU/FBamH0FH5bQ1a42K7D/uWPjQ/LfWf7z510Pb7tiQ2fwP13wNXJbCUZQ1lO37JFepNcNj1K4shUKRl5enVCrPuIpkypQpb7311hdf7Fq8+JOAgPlGoxYFxs3Nh1yzrxG0A2g30M6g+HzcuNU8XoRrBrg0VVVVDQ0NJtNp15Wg4PzOO+/csWPHCy+8EH+B4bQuidVq1mj6CIJg0DmE3WaxGHl8HzLpQnetgGtkNIboNuNA054HX1r9wjtbJL1+yx5et/XNf02bEesp4F6N7g4AAACXj92iN5qN5jMvnj4NnRc4fdJdH14fwff8G11TDrvVblLrrcQlPP357+zV6IJC9MrKyhPxuUAgmDt37nvvvffqq6/Onj371EGtT6LQsYAFDy+bvTzB7/TjZrdbzXq1yX7GdYAX4rDozGajyX7amnFlt7o2S3fPmgfee+jOO5fOm5T49h0T/Fi4u58PXJbCsZutFqMzr2saXCn9/f0oRD8Rm7FYrLi4uNdee+2NN95YsWKFv38QlxsYG/ukn998m83e3p5TX7/XZjvtrvWrA20UbRrtANoNtDOxsU+wWH5kMjyU6/JAbSBqCU/810TB+W233fbOO+8888wzqD54eHhwuCIcZ+r0A3Q6m0LGrTaz2awfynzpbDarwaByOAg6g0PF6Wg3nOMRuvXFQqPa6BzRvSFv7Ts/ptWVdlscLBaXT1bW5BflHc1yqioqcYjjvdh0eEogAGAYu0JDjF66yzqiOzrRMXQWNFspGoW5+c+ff83NyWqzCmkcEcfc11ueJtXI9u3fW9djwhj+LJ2eEuTH1tU19bQXlVdLd27dnZN1VEnDWPwgPt1u0cpKv0jen34gvbquttVClitECyM99brijJxfduzOyc3N6bTwxRwBl6KRnljzwdQDte09Du94MROjkBWdOYOZC47lSs2qRhkrwFscHSyyGY3NB/5M2bsvNT1XUl+u5IQE8BnUi72C/myGxYjuhw8f/vPPPwcG0KknfcKECcuXL//Xv/61cOHC6OhoNpt9tLH3bM9Ft2M2udrEZTM4QrreJKvI+GFrWuahI53ttQqC1o1HzAvnMOzKusOFqVt37T+Wm2PGffg8EdXa29t0pFRuLt5/4MDB1LKmbgsrwBNvP7Bn7960/PqaXl033TNGoDda+Wxrv6L20KYtu0pUDJPA28eP6cPDLTYPPyGNSu53HdCcoTXb1DW5heeuDHU9BqpHCKoJTsb2uvbOcolEXbJ114GsrBaLhcbxFXOo6BNhvXW/7cpITt5/SmWwyavrClN+3JlyvAJzGNra6tRvnMseVWoxljBIwDylIjlrnVesmCbXmc9XOLi8IO9wyq49B3KLinJNYm8+W8TE7Tqpojr5x19TjhzJ7OzsUBCCLjx8XhiLQT3+eQsKcqV0gYgr4Jg1TSWFmzY7/6e0nfgIg//p8vO6B/QmnhcfP2Ny8OO7U510k5awvr5+06ZNvb29ZDI5IiJi8eLFd99997Jly+Lj40Ui0eDT0SkMhieNxrNa9Vptm0bTgQJjJlOIAjbXKq48o3Ggs7OgtfWwzWbz8poZGnqrh8cEtGOu2eCSbd26NScnR6/XoyBr5syZKD6/9dZbr7vuutDQUBzHSSSSWiVVKjutVmNY2NTe3gazRc/hiMXiYNfyl0arlbe2FqOQPDhkok7bL5e3CkQBAUETqFQYsf+SXKFGZhT2opts5p6OPLtBgf5W9LQc2rl+zf/eWXPclx99kt+gNbvveDsAAABO09Ulqy2uqJRIiiSSQ9l7cyrKu3r6Wlvzkv4sKsstK2/p7OntGZAW50stZtNAdcmxvN/2FtZJiiskeUeOHC2va1Ma9CZ57YHMA1kFuaWSiqqaptbuPucjzjGTvre9Q1IiKS+WFObkVra3KYwm5ck1S0oyC49lZRb1ai12bc/R6sIDRzLzJZJSSV1tc6dOo3MOSWqS12fk5OYUFZZKSooLjxzN+rWoU6Uyja7ripVKZUtLi0wmQ2ei6DzmwQcffPzxx9G5aWBgIIVy7gCAsGH62rpWWZfcYFK1dhZuO3q0oLi4RFJdU9Xd14phNgzT99R1NRZW16JjVCIpLC6o7e4YUGt766v3/XS0ory4olxSkJ17LH9PQ7+2v629W97a0treWl8jU1s1Nc41Swe0Klldm6K7sbyuBVWbdoW8uaRBb7Gh43ykriC9MK9EIkGxdrdMo1KdtzKgaqYyu3YcM7bVFR5LTz5SU4cWL8nL/rO0VtKtJ+xWvay6qkVSWjO4nvLKkuJunWqgq7GuND03r0hSgqpUo3SgV9re21QwtKykqLiosqW2W2HVdEhQnsGKVN/YJDfYCO0FCseu6+lpq0YrKSsryj52tKmvX2fSqFrrinalHy0uKpaU1NRVdPd1De6xWdna1C4pG9wxtN2CkjZ5S0d5V1VKfnZJeVmJpKmrR+W8/mDwdzGbrrW4rr6uUm7FHHbM3FVZVlHXJNXBRSPnoNPpOjo6GhsbPT0958yZc++996L6/9BDD0VFRbFYp92o7+k5LSTkZvQ+dMV7T08ZCptd864wtCG0uaHr20/shmseuGQEQaAGsKGhwWw2x8XFrVixYuXKlatWrUpMTPTy8nJlwjAmS8Bg8lH87HA42ByR1Wru72+32SyD/+8uid3u7ELXqPs8xMFo5Tpdv91uE4mCyWT4CcZNjd570Zk8kdjbz8dLJOKSyVyRyMvHz1ss4rlXdxMAAFwcGo0mEAjI5NHQyBcUKrXdfvds2/7ntu1fLFc263OPVWvURkf9H9rYu55d/+rKu6ef0lvfJzEr1fGzt+/5Zvsva8bY/BUN1dIOZW1KkvzRJU9v2bz9k9efmu3bX0UhrBgWEHXzIw9u2rweeXsyZlS2tcgJ7OSat/3w1X/uuL4v65jKrG/O3N7G8Rjzvx3bfty67bH4UBtT24cR2o7+6t//VzNx/qqNm7cnf/f2A08FbNtf3NU5gE65RpHa2tqenp7g4OB77rnnq6++euyxx1Bw4pr3dzj0/R0VBQcPBj/71ZrNydv+e/+/x+CZKKzErB2Zf3boxCH3Ja1f/9H6tz3Vsq6aanSM+qyknAbGXStf/m5b0lN3LhP9VtJHHbfqqX8vW/3S6v++8OEXN4QLmYNXsovi4mcu3/D0ovve/mX96ofvmR7MdqbaMbtcsmdrJydg+sbkbdt3btv+wLKJU2ectzI4q5mvc2GXpl6KzNPnseQvf0zesGwgDCuplJotmu6cL/Pt8+6+dUPS+tUPvhDXsqdU3ly2N7VGVSp+5JvtyVu3J6+5d07YQElzZSt2U9Ib7yetf29SoGd/XqZE3y/ZXRYy9/7/ffbTn+vWvLEkBGMMXYt/zsLBWDG33P7o2q82JH301ppnKJmGge42WXN7VeP+Q7Oe+njbd9uTn7hzYhhe4Pq8u8rk7HGz0Y6t/d/6+coOaU9GRqq0vx5fveXjH3ZveetE4aAmhR8zfQxVwGxuVRGEhZCVNYviqf5xMW558aU7tIQoPq+vrxcKhTfeeOMHH3zw4osvTpt2zugXBcaRkQ96eU3T6eSNjand3SVX4Yp3tAm0IbQ5tFG0abQDEJ9fXhaLpaioSKfTxcfHP/7446gZvPPOO318fFyzj2OzRVyeF4qllUopj+dFIVMV8jadVoEifFeOi2UwqJUDXUaj2sMjyGjU6PUDDCbP2yeaAncxuKvRG6IvffqTTfuKDv/+ySerBIJVn3zy++GifZs+eXqpazYAAAxnsbGxb7zxBo83Gp6Uc8MNCTeuXBCCYShkiQlLbONEtSnVHhz63P/OTwj3PDNuCJobNe3OaZEYmYoJw+LCfILFOnVbV8PO2xZPjfHzZGIsvkfo2KmzcJrzUcDG1vT0pIcTE2cn3v7i9/vy6lVaHXbKmtn+Hr7h04KsNGptS8ZskWrurHFcDJ3xeCTEThQEB2OnrxnjeEZHzn0BVxqw04cLGvEGBgbmzp27cePGF154wdfX93w952dl6O7XUMrxF2dFcL04GCb2CwwMvxOzMjFU7Lm7Xnv1uZunnH6Mgpm0B5fNCvDzoB3PjP2DUcUJKzYgqbEso3kumHTKUMoXqAxnGJ8gXjp/lgdGJ2OB4Us9/aZgFpWlJ68g57v3H7v17vlTElfcesvLm/fXN5dX/RkgUN0we5LAdU7W1ltekPbhV2/dPuXGxCmJN698b1NyudJuEIVNIW/4NjNtl6RvcAPHnb1wsMEOh7bKn977YP6UJTde/8RXe7Kr+uWtrTpchj+zKJLLQHnRXgWG3+D6vKXbk95e+RDasUVzEx9b//2RUiMnCjOFbHn5vYOtmv4zflMKDPcwYuLqxgGreaAuR+zN9vDzds1yM+7QEqLALCAg4Msvv3znnXcSEhIu+Pg3Hi9i3LjVvr5zr9rocTA+3JVmt9v7+vr+7//+7+OPP77//vs5HA7pbM9b4PJ8RB4hdru1q6tCIPATeQRqtYqGxhyb7cQlOhepr7ehvb2UTucEBIzT6RRotSyW0EMcSqbAMFxuavSG6EyeyOPMXnQP6EUHAIwMOI6Pml50FhNncp1diuiMB6cybCSqzU5QyCQmj0nD/3LTN5WO09nO251JKJjGnQ9hIwib3aZnMek0CoWEkUhkKo3OcK6sJ2dvsz7L8971G75cv/H1B2PCIu2EAztlzSQKmYLTqQ4SZrUZGWSCzqChzaEV02h0MpWKnb5mDGXGGTwMreOfDXM27E2ePHnRokUTJ07k8/koPj/ruen5EHaCwCwYn4EP1mgKhUrF2ZiD7Cz2GVOuf/GVjUnrN3yzfuOPSS/dc8eUQCZGJZE4LIZzU0OZUTj6TzbpwOwWi4NFIjPoJ05fL1gZzkDDyUwGA9URVOVwJoVCwxyEg0w1x917z/MffrAhaf2n321Yn/TdHRPHepBRHWQOVp1BNrs5KmjMqhc2Jn2Esm384cs3n3pu2QQPXuScRz5/eQZHf3j96jXvprZhpqELy89eOAQZU9clH+6lhU54J+njjz5579HZEQF8u9VKkOwYj4mTSYN5aVSc5fq8IQuve/CttWiLqCQ//znpkRtvmZM4cekDH7w2m5H2+Edfbv4lv/3kuFXUUG+uUcwqqZTpKgu8xByOt6ebXi7rDi1hRETEkiVLZs+e7enpieLzC9Z/MhlnsfxiY5+4CqPHwfhwV8fQ0yuuv/766Ojoc8XnCJVK4/F8PL0iOjsqzCadpzhUIPBtbyt13pd+CePG9SvapdJai8UYGjrZajXJZS0UKt3bNxbic3d2LdssAAAA4JJVqLWt8gEUaFgxXV1jRYheGeLl4Zr3d+A4l8EJK+qW9zufVWsx6uVdLY12m80kq+7XWSl+sxYvXLJ4QgjOY2hdS5wBfZPyWAG1ZvrQbtgwXWd3m6FfgTFYYqH3tOKqFqlKY8Ewk6antz6VYNPQJl2Ljg4+Pj5+fn4XPwwtnUG3O0SNjT0qmxHFpVpV/0BfIUY2O4tdyxjj4R23cPGS5c7XtNgoH96lFi6JinEC/anlNm1t6/Ebgf92ZTg3Kk5msT213R7+Y+NnDe5t4uLFUd5RoZOUBlZFQ7vBGSsjHIbYyo4gMcYsmJe4zJlt9uTJoZ4MnOcdt2jGuMmzQgV8mr6kS28ZGoj97IVDmDFZZ7bGZA2NXHZD4oLpkXwTi2zFGVy7g97c0qlBAZkzb2t/XwWGonUOX2AeEPO8wqYO7hh6jRsT7uvvGRqXuHBafFy0QD5g7JWpndsbwvH2ZvL4ymPlFcfMkTwW35vhmgH+SigUBgYGove//0sBCpIFgtjQ0Nu8vGZarZa2tqy2tpzLfl86WiFaLVo52sTg+HC3oY1CfH4lUCiUoKAg1BKeMfrAGUgkMpfnFTpmhsVq6u1roOJ0P79Ys8XQUJ+tULSj6NqV729zOAidrr+5uWBgoFMkCggOmdjbU6fRyPgCfz//K/iAN3DpRm+I3lVTlJeRkppZVFhvsdQXFmWmpmTkFdUMjZsCAABguOhXyUqqC1PSDuxN25tWLZ/E4E8OEbnm/R00jq8oNFHflFZ4ZHda6qHsvKqmPrXN7rDTaT4GGa8mJy09Na2ssV5jOMeD0tE3qVfgdCvhqCjak5J28EBagaS+W6s1YwxesE/Ubfa2/QVH/ziQmrI/KyejcSAs1IPHdV5FD/4umlDIE8TR27IOpaYeSEnLLTjW1ifDyAQq9jlkkqO69Hd04FLQq6C+q/fco5ZROUJbf097ae6RdpXZdu57O50hevjYED1ZXpCFDmjqgbTU2ma1VfC3KsO5UVk0nv8k7+7e0qzMFOfeHjqc3iA3MQOXsKnU7tJf9qWmpDo/gs4WggvGdFbv/DNjvzNbTnlNi0Jr1bRVZ6YeKWzR2XzDA+MZDBuJNBiin71wMAIjMXG6RtpalnUw41BxdYdcb7bSBMFcvgej44/Dh1JQhcwrLmnv68dIFIwTFO2pdXQOfV7nq7K1r6enobXiwKEjRS2OMQEib3/OaZdnc3282ExOX3qRakwkj8+/2F9fwPmcGLbtSoweB+PDuScmUxAYNMnDI0TW14JiaaEowN8vTiqtbWstksla/lFfus1mUav7WloKOzolOM7w9YtBIXtHRzmNxvbxjRV5XJ6B4sEVMnpD9CM/vPvKQyvuWfXue9s0mm3vvbvqnhUPvfLuD0dcswEAYDizWq0qlerSx5hxexQaeynL2NtyeNXzyNvFpMTxE2+MC6DgNDafQSE7ry9HX3UUKs7m4CQymcJk0Bns49cUk2hMGo3OFof4Trz9ccsvR5JeeP7ZDzftaDBHXs9i0nmxc4K0vfpvnn/+9Zefr7L6kVgTmTjltDWT0CSDzaKQBDHX3+dp1RR9tOr5l198/vcevT/uG06nsv24EYkvx6SW73jttWdXvfnDkd+F794zJShMCP1UfwOJhJEZDDpOwz19YmLn/tf/0Pevv/fiqud3HEwfYN/JZ3FQsa94YhKP6jxGz65Cr8+T88t7LOgQMfgcGjrczrVQKBQai42TSSR2UALWVl3047q3szrVVnxwzSQSBacw+Gi+81p1Ek6h0lkMKhk75YA++8zzz/5RaI/iXaAynIJMYzAYbNd4bmgXmDSczqBwGIIJSz54gdN5cM+7zr199fWX9lar5YLZCyKJ6Zov3n521WrnR6jqD146dfJs320vrX3pcZTtox9+P1QvNXQe+fXN59agj/nuwX3HeEumCBgM1rkLh8MhRSTcivVrd61/9rU17x7s9Z6FC7xonnHREaFPev/4/btPvfzsql8P9yrZS/kMOgkLn/7E/4V4D31e5+uXIxWlJSlHtqK/0T68lIExseDw056RKPRikLyCsxQzJoeKxBxXovsZ7i0hCpuvxOhxMD6c20KtCofrGRYxh3A4pNIas1mXMP5GLterubmgtuZQX1+jxWIgCLvrmptzcDgIFJ9r1H3NTcdKS3aj6eCQSXy+T0XFAaVSGhQy1T9gHNqQKzdwS6QTD9AfkpKSsmrVqqKiIj+/S3xc7TWwdu3asLCwu+66yzV9dkqtNGfzlIeTpIo6V8qposV+qzYXPTzbjyt0pQAAwPAjkUi2bNnyxhtvCAQCV5J7kKoN09//E72/cP3E1YmTXKkXj7DozTa7wUqYjSYUJ9HZfC6TgZPtVptZT9B5+GD4hM5W7GYzxmJR7CaLnWwn4UNROmEx2jGKg4rjmM2s7debCStBpVKoDBYZw3lMKmE36Iw6gxHFiiw2k6CiiIhKxewn1+yw2+xWsw1n0ckOq1mv0+tNVpSZxmaSSHQGncqgUVAWg0JrsFvQORWFRmbxxSwqCheH9v6yWJdR8vGhUj8+K/+VW9C7K3VYeWdvyTv7Sn14rLQnb0HvrlR0DkqYTVYqGQXZZDthNSjUeoJwYDQ6FWcwCQqDSyejI60bPEaDC+BsARsdfofdarCQuc6CJmN2dIzMZhKTRSU5rCZ0jEyEncUT09ERQXE5BSfZCKveROahwJxCstrtBDqeTDqZ5LA4M6MD6rydnM0V0ihWk/l8lWFwD4YQFpPVYXdQXFG6zWhxUAgSjUF1fiK9Smu0WG3oDIxMcVYHnILZtCaDVjt4EevgR6DhdpNBqRm69J3K4DCZLCbZrFVqzc5Yk06js7hCBpUwm89bOCSbXm8w6E0OEglnsTASjUuj4lSHyWocUBucQyLQaHScziIodGdBnvy8TkyuiE622s2n7hWTQT3lQ+qqJQWSn34nP/ruilARi3F6jXafOum2LeHfR6Cja5BWVKyTyQqYTG5IyNyoqGWueRervn5vW1uW0ahF8fm4cavh/nO3gkIzm81cUb6npSkHtTLx8TcIhH6S8n3d0mo6jYWC7cjIWRyO+DzPMzeZtN3d1Siql3bX8HieCeOXs5j8jo7y2trMoOBJ8eNvEXuGwePWLhcUNSclJa1bt04k+ifX713IKAzRrTbTQGd2eZvJcrar1Dg0Rsj4OYEiBhXaKgDA8HWFvjMu3eUO0cEIDtGBGyIwTFubvD4ts7WZNGnSbXfdNNmTTz9zuDz3qZNu2xL+IyhK12gaGxp+lMsLcJwWHDx7zJjrqdSLGeHYZjM2Nx9qb8+xWi1DXfQ8XgTE525IOdBZW53W1prPYnKjY+Yz6Fy5olXaXa3VKbgcsdgzROwRzOV50+lsFKvb7dahnnO9bkCt7kU5tRo5ivI8PALHhE83GjUoYh/o72JzvcZPvNXDIxSnwfDYl80VamTOaFRHAxthVckqKqpLSzuMdOG4hctPM3/xwlBviM8BAAAAAM5Ect7U7xUREjd98rTJsxJ8uLS/DmcPLrPLNXocjA83jPAFvqFjZoSETrfZbI2Nef0DHTye15jwGUFB4x0OR19vY0NDTmVlqkSyr7wsRVK+D70qJAdqag51dEiMBrVQ6B8ePj0oeLzZpGtvL+vv7+TyfWPH3uDpGQ7x+bAwCttVu92k6EzfsnnD+x9uTPp2++6UIbk1NVLN0PVdAAAAwD9nM2nkPVWSHp3VNOIHAQCjlPOy/8Dp99/8yJMP3Dk7goOdevE7uKI8L230OBgfbnghk6nePlExcYtDw2ebTPrWlqK+vkY6nR0WNjVszDQv73AcZ6BQXKWSKhRtSmWXSt2j1/ejBVFwHhQ8ISRkklAUoNcN1NVlqdUykUdoZNT8oOBJlHNfHg/cyigM0Tl0btz8ZxZHTY+xtxVkfP78Y489+n/33XL76s8/31vcJJX19ulNdgecXAEAAPhHHDZVf1NRzrafS3r18IvvqEQ4HBaD3mI/z3DxAFyCoUvTL2L0OBgfbjhCUbpQFDhu/E2x8UspVHpT47GS4j+6u6t4XK+xYxdNnXbnlKl3TJ586/gJyydOumXy5NumTP3XjJn3Tpx0s69vtErdW1aWXFi4S62Rh4RNHz/pNvTuWi8YDkbj1UlkOk847/Uvfk4tGnQs68CW58QJqq1bX75rwZQ7Ft6wI1th+MfPOwUAADC6GVtzFfIa9YrXZ/jzPKCjYjTSGg2Vf/xe2dUFJxHgSuHxIsaNW+3rO3eoL725+ZBrxnmhbEP952hBtDhaiWsGcHtUKj0yav6865+ePO0eJktUVXkwMzMpLXVDYcGv7e2lCkWbSiXt7+9QKFq7uirKSvfs3/fhwbRP0R96vSo6duGiG14ZO265QODvWh0YJkblDUQkMpkh8PD09nPy9PZkYBoSptfplPJeZy+6zmQf+c8pAgAAcHk5+PGe4YkL4wQC+l+ewgVGBYIY6kW3w0kEuFLIZJzF8ouNfcLPb77NZm9vz6mv33uevnQ0C2VA2VBmtAhaEMZvH15IJBKOM3h837DwWVNn/Hv2vCei4xbxBf5Go7arq6q+7mhDfXZD/VH0R1trqVY3wGKLg0KmTJp696zrHouLv1EoCqLTOWTy8WdAgmGCsmbNGtefgxoaGvbu3bty5Uoul+tKGj6ys7OFQuHYsWNd0+dgt2h7i77YtTs9+UBWVlbmkSOZhzOLK7ujI2Yuvf3Bm5bOnTZzZoAHHR4XCAAYxqRSaXFx8aJFi5hM9xoYRmu2fpdTh95nhvnOCrtyjw4xWnQt5d/+sP9wRkZOdVO3hR0SxMcxsrI698iBHb/vKSgp7qaHibgMjrmzSZL53c+/5uZktVmFNI5ITFHp2vK+27ozM/Nwndxi4fgHcAhMXvz7nt179x/IzakqlTg8Yr1YNKuyrrW9vLRLXbzr12oDm1CacLOeFxWAm1oO/Jmyd19qem5ti4TwjvFkXdERtfJaevJae7gM/JE5MejdlTqsZDX0ZDX2cOj4/VNj0Lsr1Z0NVNf19JU3NauPbd6FziWOKrUYSxhEp1oUlRVY2Bgx295SV5jy484UVK9ylTSMxQ9im02qhoxKmbJid1HWvuRj9eVKTkgAn0GlkLXtF66E/OF0hu0+ddJtW8JLQSJRGAxPGo1nteq12jaNpgOF3EymEMfP/IxG40BnZ0Fr62GbzTY4PtytHh4T0OKu2WD4IJMpNBqbwxGj4JzL9UIRO1/oJxAGopdIHDr0EnuF+/jG+PqN9fUf6+MXKxaHMlkCtCAK8l1rAVfAFWpkRmEvOmrQuqq3ffzNB2s+/ubnHQeLK2q6DX7zJ8974KGVz7/01n9WPz8tigtjHQIAhjeBQJCQkECjjdrrre2EVS2vltRLSiQl+cUlZXlNSrNN2ZtXXpaZnycpqaisaFUYDXpFb3eLpKJSgrJJSspLC5o6Grs6OhqTs3NKioslJfVtXTKNzqpur96Xl5dXWCApKSvIy09P21Pf16PXyOvyyzN+z6quKytv7hnoaJfK2tp0DsJuU7e3NFSgFRaXFOYWHevUWmD0uJFmoLrk2NFd+3Nq6pw1pzgzPaNQcqzn5LNcCZNSKa0fqld5BTlVrW1Ko9YkL0/deagoP7+quqS48Ej20V21cqPO0H/hSqizudYL/qER3BKeGPLtXKPHwfhwIw+JRMZxhsgjJDh0akzckvETb5sy7d4Tr4mT/xU79oaw8FkoUEfBPPScD2ujMEQ32C1dHblihsNv0o0PPLF+R7LLc/+9Oy7AlQcAAIa3iIiIp556isPhuKZHHQ5DMHnRJ1+8+vm3699/6OZEQX52jcncXPyHQiRc8cZ3v23+bsvqhaEhpMrs2r5a8rz1G5LQ61Zhq73rQGZpV8E22r2vff35lj8/fPbh5aEGbWvWt1+RZ9+65svtyT99s/qNh3p2HK5p6tE6sDotuU/m+59Pv375nrnhgYM/7pJpbN7kVc+sXv/5hqT3HrzpPu3uKoVxwDy4U2AE6ZO0djYxfB5L/vLH5O/eHSPgt/yW00FgmGNwLiNwxozb30zakPTJhqSXwpQ+yspqNYaZbVhmDW3sU3e+m/zdmn8/F7i1qlMv7yq9YCVcETNq/yNfqpHdEqKQ+1yjx8H4cAAMa6MwROeyxHPuOpC+q6jo14+efmji8LueHwAAwAURZo0q972XHluSuOyuJ976Lr+jX2aLDEzMKVfv+HJ7iQplwDBdW0V92qffv3tH4vwp6PXQu1/tyjUQfCxw6aZ3kvblN8jR2a5Vq1B1lRBPzguM8PHEMNwjwHf6zXf3aYR6kwmb4ie+afksIYN+6pepDcNqj7z2yOr5U27+9wOv/pLb2GU2W1zzwIgRNHfWdfffNssDQwefEzIuiuYR0dePwvChEB2F8F15P387f8oKV71qG9BgGJOJ3XnbuLEBoWyMww+JHPdvKs7+O5UQgHM51+hxMD4cAMPaKAzRySQKg+3t4+Xn5yXkcWijsAQAAGCk00vVTWkvt06Ycu+b6z/98NVHb19os9MwPHD+6gfuWHEDNee7R/69Mb21Wab3Gnf90qc3DnVgbvx669P/vmvBpKlT7v/8g5sYPVvWfL1h855qDWEzYzwGFadQMIxEoVLobI6dIDscBEajUFhMBpl88kY/q0XfW/zdbsPUW25cm/TR26+8eOdYNh13HI/bwIhBpdMZHBaD7HxQOJlKwzEKdXCs2cFDrevML2msU/u8lbRmfdLap2+el+DjnIcqCptNo1GpJOfjlKg0DolEImyWC1bC5NqTl9ADcKq/jh5XXb0LvWB8OACGNQhQAQAAjDR2Y7+2u7SHEh0zeeHiWZNjQzzkKBHD2L5T48bOnpMQFuRPqW+Rmx0su8mL4ohIWLI8ccnyxUuWTxkbGejl7RVxw/xJE8ZHi6x2Y4fCxhKFkA7V9feptWglugFVc0k+n2mg4We7vdVsM8oa9+hx/4njly6ePSU6iKGhkOBO9BGov1/V0d1nGIzJ+9vytPYeqp83C3NG7BimUlQp5Q3CwGXLFtywIN6fIaSaBhc6CwZbdMFK2NLYrOvM+6qgrWkA+tTBmVD4LRDEhobe5uU102q1tLZmoRf6Y3B8uNvQLIjPARh2IEQHAIARSKVSSSQSq9Xqmh5lCAqFRKOMk0pacg+m5RYca+uTYQSBqXpLc4syCyVdVlbUZC8une871gNzmKvTd6empKampKWWVTd1y2XNDWmph3Ia1ZxggV+Qh8iTFzgtqrekKudASmrKgYNZh4ql1rEo6mKd9bSXhJHYNGZPfWl+5qHsvKqmPrXNDn3oI5BJJ5fWFxWmpqSnpiQX1SsZzIixAczj51U0Km7TKqtz9mWk5ZbVdyp05w7RveIuWAkF2ICuwxmiNyvPuR5wVqOnJTwxIBwKztHrxKRrNgBgWIEQHQAARqDGxsbPPvtMq9W6pkcZXOjvETc/5uCGXe/89/kdB9MH2HfycQ6pU/LduqRnVz3/4ocffN0akxDsEb9k2fKwG6Pyvnh21Uso/dkfdqYVVlcf3PvsqlfR5Jv76jsdYycnsAKm3fWkoTrz07XPrnp5487NPfNeXxg3zpeHMxkMNvN4oE6l0WgMhoDOCZv9hK7YmfnDTTsazJHXs5j0K/nMNXBt+AvMXEXBzmdXvfLsqvXN06hjbl4RwyOTaCw2jUIJCp3F5jvr1VMvPftzmcaf5B3BoFJIFCafTcOHagOZSsY5LJxM8Z994Uo4PoRMY3uy6VCT/qlR1RKigDwy8kE/v/noBePDATCskRyn3yGXkpKyatWqoqIiP78r97jaK2Xt2rVhYWF33XWXaxoAAEYr1IwnJSWtW7dOJBK5ktyDVG2Y/v6f6P2F6yeuTpzkSr38CAdhMSpUBoKw0ehUnMEkyAwuxaLWGM0WC0Yhk+kcIY9OJZPtRpNRr9YPjefGZHIYDNxuUWoGL2CmMdhsFptJIxGEWaPWmc02O0bGyXSuiItiJYfdZLXZCQqbSXV2ntssFoJAW6GTj2cmUSlUBouM4TwmlXzlYqt1GSUfHyr147PyX7kFvbtSh5V39pa8s6/Uh8dKe/IW9O5KdWdNv+5upTeSEh4ZS0NVx8HgcVhMDg2dU9mMBoyOKhZmHqxXVgyjMxkYhc6kUmk0kkVrprBQfUTzCZvDbjZiLDqFRCYuVAlZONVuUlhpfDrVuW635z510m1bwiuEIKw2mx79QaWy4fp2AK6CK9TIwM+xAAAARh4yicxgefmIffx8RB5iLpvNZ1LINKZQLEIpPt5eXgJnByYJI1GZTK7Yx5mIXkI+h0mnc7g+ft7OSbGAy3QOKkoikxkCodjbmcfL04vPoJJJJIxMZdCHetEHbz8e6kWnnpLZS+wp4rAFHNoVjM/BNUPCcRZfOFRVBBwOjeKsdUO96Kh+uOqVr4+PiC8QcZhMBk4hUwd70YdibDKVhLNZOAnVjQtXQrRGGseLTRsW8Tm4hlBYTqMJ0AvicwCGNWjrAQAAAAD+CVFcdFjE9KFH4QMAAACXFYToAAAAAAD/hCtEZ7gmAQAAgMsHQnQAAAAAAAAAAMAtQIgOAAAAAAAAAAC4BQjRAQAAAAAAAAAAtwAhOgAAjED+/v4rVqxgMt1uOCsSeiHOp0lhZzz1E1wEVIaoEE+UKgDgVG7bEgIAwHlAiA4AACOQn5/fTTfd5J4hOotGpZDJFpvdaLW5UsHFQmWIShKVJypVCNEBOIPbtoQAAHAeEKIDAAC4eshkkg/P+YxoldHcpzW6UsHFQmWIShKVJypVVLauVAAAACMeYbObNH29PVKkXzVghF+9Rw4I0QEAAFw9OIUc4yvgMfBulb5BpnSlgouFyhCVJCpPVKqobF2pAAAARjxtpyLn8xsWzpuCrHrvuYNtrnQw/MHXOQAAgKuHTqXMHOPjwWGg2LKovc9OwO3oFw+VHipDVJKoPFGporJ1zQAAADDCmfqNRK1+3LtrP05KSnpvEXWK4tuUZgy60kcGCNEBAGAEkkqle/bsMRrd7kpyGpU8I8w7xkdgsdtLOmRHm7rNNrtrHvgnULmh0kNliEoSlScqVVS2rnnDjXOsOxJpaARB+M1muHOrIQzdpCW0aaXK6uT8DmO/yZVit2il+euLGxraNa4U96Worm5qzGk/vut/YZFVS9K/f3vQn3nD4RONEGScLfKJmrRoydLlSEJgLF3bosZshGs2GNYgRAcAgBGou7s7OTnZDUN0Kpk8xpM3N9IvWMRpkKu2FdWXd8k1JgsEZn8fKitUYqjcUOmhMkQlicoTlSoqW1eO4QankBlUCgrsdGar3Q4nmMObWw1h6CYtoV2DQvSUY53GgeM7Yjdre/I/KamvHwYBbX91VWNjdvu5ytCq6utolJSUFBeW5O5NL25q6HW7750RisbjCqOj/XCcgqG2U+1hU0aL+Bjc8DQywGEEAABwtS2JC5gT4YuisYz6jqScyvJOuVJvQmf2NoKAXtRzQSWDygeVEiorVGKo3FDpoTJEJYnK05VpeOIycBGbbieITpXOAOP8D3MwhOEgh4OwmlS9eqPJcoHrhOw2k04jlQ4O+aUY0BgtNpvdouvTWUxD/aHE6ZOIgyBMqn55n3MJmaJPb7UPtZt2i0mndCYiSp3WaLRZjHqrs+kYnGk0G3Qmu/M3PsKi0yhlKFdPb5/GZEcNi9VoNqo1ev1Ab++AxmC1WIwGjcK1Ju2Jj4AWtRoHFP2D6ceXNQzgEf6zn0ve/Vvy5pdCRSy1HAYZuZqGDkpDfQ7RURSaMAbDqa4ZYFiDEB0AAMDV5i/k3DVlzIMzo6x2IrOh65WUvP+lFR2s7ehU6iw2dLY5eEYJToHKBJUMKh9USqisUImhckOlh8oQlSQqT1e+4QnFciEeXIudKOuUqQxmVyoYnmAIw0EWs6Yh8/0l21Kzy2SupHPo68z++fMpUwaH/Hr4pQ3pJZ2dipKfb9hSkt2hdc7Xnj6JAmyzRnnkvf/cv8S5xO2P3PBLrcIw+MOWrCx761vOROTNnzelpnZWZeyow4Zm9pWmF+39IVOBme2YtvSHjS/+C+Wat/CGz3MUnVpt86Hc1I8/2/XbSwsWvLQxpaZSkr5/48NDa3rr++yyLucaMAytqDbjuUceH0w/vix3zJiQSRNDMMKOKXr9Q3zE/t5DucFVMXRQkpv0lJA3E2MwDCL0kYF0xplQSkrKqlWrioqK/Pz8XEnDx9q1a8PCwu666y7XNAAAjFaoGU9KSlq3bp1IJHIluRmd2dooU6dVd+2RtLfINVQy2ZPD5DPpTHRSTyI572QFp3JghMNhtNrVRrNcZ7QRRJgn76aE4MVxARFefA4dd2Ubnkra5T8ea/g+py7eT/zW0mlTg73d4C5mcDHshOP9g0V/SpqFbNrzC8fdOiGURbuWIcO1awnNRmVd6suL2+Z+O+m65dNIxU0H1j72m41OwtiD/1kJm0nTkT3hP7/etixxEi7tKKxpG7xlvdnix/AJvSdGvXFj/bQHrp+YEMxoL2/I+HF3xLN3xfvFCp0LO+xWi7ymrEEmV5t0mgFZX2fc7U9NYHXU7izLKVLRbwsJQXFaQGwUuZlkVO2n/evhsRiXhnVm7WxobdFc/8wSY8afTRSdkeRLMxIWfb+EFn33WHNVSk12ScvMVTNY3Ngxlqb9dZIyBefuOOeqWn8op0ylxj/8/ERtyU/PlRvm455jvLn9pr6GzD1xN745f9osP35/U1f5n2+1ht86Y+acMd4eDOdnBFecpV/XUf7DO20e00Ii58WERvh50FxzwFVzhRoZCNEBAGAEcv8QHTFZ7b0aQ36LLL+1r6ZH2Tmgl2mNOjMKP2Gc9zOhgJVMJnPoVC8uM1DEjvUVTg/1nh7m5cNjMZw3Ig5v/TrT/qrON5OLNSbrozPjbkkYE+4pcM0Dw4fZZs9r6fnsSHmTQjUv0vfdm6YEe3Cu7RAJ164ltFmNiuZDW5XBK/yCI320xS3pH79RFO7HxT2Yztl2s7avdJP4rm2LE5fP5EsVdZlbD7fpB5qqTOGi2MQP7gls/uaLrhl3j4kPFnVU5vyS6//E43E+XKHr5w47hvVVb08tbuis7e9WdzZEvfjrEsrBomx9o3XyqpcneWOYs1HoOtrY1XtGiK68buWE0sf/d0SgJcRjvSlWo7Epwzz/nX95DlSo6jqt971x7xgWtWnbrv0nV6XMev3Pbl+Fzw3/CW/++r2t/rf9d+qMyREsja6rdtsLvwsfv3/C7Chxm6T0t9/3TH3g/yaGJAx9QnDFafo7WitS6zr6vOPvjA+P9OC50sFVBSH6hUGIDgAAQ4ZFiH5CQ5+6sru/pkfVMaBTGSyDd6RDkH4aEomEQh0BixYk4sT6CuL9PSK9+a55I0JV98AnGZV/lLWGevBvHT9mWVxooJADfenDBfrvqjVZansHvs2tPtbWE+rBeXBm1GPXxbhmXzvXsCUc6uuWU4OZHAGnv7g795s9/h8uixVFCJ1zLVpp5fdTisckxcTMDLOU7z+8L+Nom8mk6qcmRE27+f1nxuP5H/2mWxYawPI3dv22j/PQC9N9+ENXyxB2q0Zeeyjru/TcRmmLXUWyaSe+lHqjaXOlwUvmf+sr1w1uADlbiK6Y+YB/ypQvcgM6td6DoTQNw+JvfnqpV5fc1qsLfOlf8RimP/r+H92nrKr+150tnBZy0GOBFS99gv3r8bkzJvlznB9hoPL7lzqnPTYmbqyfrKMmrd7jgcQgDnN433UzjNhaa7Lzt35YFf7ARAGH5qwbHBEjeOycIC5j2D7dYziCEP3CIEQHAIAhwytEB0BjspZ2yP+zPbdVoR0j5q+ID7tnchSbjtMoZCqF7Lz3AbgfdAppdxBWO2G02Kqk/T8U1GQ2dNGo5P+bFf3kvNhgD64r37Vz7VpCh9040LP/rRzxwyGREycQ5wzRoz24WkXNU+0zcx+K82XUZfzW1tzOu+WFaWLFoQ37cD+yNNgf+8W6/N0FQiFjKO4yGQda9j37qfWex8bNnBimKmg/8uX+0I3XqX+o7BdIxTe+uNSHOnjdDQrRazukf5Bu++8kKo9qbUnfVdvSoU98MHDfrIKA9XETl10fhh+P5JSVu441t7hCdGPOul/bRVLvFW8keqIMtqqfdrXx22iRq4Kq3lg/cOMjS6ZPDhGS7WaVrODLt/vnPxo5bmI0w2LRGzEOD/2HpcB/1qtDWyfZv+vj55JyMcw1gMeYKd73v3PgnhjvobspwFVxhRoZ+JUFAAAAANcYh06dGCR+a9mkOD9hk0L9/bHqlTsObymoLe9WDOhNdrj1wf04RvQQhpfMYrUbJNIZUd7iKC9X0lkZtQqaQTHLz5tOIWPtTUUy6QGUSsExccK4frm6oqKsVzY7Tkg/EU1jJru5vzcnlG3lcDkGlaJVkpdrNZu5YeOYNWbtzwW1gwOIDWlTareU1eotNkxVIjnalHkAI5Pp3n6zMgs6siqbXaPP/QVX5N+rMBdXNioxjEArqd/f11WE0QV0cdhs8oam9rp6GQoK5caO7N9/DDSonLshry1Ife+91BaNHEZ7vGo4Y2KXP72xqCgXxYhDfvsOxediFgwYNxJALzoAAIxAKpWqvb09NjYWx+HXdDA8EA5Hv96c1dCzr7I9p6lXpjX5cFlCFmOoLx360d3OcBjC8Bq1hKb+phpJSoZ84i3TxgUGCBn27nP2okeGB4vq9/+0NrPNk2abGkU3hE4Ujf2/l64TY5bOPV99X6frDJzz/q3zPOnY8d5pq1Ujrd644evarhadRwCHGh/eaVqw+Y4YEqVk/4GUtJ3dGh6Gkec+ePfcMQnmsk3fbe5Q8myhc4Pt6mhvtu8DLywg1WQkf3qoqLVNwcNpbCzhvmfvjuKUNXQf70Wn6aR5h3/ac2Bvebdz9LEpEWxd2FJh/NIXpxHyY1//tKW2rFNvoDFplJBJN9y9dFlEZKBjoORY1te/Ys99ODdM5A9jxYHRBEXNcKH7BUCIDgAAAAxrSr25ukeZ3yorapO1KrQ9aoPKYDHBo/jcDwoYR/AQhpdE01hXWfV7rmnhfTdFc+RGM0Ons4sMxfXchRFezKHRzu0W53BxUtFyTx8fTm9V2fb0IhS3x48LYQSM53uFzwpmYVj3vid29gYqwx99b654cL0uDqvR0Jz+R1ZjSy/Dw0M8bgIT818Y58PkaqprJfm78wafkBa/cO6kyIl4d33W7sMtmMl3RowPNcaPho+ZPYaDqau355U0lLVhGJWBhS24eW6wSKnWqyy8WXFDQ81p2o9UlWSlVzrXNC5+HD1gLM87cHYQBdM15+zOkrT0KjAOgx2x4J6FUV5MHtWikXa1F1dhMxYGC9GkcykARgkI0S8MQnQAAABgBFAZzFVSpaSrv0WhkWlMerOVgBDdzYz4IQwvnkJSWVvxYxlpRhCPblA7vOK8YiZO93fNvDCr3jTQkV3e1lS/kxpwXcy0h2f//WUBAFcXhOgXBiE6AAAAAAC4pvS9FQdS1z/9UQ6mNt1293P3rnp+Wrhr1t+gbu0r+uWGZ7f0zXvmuXtven768DshB2D0uEIhOgwXBwAAAAAAwOXC8oxZeseGosM56Oz97ddXTghxpf893EDx7P8eSD9S9M79Kyd6uxIBAKMJhOgAADACNTY2fvbZZzqdzjUNAACjzzVqCUkUnMUW+fn4+vn5CQVc2j+7O5tMpTB43mhhIYdLG9139QMwWkGIDgAAI5BKpZJIJBaLxTUNAACjD7SEAIDhCEJ0AAAAAAAAAADALUCIDgAAAAAAAAAAuAUI0QEAAAAAAAAAALcAIToAAAAAAAAAAOAWIEQHAAAAAAAAAADcAoToAAAAAAAAAACAW4AQHQAARiAajSYQCMhkaOQBAKMXtIQAgOEI2iwAABiBYmNj33jjDR6P55oGAIDRB1pCAMBwBCE6AACMQDiOQ98RAGCUg5YQADAcQZsFAAAAAAAAAAC4BQjRAQAAAAAAAAAAtwAhOgAAjEBWq1WlUhEE4ZoGAIDRB1pCAMBwBCE6AACMQDU1Ne+++65Go3FNAwDA6AMtIQBgOIIQHQAARiCLxQJ9RwCAUQ5aQgDAcAQhOgAAAAAAAAAA4BYgRAcAAAAAAAAAANwChOgAAAAAAAAAAIBbgBAdAAAAAAAAAABwCxCiAwAAAAAAAAAAbgFCdAAAAAAAAAAAwC1AiA4AACOQQCBISEig0WiuaQAAGH2gJQQADEcQogMAwAgUERHx1FNPcTgc1zQAAIw+0BICAIYjCNEBAAAAAAAAAAC3ACE6AAAAAAAAAADgFiBEBwAAAAAAAAAA3AKE6AAAMAKpVCqJRGK1Wl3TAAAw+kBLCAAYjiBEBwCAEaixsfGzzz7TarWuaQAAGH2gJQQADEcQogMAAAAAAAAAAG4BQnQAAAAAAAAAAMAtQIgOAAAAAAAAAAC4BQjRAQAAAAAAAAAAtwAhOgAAAAAAAAAA4BYgRAcAAAAAAAAAANwChOgAAAAAAAAAAIBbgBAdAABGIH9//xUrVjCZTNc0AACMPtASAgCGIwjRAQBgBPLz87vpppvgxBQAMJpBSwgAGI4gRAcAAAAAAAAAANwChOgAAAAAAAAAAIBbgBAdAAAAAAAAAABwCxCiAwDACCSVSvfs2WM0Gl3TAAAw+kBLCAAYjiBEBwCAEai7uzs5ORlOTAEAoxm0hACA4QhCdAAAAAAAAAAAwC1AiA4AAAAAAAAAALgFCNEBAAAAAAAAAAC3ACE6AAAAAAAAAADgFiBEBwAAAAAAAAAA3ALJ4XC4/hyUkpLy6KOPHjhwwNvb25U0fCQlJYWFha1YscI1DQAAo5VEItmyZcsbb7whEAhcSQAAMMpASwgAuKJQI7N169Z169aJRCJX0uVwlhD9lltuEYvFFArFlTR8REZG+vr6MplM1zQAAIxWFovFYDDweDwyGa6WAgCMUtASAgCuKNTI0Gi0Kx6i9/X1FRYWuiaGG6FQSKfTXRMAAAAAAAAAAMAVg0L02NhYHMdd05fDmSE6AAAAAAAAAAAArgm47AcAAAAAAAAAAHALEKIDAAAAAAAAAABuAUJ0AAAAAAAAAADALUCIDgAAAAAAAAAAuAUI0QEAAAAAAAAAALcAIToAAAAAAAAAAOAWIEQHAAAAAAAAAADcAoToAAAAAAAAAACAW4AQHQAAAAAAAAAAcAMY9v+uOIzWTNz/BwAAAABJRU5ErkJggg==">
          <a:extLst>
            <a:ext uri="{FF2B5EF4-FFF2-40B4-BE49-F238E27FC236}">
              <a16:creationId xmlns:a16="http://schemas.microsoft.com/office/drawing/2014/main" id="{00000000-0008-0000-0100-000002180000}"/>
            </a:ext>
          </a:extLst>
        </xdr:cNvPr>
        <xdr:cNvSpPr>
          <a:spLocks noChangeAspect="1" noChangeArrowheads="1"/>
        </xdr:cNvSpPr>
      </xdr:nvSpPr>
      <xdr:spPr bwMode="auto">
        <a:xfrm>
          <a:off x="10195560" y="377647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68</xdr:col>
      <xdr:colOff>190500</xdr:colOff>
      <xdr:row>11</xdr:row>
      <xdr:rowOff>3024574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324500" cy="267100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11</xdr:row>
      <xdr:rowOff>3055937</xdr:rowOff>
    </xdr:from>
    <xdr:to>
      <xdr:col>63</xdr:col>
      <xdr:colOff>785813</xdr:colOff>
      <xdr:row>53</xdr:row>
      <xdr:rowOff>128587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  <a:ext uri="{147F2762-F138-4A5C-976F-8EAC2B608ADB}">
              <a16:predDERef xmlns:a16="http://schemas.microsoft.com/office/drawing/2014/main" pre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8002" r="14204"/>
        <a:stretch/>
      </xdr:blipFill>
      <xdr:spPr>
        <a:xfrm>
          <a:off x="0" y="26741437"/>
          <a:ext cx="52792313" cy="9645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0</xdr:row>
      <xdr:rowOff>9525</xdr:rowOff>
    </xdr:from>
    <xdr:to>
      <xdr:col>9</xdr:col>
      <xdr:colOff>649941</xdr:colOff>
      <xdr:row>2</xdr:row>
      <xdr:rowOff>38100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038225" y="9525"/>
          <a:ext cx="6469716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0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PRESUPUESTO COSTOS DE PRODUCCIÓN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9</xdr:col>
      <xdr:colOff>38660</xdr:colOff>
      <xdr:row>2</xdr:row>
      <xdr:rowOff>28575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762000" y="0"/>
          <a:ext cx="6134660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PRESUPUESTO GASTOS DE ADMINISTRACIÓN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733425</xdr:colOff>
      <xdr:row>0</xdr:row>
      <xdr:rowOff>38100</xdr:rowOff>
    </xdr:from>
    <xdr:to>
      <xdr:col>6</xdr:col>
      <xdr:colOff>682438</xdr:colOff>
      <xdr:row>2</xdr:row>
      <xdr:rowOff>66675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733425" y="38100"/>
          <a:ext cx="5378263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PRESUPUESTO DE OPERACIÓN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65072</xdr:colOff>
      <xdr:row>2</xdr:row>
      <xdr:rowOff>28575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762000" y="0"/>
          <a:ext cx="4637072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PROYECCIÓN DE INGRESOS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19050</xdr:colOff>
      <xdr:row>2</xdr:row>
      <xdr:rowOff>28575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762000" y="0"/>
          <a:ext cx="5353050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PRESUPUESTO DE INGRESOS</a:t>
          </a:r>
        </a:p>
      </xdr:txBody>
    </xdr:sp>
    <xdr:clientData/>
  </xdr:twoCellAnchor>
  <xdr:twoCellAnchor editAs="oneCell">
    <xdr:from>
      <xdr:col>13</xdr:col>
      <xdr:colOff>235268</xdr:colOff>
      <xdr:row>22</xdr:row>
      <xdr:rowOff>107142</xdr:rowOff>
    </xdr:from>
    <xdr:to>
      <xdr:col>17</xdr:col>
      <xdr:colOff>199175</xdr:colOff>
      <xdr:row>28</xdr:row>
      <xdr:rowOff>29000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86799" y="4286236"/>
          <a:ext cx="3778775" cy="1058508"/>
        </a:xfrm>
        <a:prstGeom prst="rect">
          <a:avLst/>
        </a:prstGeom>
      </xdr:spPr>
    </xdr:pic>
    <xdr:clientData/>
  </xdr:twoCellAnchor>
  <xdr:twoCellAnchor editAs="oneCell">
    <xdr:from>
      <xdr:col>13</xdr:col>
      <xdr:colOff>243840</xdr:colOff>
      <xdr:row>28</xdr:row>
      <xdr:rowOff>97872</xdr:rowOff>
    </xdr:from>
    <xdr:to>
      <xdr:col>18</xdr:col>
      <xdr:colOff>185344</xdr:colOff>
      <xdr:row>35</xdr:row>
      <xdr:rowOff>18861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15800" y="5012772"/>
          <a:ext cx="4336974" cy="114780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486335</xdr:colOff>
      <xdr:row>2</xdr:row>
      <xdr:rowOff>28575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762000" y="0"/>
          <a:ext cx="5058335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GASTOS DE VENTAS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838200</xdr:colOff>
      <xdr:row>0</xdr:row>
      <xdr:rowOff>133350</xdr:rowOff>
    </xdr:from>
    <xdr:to>
      <xdr:col>9</xdr:col>
      <xdr:colOff>28575</xdr:colOff>
      <xdr:row>2</xdr:row>
      <xdr:rowOff>161925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838200" y="133350"/>
          <a:ext cx="7553325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CLASIFICACIÓN</a:t>
          </a:r>
          <a:r>
            <a:rPr lang="es-CO" sz="23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DE COSTOS</a:t>
          </a:r>
          <a:endParaRPr lang="es-CO" sz="2300" b="1" cap="none" spc="50">
            <a:ln w="9525" cmpd="sng">
              <a:solidFill>
                <a:schemeClr val="accent1"/>
              </a:solidFill>
              <a:prstDash val="solid"/>
            </a:ln>
            <a:solidFill>
              <a:schemeClr val="bg2"/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405095</xdr:colOff>
      <xdr:row>0</xdr:row>
      <xdr:rowOff>98612</xdr:rowOff>
    </xdr:from>
    <xdr:to>
      <xdr:col>16</xdr:col>
      <xdr:colOff>546289</xdr:colOff>
      <xdr:row>2</xdr:row>
      <xdr:rowOff>127187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774889" y="98612"/>
          <a:ext cx="14148547" cy="409575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bg2"/>
              </a:solidFill>
              <a:effectLst/>
            </a:rPr>
            <a:t>INGRESOS vs EGRESOS</a:t>
          </a:r>
        </a:p>
      </xdr:txBody>
    </xdr:sp>
    <xdr:clientData/>
  </xdr:twoCellAnchor>
  <xdr:twoCellAnchor>
    <xdr:from>
      <xdr:col>1</xdr:col>
      <xdr:colOff>1260893</xdr:colOff>
      <xdr:row>24</xdr:row>
      <xdr:rowOff>172358</xdr:rowOff>
    </xdr:from>
    <xdr:to>
      <xdr:col>13</xdr:col>
      <xdr:colOff>853847</xdr:colOff>
      <xdr:row>51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99B868-7454-47E4-872E-8F11ECAACB2A}"/>
            </a:ext>
            <a:ext uri="{147F2762-F138-4A5C-976F-8EAC2B608ADB}">
              <a16:predDERef xmlns:a16="http://schemas.microsoft.com/office/drawing/2014/main" pre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871260</xdr:colOff>
      <xdr:row>0</xdr:row>
      <xdr:rowOff>85724</xdr:rowOff>
    </xdr:from>
    <xdr:to>
      <xdr:col>5</xdr:col>
      <xdr:colOff>466724</xdr:colOff>
      <xdr:row>2</xdr:row>
      <xdr:rowOff>114299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71260" y="85724"/>
          <a:ext cx="6215339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INVERSIÓN EN CAPITAL DE TRABAJO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563096</xdr:colOff>
      <xdr:row>3</xdr:row>
      <xdr:rowOff>28575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762000" y="0"/>
          <a:ext cx="4687421" cy="409575"/>
        </a:xfrm>
        <a:prstGeom prst="rect">
          <a:avLst/>
        </a:prstGeom>
        <a:solidFill>
          <a:srgbClr val="000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INVERSIÓN TOTAL</a:t>
          </a:r>
        </a:p>
      </xdr:txBody>
    </xdr:sp>
    <xdr:clientData/>
  </xdr:twoCellAnchor>
  <xdr:twoCellAnchor>
    <xdr:from>
      <xdr:col>4</xdr:col>
      <xdr:colOff>906780</xdr:colOff>
      <xdr:row>11</xdr:row>
      <xdr:rowOff>72390</xdr:rowOff>
    </xdr:from>
    <xdr:to>
      <xdr:col>8</xdr:col>
      <xdr:colOff>1533525</xdr:colOff>
      <xdr:row>24</xdr:row>
      <xdr:rowOff>85725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F22DFE6-C3F2-48C7-ACD8-5D78CBEB35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777240</xdr:colOff>
      <xdr:row>0</xdr:row>
      <xdr:rowOff>0</xdr:rowOff>
    </xdr:from>
    <xdr:to>
      <xdr:col>10</xdr:col>
      <xdr:colOff>449580</xdr:colOff>
      <xdr:row>2</xdr:row>
      <xdr:rowOff>142874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562100" y="0"/>
          <a:ext cx="7010400" cy="676274"/>
        </a:xfrm>
        <a:prstGeom prst="rect">
          <a:avLst/>
        </a:prstGeom>
        <a:solidFill>
          <a:schemeClr val="tx1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Organigrama</a:t>
          </a:r>
        </a:p>
      </xdr:txBody>
    </xdr:sp>
    <xdr:clientData/>
  </xdr:twoCellAnchor>
  <xdr:twoCellAnchor>
    <xdr:from>
      <xdr:col>2</xdr:col>
      <xdr:colOff>567053</xdr:colOff>
      <xdr:row>4</xdr:row>
      <xdr:rowOff>228196</xdr:rowOff>
    </xdr:from>
    <xdr:to>
      <xdr:col>11</xdr:col>
      <xdr:colOff>91317</xdr:colOff>
      <xdr:row>15</xdr:row>
      <xdr:rowOff>50047</xdr:rowOff>
    </xdr:to>
    <xdr:grpSp>
      <xdr:nvGrpSpPr>
        <xdr:cNvPr id="39" name="Grup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pSpPr/>
      </xdr:nvGrpSpPr>
      <xdr:grpSpPr>
        <a:xfrm>
          <a:off x="2320519" y="1267287"/>
          <a:ext cx="7717929" cy="2679351"/>
          <a:chOff x="-143596" y="29405"/>
          <a:chExt cx="6198071" cy="2045818"/>
        </a:xfrm>
      </xdr:grpSpPr>
      <xdr:grpSp>
        <xdr:nvGrpSpPr>
          <xdr:cNvPr id="57" name="Grupo 56">
            <a:extLst>
              <a:ext uri="{FF2B5EF4-FFF2-40B4-BE49-F238E27FC236}">
                <a16:creationId xmlns:a16="http://schemas.microsoft.com/office/drawing/2014/main" id="{00000000-0008-0000-0200-000039000000}"/>
              </a:ext>
            </a:extLst>
          </xdr:cNvPr>
          <xdr:cNvGrpSpPr/>
        </xdr:nvGrpSpPr>
        <xdr:grpSpPr>
          <a:xfrm>
            <a:off x="-143596" y="29405"/>
            <a:ext cx="6198071" cy="2045818"/>
            <a:chOff x="-137882" y="29405"/>
            <a:chExt cx="5951505" cy="2045818"/>
          </a:xfrm>
        </xdr:grpSpPr>
        <xdr:sp macro="" textlink="">
          <xdr:nvSpPr>
            <xdr:cNvPr id="60" name="Rectángulo redondeado 1">
              <a:extLst>
                <a:ext uri="{FF2B5EF4-FFF2-40B4-BE49-F238E27FC236}">
                  <a16:creationId xmlns:a16="http://schemas.microsoft.com/office/drawing/2014/main" id="{00000000-0008-0000-0200-00003C000000}"/>
                </a:ext>
              </a:extLst>
            </xdr:cNvPr>
            <xdr:cNvSpPr/>
          </xdr:nvSpPr>
          <xdr:spPr>
            <a:xfrm>
              <a:off x="1872479" y="29405"/>
              <a:ext cx="1888962" cy="685800"/>
            </a:xfrm>
            <a:prstGeom prst="roundRect">
              <a:avLst/>
            </a:prstGeom>
          </xdr:spPr>
          <xdr:style>
            <a:lnRef idx="0">
              <a:schemeClr val="accent1"/>
            </a:lnRef>
            <a:fillRef idx="1001">
              <a:schemeClr val="lt2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CO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US" sz="11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Times New Roman" panose="02020603050405020304" pitchFamily="18" charset="0"/>
                  <a:cs typeface="Times New Roman" panose="02020603050405020304" pitchFamily="18" charset="0"/>
                </a:rPr>
                <a:t>GERENTE GENERAL (Jhonatan)</a:t>
              </a:r>
            </a:p>
            <a:p>
              <a:pPr algn="ctr"/>
              <a:r>
                <a:rPr lang="es-US" sz="11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Times New Roman" panose="02020603050405020304" pitchFamily="18" charset="0"/>
                  <a:cs typeface="Times New Roman" panose="02020603050405020304" pitchFamily="18" charset="0"/>
                </a:rPr>
                <a:t>Ventas, acuerdos comerciales,politicas.</a:t>
              </a:r>
            </a:p>
          </xdr:txBody>
        </xdr:sp>
        <xdr:sp macro="" textlink="">
          <xdr:nvSpPr>
            <xdr:cNvPr id="61" name="Rectángulo redondeado 2">
              <a:extLst>
                <a:ext uri="{FF2B5EF4-FFF2-40B4-BE49-F238E27FC236}">
                  <a16:creationId xmlns:a16="http://schemas.microsoft.com/office/drawing/2014/main" id="{00000000-0008-0000-0200-00003D000000}"/>
                </a:ext>
              </a:extLst>
            </xdr:cNvPr>
            <xdr:cNvSpPr/>
          </xdr:nvSpPr>
          <xdr:spPr>
            <a:xfrm>
              <a:off x="3608976" y="1420260"/>
              <a:ext cx="2204647" cy="638175"/>
            </a:xfrm>
            <a:prstGeom prst="roundRect">
              <a:avLst/>
            </a:prstGeom>
          </xdr:spPr>
          <xdr:style>
            <a:lnRef idx="0">
              <a:schemeClr val="accent3"/>
            </a:lnRef>
            <a:fillRef idx="1001">
              <a:schemeClr val="lt2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CO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es-US" sz="1100" b="0" kern="120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rPr>
                <a:t>GERENTE DE OPERACIONES</a:t>
              </a:r>
            </a:p>
            <a:p>
              <a:pPr marL="0" indent="0" algn="ctr" defTabSz="914400" rtl="0" eaLnBrk="1" latinLnBrk="0" hangingPunct="1"/>
              <a:r>
                <a:rPr lang="es-US" sz="1100" b="0" kern="120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rPr>
                <a:t>(Felipe</a:t>
              </a:r>
              <a:r>
                <a:rPr lang="es-US" sz="1100" b="0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rPr>
                <a:t>)</a:t>
              </a:r>
            </a:p>
            <a:p>
              <a:pPr marL="0" indent="0" algn="ctr" defTabSz="914400" rtl="0" eaLnBrk="1" latinLnBrk="0" hangingPunct="1"/>
              <a:r>
                <a:rPr lang="es-US" sz="1100" b="0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rPr>
                <a:t>Planeación de recursos, Cronogramas,Plan de acción </a:t>
              </a:r>
              <a:endParaRPr lang="es-US" sz="1100" b="0" kern="120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62" name="Rectángulo redondeado 3">
              <a:extLst>
                <a:ext uri="{FF2B5EF4-FFF2-40B4-BE49-F238E27FC236}">
                  <a16:creationId xmlns:a16="http://schemas.microsoft.com/office/drawing/2014/main" id="{00000000-0008-0000-0200-00003E000000}"/>
                </a:ext>
              </a:extLst>
            </xdr:cNvPr>
            <xdr:cNvSpPr/>
          </xdr:nvSpPr>
          <xdr:spPr>
            <a:xfrm>
              <a:off x="-137882" y="1417998"/>
              <a:ext cx="2168306" cy="657225"/>
            </a:xfrm>
            <a:prstGeom prst="roundRect">
              <a:avLst/>
            </a:prstGeom>
          </xdr:spPr>
          <xdr:style>
            <a:lnRef idx="0">
              <a:schemeClr val="accent3"/>
            </a:lnRef>
            <a:fillRef idx="1001">
              <a:schemeClr val="lt2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CO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es-US" sz="1100" b="0" kern="120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rPr>
                <a:t>GERENTE COMERCIAL(Edwin)</a:t>
              </a:r>
            </a:p>
            <a:p>
              <a:pPr marL="0" indent="0" algn="ctr" defTabSz="914400" rtl="0" eaLnBrk="1" latinLnBrk="0" hangingPunct="1"/>
              <a:r>
                <a:rPr lang="es-US" sz="1100" b="0" kern="120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rPr>
                <a:t>Publicidad,</a:t>
              </a:r>
              <a:r>
                <a:rPr lang="es-US" sz="1100" b="0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rPr>
                <a:t> adminis</a:t>
              </a:r>
              <a:r>
                <a:rPr lang="es-US" sz="1100" b="1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rPr>
                <a:t>tr</a:t>
              </a:r>
              <a:r>
                <a:rPr lang="es-US" sz="1100" b="0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rPr>
                <a:t>ador cuentas, administrador campañas</a:t>
              </a:r>
              <a:endParaRPr lang="es-US" sz="1100" b="0" kern="120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endParaRPr>
            </a:p>
          </xdr:txBody>
        </xdr:sp>
      </xdr:grpSp>
      <xdr:cxnSp macro="">
        <xdr:nvCxnSpPr>
          <xdr:cNvPr id="45" name="Conector recto 44">
            <a:extLst>
              <a:ext uri="{FF2B5EF4-FFF2-40B4-BE49-F238E27FC236}">
                <a16:creationId xmlns:a16="http://schemas.microsoft.com/office/drawing/2014/main" id="{00000000-0008-0000-0200-00002D000000}"/>
              </a:ext>
            </a:extLst>
          </xdr:cNvPr>
          <xdr:cNvCxnSpPr>
            <a:cxnSpLocks/>
          </xdr:cNvCxnSpPr>
        </xdr:nvCxnSpPr>
        <xdr:spPr>
          <a:xfrm>
            <a:off x="956680" y="1182075"/>
            <a:ext cx="3958188" cy="3491"/>
          </a:xfrm>
          <a:prstGeom prst="line">
            <a:avLst/>
          </a:prstGeom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cxnSp macro="">
        <xdr:nvCxnSpPr>
          <xdr:cNvPr id="46" name="Conector recto 45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CxnSpPr>
            <a:stCxn id="60" idx="2"/>
          </xdr:cNvCxnSpPr>
        </xdr:nvCxnSpPr>
        <xdr:spPr>
          <a:xfrm>
            <a:off x="2933663" y="715205"/>
            <a:ext cx="20042" cy="503626"/>
          </a:xfrm>
          <a:prstGeom prst="line">
            <a:avLst/>
          </a:prstGeom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1022985</xdr:colOff>
      <xdr:row>10</xdr:row>
      <xdr:rowOff>186694</xdr:rowOff>
    </xdr:from>
    <xdr:to>
      <xdr:col>3</xdr:col>
      <xdr:colOff>1160145</xdr:colOff>
      <xdr:row>11</xdr:row>
      <xdr:rowOff>209554</xdr:rowOff>
    </xdr:to>
    <xdr:sp macro="" textlink="">
      <xdr:nvSpPr>
        <xdr:cNvPr id="8" name="Flecha derecha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 rot="5400000">
          <a:off x="3580447" y="2829882"/>
          <a:ext cx="280035" cy="1371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9</xdr:col>
      <xdr:colOff>316230</xdr:colOff>
      <xdr:row>10</xdr:row>
      <xdr:rowOff>196218</xdr:rowOff>
    </xdr:from>
    <xdr:to>
      <xdr:col>9</xdr:col>
      <xdr:colOff>453390</xdr:colOff>
      <xdr:row>11</xdr:row>
      <xdr:rowOff>219078</xdr:rowOff>
    </xdr:to>
    <xdr:sp macro="" textlink="">
      <xdr:nvSpPr>
        <xdr:cNvPr id="38" name="Flecha derecha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 rot="5400000">
          <a:off x="8436292" y="2839406"/>
          <a:ext cx="280035" cy="1371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9</xdr:col>
      <xdr:colOff>358140</xdr:colOff>
      <xdr:row>15</xdr:row>
      <xdr:rowOff>7624</xdr:rowOff>
    </xdr:from>
    <xdr:to>
      <xdr:col>9</xdr:col>
      <xdr:colOff>542925</xdr:colOff>
      <xdr:row>16</xdr:row>
      <xdr:rowOff>30484</xdr:rowOff>
    </xdr:to>
    <xdr:sp macro="" textlink="">
      <xdr:nvSpPr>
        <xdr:cNvPr id="40" name="Flecha derecha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 rot="5400000">
          <a:off x="8502015" y="3912874"/>
          <a:ext cx="280035" cy="18478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7</xdr:col>
      <xdr:colOff>765810</xdr:colOff>
      <xdr:row>16</xdr:row>
      <xdr:rowOff>41910</xdr:rowOff>
    </xdr:from>
    <xdr:to>
      <xdr:col>11</xdr:col>
      <xdr:colOff>64198</xdr:colOff>
      <xdr:row>19</xdr:row>
      <xdr:rowOff>89885</xdr:rowOff>
    </xdr:to>
    <xdr:sp macro="" textlink="">
      <xdr:nvSpPr>
        <xdr:cNvPr id="42" name="Rectángulo redondeado 2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7204710" y="4156710"/>
          <a:ext cx="2803588" cy="819500"/>
        </a:xfrm>
        <a:prstGeom prst="roundRect">
          <a:avLst/>
        </a:prstGeom>
      </xdr:spPr>
      <xdr:style>
        <a:lnRef idx="0">
          <a:schemeClr val="accent3"/>
        </a:lnRef>
        <a:fillRef idx="1001">
          <a:schemeClr val="lt2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r>
            <a:rPr lang="es-US" sz="1100" b="0" kern="120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DESARROLLADOR (Cristian)</a:t>
          </a:r>
          <a:r>
            <a:rPr lang="es-US" sz="1100" b="0" kern="120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desarrollo de paginas web, desarrollador de contenido.</a:t>
          </a:r>
          <a:r>
            <a:rPr lang="es-US" sz="1100" b="0" kern="120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</a:p>
      </xdr:txBody>
    </xdr:sp>
    <xdr:clientData/>
  </xdr:twoCellAnchor>
  <xdr:twoCellAnchor>
    <xdr:from>
      <xdr:col>2</xdr:col>
      <xdr:colOff>603885</xdr:colOff>
      <xdr:row>8</xdr:row>
      <xdr:rowOff>127635</xdr:rowOff>
    </xdr:from>
    <xdr:to>
      <xdr:col>4</xdr:col>
      <xdr:colOff>133350</xdr:colOff>
      <xdr:row>9</xdr:row>
      <xdr:rowOff>238125</xdr:rowOff>
    </xdr:to>
    <xdr:sp macro="" textlink="">
      <xdr:nvSpPr>
        <xdr:cNvPr id="17" name="Rectángulo redondeado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2356485" y="2185035"/>
          <a:ext cx="1586865" cy="367665"/>
        </a:xfrm>
        <a:prstGeom prst="roundRect">
          <a:avLst/>
        </a:prstGeom>
      </xdr:spPr>
      <xdr:style>
        <a:lnRef idx="0">
          <a:schemeClr val="accent3"/>
        </a:lnRef>
        <a:fillRef idx="1001">
          <a:schemeClr val="lt2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r>
            <a:rPr lang="es-US" sz="1100" b="0" kern="120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CONTADOR</a:t>
          </a:r>
        </a:p>
      </xdr:txBody>
    </xdr:sp>
    <xdr:clientData/>
  </xdr:twoCellAnchor>
  <xdr:twoCellAnchor>
    <xdr:from>
      <xdr:col>4</xdr:col>
      <xdr:colOff>133350</xdr:colOff>
      <xdr:row>9</xdr:row>
      <xdr:rowOff>47625</xdr:rowOff>
    </xdr:from>
    <xdr:to>
      <xdr:col>6</xdr:col>
      <xdr:colOff>552450</xdr:colOff>
      <xdr:row>9</xdr:row>
      <xdr:rowOff>54293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CxnSpPr>
          <a:endCxn id="17" idx="3"/>
        </xdr:cNvCxnSpPr>
      </xdr:nvCxnSpPr>
      <xdr:spPr>
        <a:xfrm flipH="1">
          <a:off x="3943350" y="2362200"/>
          <a:ext cx="2171700" cy="6668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553571</xdr:colOff>
      <xdr:row>2</xdr:row>
      <xdr:rowOff>28575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762000" y="0"/>
          <a:ext cx="4839821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CRÉDITO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85725</xdr:rowOff>
    </xdr:from>
    <xdr:to>
      <xdr:col>7</xdr:col>
      <xdr:colOff>201146</xdr:colOff>
      <xdr:row>2</xdr:row>
      <xdr:rowOff>114300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5325" y="85725"/>
          <a:ext cx="8449796" cy="409575"/>
        </a:xfrm>
        <a:prstGeom prst="rect">
          <a:avLst/>
        </a:prstGeom>
        <a:solidFill>
          <a:srgbClr val="000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ESTADO DE RESULTADOS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267821</xdr:colOff>
      <xdr:row>3</xdr:row>
      <xdr:rowOff>28575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762000" y="190500"/>
          <a:ext cx="4839821" cy="409575"/>
        </a:xfrm>
        <a:prstGeom prst="rect">
          <a:avLst/>
        </a:prstGeom>
        <a:solidFill>
          <a:srgbClr val="000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FLUJO DE CAJA</a:t>
          </a:r>
        </a:p>
      </xdr:txBody>
    </xdr:sp>
    <xdr:clientData/>
  </xdr:twoCellAnchor>
  <xdr:twoCellAnchor>
    <xdr:from>
      <xdr:col>4</xdr:col>
      <xdr:colOff>1465941</xdr:colOff>
      <xdr:row>58</xdr:row>
      <xdr:rowOff>68035</xdr:rowOff>
    </xdr:from>
    <xdr:to>
      <xdr:col>14</xdr:col>
      <xdr:colOff>453573</xdr:colOff>
      <xdr:row>77</xdr:row>
      <xdr:rowOff>139701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82B89A7-0990-413D-959D-07FAE855C925}"/>
            </a:ext>
            <a:ext uri="{147F2762-F138-4A5C-976F-8EAC2B608ADB}">
              <a16:predDERef xmlns:a16="http://schemas.microsoft.com/office/drawing/2014/main" pre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27608</xdr:colOff>
      <xdr:row>0</xdr:row>
      <xdr:rowOff>27609</xdr:rowOff>
    </xdr:from>
    <xdr:to>
      <xdr:col>7</xdr:col>
      <xdr:colOff>295429</xdr:colOff>
      <xdr:row>2</xdr:row>
      <xdr:rowOff>56184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786847" y="27609"/>
          <a:ext cx="8605647" cy="415097"/>
        </a:xfrm>
        <a:prstGeom prst="rect">
          <a:avLst/>
        </a:prstGeom>
        <a:solidFill>
          <a:srgbClr val="000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BALANCE</a:t>
          </a:r>
          <a:r>
            <a:rPr lang="es-CO" sz="23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GENERAL</a:t>
          </a:r>
          <a:endParaRPr lang="es-CO" sz="2300" b="1" cap="none" spc="50">
            <a:ln w="9525" cmpd="sng">
              <a:solidFill>
                <a:schemeClr val="accent1"/>
              </a:solidFill>
              <a:prstDash val="solid"/>
            </a:ln>
            <a:solidFill>
              <a:schemeClr val="bg2"/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27608</xdr:colOff>
      <xdr:row>0</xdr:row>
      <xdr:rowOff>27609</xdr:rowOff>
    </xdr:from>
    <xdr:to>
      <xdr:col>7</xdr:col>
      <xdr:colOff>295429</xdr:colOff>
      <xdr:row>2</xdr:row>
      <xdr:rowOff>56184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5F05B5E-B552-447D-8516-0C9F91B3CE4E}"/>
            </a:ext>
          </a:extLst>
        </xdr:cNvPr>
        <xdr:cNvSpPr/>
      </xdr:nvSpPr>
      <xdr:spPr>
        <a:xfrm>
          <a:off x="903908" y="27609"/>
          <a:ext cx="9811871" cy="409575"/>
        </a:xfrm>
        <a:prstGeom prst="rect">
          <a:avLst/>
        </a:prstGeom>
        <a:solidFill>
          <a:srgbClr val="000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BALANCE</a:t>
          </a:r>
          <a:r>
            <a:rPr lang="es-CO" sz="23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GENERAL</a:t>
          </a:r>
          <a:endParaRPr lang="es-CO" sz="2300" b="1" cap="none" spc="50">
            <a:ln w="9525" cmpd="sng">
              <a:solidFill>
                <a:schemeClr val="accent1"/>
              </a:solidFill>
              <a:prstDash val="solid"/>
            </a:ln>
            <a:solidFill>
              <a:schemeClr val="bg2"/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355547</xdr:colOff>
      <xdr:row>10</xdr:row>
      <xdr:rowOff>123825</xdr:rowOff>
    </xdr:from>
    <xdr:to>
      <xdr:col>6</xdr:col>
      <xdr:colOff>105876</xdr:colOff>
      <xdr:row>17</xdr:row>
      <xdr:rowOff>142875</xdr:rowOff>
    </xdr:to>
    <xdr:grpSp>
      <xdr:nvGrpSpPr>
        <xdr:cNvPr id="2" name="Group 997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pSpPr>
          <a:grpSpLocks/>
        </xdr:cNvGrpSpPr>
      </xdr:nvGrpSpPr>
      <xdr:grpSpPr bwMode="auto">
        <a:xfrm>
          <a:off x="3984572" y="1771650"/>
          <a:ext cx="4312804" cy="1152525"/>
          <a:chOff x="347" y="3443"/>
          <a:chExt cx="341" cy="121"/>
        </a:xfrm>
      </xdr:grpSpPr>
      <xdr:sp macro="" textlink="">
        <xdr:nvSpPr>
          <xdr:cNvPr id="3" name="Line 54">
            <a:extLst>
              <a:ext uri="{FF2B5EF4-FFF2-40B4-BE49-F238E27FC236}">
                <a16:creationId xmlns:a16="http://schemas.microsoft.com/office/drawing/2014/main" id="{00000000-0008-0000-2200-000003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47" y="3509"/>
            <a:ext cx="341" cy="1"/>
          </a:xfrm>
          <a:prstGeom prst="line">
            <a:avLst/>
          </a:prstGeom>
          <a:noFill/>
          <a:ln w="254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" name="Line 56">
            <a:extLst>
              <a:ext uri="{FF2B5EF4-FFF2-40B4-BE49-F238E27FC236}">
                <a16:creationId xmlns:a16="http://schemas.microsoft.com/office/drawing/2014/main" id="{00000000-0008-0000-22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349" y="3509"/>
            <a:ext cx="1" cy="55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arrow" w="med" len="med"/>
          </a:ln>
        </xdr:spPr>
      </xdr:sp>
      <xdr:sp macro="" textlink="">
        <xdr:nvSpPr>
          <xdr:cNvPr id="5" name="Line 57">
            <a:extLst>
              <a:ext uri="{FF2B5EF4-FFF2-40B4-BE49-F238E27FC236}">
                <a16:creationId xmlns:a16="http://schemas.microsoft.com/office/drawing/2014/main" id="{00000000-0008-0000-2200-000005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61" y="3483"/>
            <a:ext cx="1" cy="27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arrow" w="med" len="med"/>
          </a:ln>
        </xdr:spPr>
      </xdr:sp>
      <xdr:sp macro="" textlink="">
        <xdr:nvSpPr>
          <xdr:cNvPr id="6" name="Line 58">
            <a:extLst>
              <a:ext uri="{FF2B5EF4-FFF2-40B4-BE49-F238E27FC236}">
                <a16:creationId xmlns:a16="http://schemas.microsoft.com/office/drawing/2014/main" id="{00000000-0008-0000-2200-000006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83" y="3469"/>
            <a:ext cx="1" cy="42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arrow" w="med" len="med"/>
          </a:ln>
        </xdr:spPr>
      </xdr:sp>
      <xdr:sp macro="" textlink="">
        <xdr:nvSpPr>
          <xdr:cNvPr id="7" name="Line 59">
            <a:extLst>
              <a:ext uri="{FF2B5EF4-FFF2-40B4-BE49-F238E27FC236}">
                <a16:creationId xmlns:a16="http://schemas.microsoft.com/office/drawing/2014/main" id="{00000000-0008-0000-2200-00000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688" y="3443"/>
            <a:ext cx="0" cy="68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arrow" w="med" len="med"/>
          </a:ln>
        </xdr:spPr>
      </xdr:sp>
    </xdr:grpSp>
    <xdr:clientData/>
  </xdr:twoCellAnchor>
  <xdr:twoCellAnchor editAs="oneCell">
    <xdr:from>
      <xdr:col>8</xdr:col>
      <xdr:colOff>528911</xdr:colOff>
      <xdr:row>66</xdr:row>
      <xdr:rowOff>159176</xdr:rowOff>
    </xdr:from>
    <xdr:to>
      <xdr:col>15</xdr:col>
      <xdr:colOff>93322</xdr:colOff>
      <xdr:row>71</xdr:row>
      <xdr:rowOff>117467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7F2E2EB-A23F-492D-BEC2-28D83593F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21066" y="10669521"/>
          <a:ext cx="5532644" cy="7817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384448</xdr:colOff>
      <xdr:row>10</xdr:row>
      <xdr:rowOff>172485</xdr:rowOff>
    </xdr:from>
    <xdr:to>
      <xdr:col>7</xdr:col>
      <xdr:colOff>387379</xdr:colOff>
      <xdr:row>13</xdr:row>
      <xdr:rowOff>10773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82EF2450-7240-4C90-B519-B7CD1AE87BF8}"/>
            </a:ext>
          </a:extLst>
        </xdr:cNvPr>
        <xdr:cNvCxnSpPr/>
      </xdr:nvCxnSpPr>
      <xdr:spPr>
        <a:xfrm flipH="1">
          <a:off x="5830507" y="2055073"/>
          <a:ext cx="2931" cy="376171"/>
        </a:xfrm>
        <a:prstGeom prst="straightConnector1">
          <a:avLst/>
        </a:prstGeom>
        <a:ln w="19050" cap="flat" cmpd="sng" algn="ctr">
          <a:solidFill>
            <a:schemeClr val="dk1"/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342900</xdr:colOff>
      <xdr:row>9</xdr:row>
      <xdr:rowOff>327660</xdr:rowOff>
    </xdr:from>
    <xdr:to>
      <xdr:col>8</xdr:col>
      <xdr:colOff>347358</xdr:colOff>
      <xdr:row>10</xdr:row>
      <xdr:rowOff>172484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349C6959-F210-499A-B0BA-E5760D4448C3}"/>
            </a:ext>
          </a:extLst>
        </xdr:cNvPr>
        <xdr:cNvCxnSpPr/>
      </xdr:nvCxnSpPr>
      <xdr:spPr>
        <a:xfrm flipH="1" flipV="1">
          <a:off x="7993380" y="2057400"/>
          <a:ext cx="4458" cy="195344"/>
        </a:xfrm>
        <a:prstGeom prst="straightConnector1">
          <a:avLst/>
        </a:prstGeom>
        <a:ln w="19050" cap="flat" cmpd="sng" algn="ctr">
          <a:solidFill>
            <a:schemeClr val="dk1"/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454786</xdr:colOff>
      <xdr:row>7</xdr:row>
      <xdr:rowOff>168088</xdr:rowOff>
    </xdr:from>
    <xdr:to>
      <xdr:col>10</xdr:col>
      <xdr:colOff>457717</xdr:colOff>
      <xdr:row>10</xdr:row>
      <xdr:rowOff>178346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45F94C9C-802E-4EFD-B6DD-A5A750DE5CE3}"/>
            </a:ext>
          </a:extLst>
        </xdr:cNvPr>
        <xdr:cNvCxnSpPr/>
      </xdr:nvCxnSpPr>
      <xdr:spPr>
        <a:xfrm flipV="1">
          <a:off x="8511815" y="1512794"/>
          <a:ext cx="2931" cy="548140"/>
        </a:xfrm>
        <a:prstGeom prst="straightConnector1">
          <a:avLst/>
        </a:prstGeom>
        <a:ln w="19050" cap="flat" cmpd="sng" algn="ctr">
          <a:solidFill>
            <a:schemeClr val="dk1"/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406429</xdr:colOff>
      <xdr:row>8</xdr:row>
      <xdr:rowOff>186621</xdr:rowOff>
    </xdr:from>
    <xdr:to>
      <xdr:col>9</xdr:col>
      <xdr:colOff>408854</xdr:colOff>
      <xdr:row>11</xdr:row>
      <xdr:rowOff>7945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DE3C7790-E023-4838-9621-2A2A7045B946}"/>
            </a:ext>
          </a:extLst>
        </xdr:cNvPr>
        <xdr:cNvCxnSpPr/>
      </xdr:nvCxnSpPr>
      <xdr:spPr>
        <a:xfrm flipH="1" flipV="1">
          <a:off x="9081506" y="1688640"/>
          <a:ext cx="2425" cy="407478"/>
        </a:xfrm>
        <a:prstGeom prst="straightConnector1">
          <a:avLst/>
        </a:prstGeom>
        <a:ln w="19050" cap="flat" cmpd="sng" algn="ctr">
          <a:solidFill>
            <a:schemeClr val="dk1"/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384448</xdr:colOff>
      <xdr:row>10</xdr:row>
      <xdr:rowOff>168088</xdr:rowOff>
    </xdr:from>
    <xdr:to>
      <xdr:col>10</xdr:col>
      <xdr:colOff>465044</xdr:colOff>
      <xdr:row>11</xdr:row>
      <xdr:rowOff>155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CA1032B1-615E-4D94-A66B-B5A42FA88A82}"/>
            </a:ext>
          </a:extLst>
        </xdr:cNvPr>
        <xdr:cNvCxnSpPr/>
      </xdr:nvCxnSpPr>
      <xdr:spPr>
        <a:xfrm>
          <a:off x="7097668" y="2248348"/>
          <a:ext cx="2755216" cy="7327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448235</xdr:colOff>
      <xdr:row>0</xdr:row>
      <xdr:rowOff>100853</xdr:rowOff>
    </xdr:from>
    <xdr:to>
      <xdr:col>9</xdr:col>
      <xdr:colOff>324970</xdr:colOff>
      <xdr:row>2</xdr:row>
      <xdr:rowOff>62193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4656E63C-D85B-45CB-987C-043CB92B3931}"/>
            </a:ext>
          </a:extLst>
        </xdr:cNvPr>
        <xdr:cNvSpPr/>
      </xdr:nvSpPr>
      <xdr:spPr>
        <a:xfrm>
          <a:off x="448235" y="100853"/>
          <a:ext cx="8684559" cy="409575"/>
        </a:xfrm>
        <a:prstGeom prst="rect">
          <a:avLst/>
        </a:prstGeom>
        <a:solidFill>
          <a:srgbClr val="000000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INDICADORES</a:t>
          </a:r>
          <a:r>
            <a:rPr lang="es-CO" sz="23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FINANCIEROS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723901</xdr:colOff>
      <xdr:row>0</xdr:row>
      <xdr:rowOff>16934</xdr:rowOff>
    </xdr:from>
    <xdr:to>
      <xdr:col>12</xdr:col>
      <xdr:colOff>254001</xdr:colOff>
      <xdr:row>2</xdr:row>
      <xdr:rowOff>45509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86101" y="16934"/>
          <a:ext cx="6557433" cy="3841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PRONÓSTICOS</a:t>
          </a:r>
          <a:r>
            <a:rPr lang="es-CO" sz="23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DE VENTAS</a:t>
          </a:r>
          <a:endParaRPr lang="es-CO" sz="2300" b="1" cap="none" spc="50">
            <a:ln w="9525" cmpd="sng">
              <a:solidFill>
                <a:schemeClr val="accent1"/>
              </a:solidFill>
              <a:prstDash val="solid"/>
            </a:ln>
            <a:solidFill>
              <a:schemeClr val="bg2"/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twoCellAnchor>
  <xdr:oneCellAnchor>
    <xdr:from>
      <xdr:col>0</xdr:col>
      <xdr:colOff>340253</xdr:colOff>
      <xdr:row>29</xdr:row>
      <xdr:rowOff>76994</xdr:rowOff>
    </xdr:from>
    <xdr:ext cx="5419725" cy="4029075"/>
    <xdr:graphicFrame macro="">
      <xdr:nvGraphicFramePr>
        <xdr:cNvPr id="5" name="Chart 1" title="Gráfico">
          <a:extLst>
            <a:ext uri="{FF2B5EF4-FFF2-40B4-BE49-F238E27FC236}">
              <a16:creationId xmlns:a16="http://schemas.microsoft.com/office/drawing/2014/main" id="{00000000-0008-0000-0300-000005000000}"/>
            </a:ext>
            <a:ext uri="{147F2762-F138-4A5C-976F-8EAC2B608ADB}">
              <a16:predDERef xmlns:a16="http://schemas.microsoft.com/office/drawing/2014/main" pre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368300</xdr:colOff>
      <xdr:row>29</xdr:row>
      <xdr:rowOff>21431</xdr:rowOff>
    </xdr:from>
    <xdr:ext cx="5267325" cy="3543300"/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00000000-0008-0000-0300-000006000000}"/>
            </a:ext>
            <a:ext uri="{147F2762-F138-4A5C-976F-8EAC2B608ADB}">
              <a16:predDERef xmlns:a16="http://schemas.microsoft.com/office/drawing/2014/main" pre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6</xdr:col>
      <xdr:colOff>895350</xdr:colOff>
      <xdr:row>2</xdr:row>
      <xdr:rowOff>123825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028700" y="95250"/>
          <a:ext cx="5019675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ysClr val="windowText" lastClr="000000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INVERSIÓN DE </a:t>
          </a:r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ACTIVOS</a:t>
          </a:r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ysClr val="windowText" lastClr="000000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FIJOS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857250</xdr:colOff>
      <xdr:row>0</xdr:row>
      <xdr:rowOff>0</xdr:rowOff>
    </xdr:from>
    <xdr:to>
      <xdr:col>12</xdr:col>
      <xdr:colOff>23532</xdr:colOff>
      <xdr:row>2</xdr:row>
      <xdr:rowOff>28575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619250" y="0"/>
          <a:ext cx="7443507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DEPRECIACIÓN</a:t>
          </a:r>
          <a:r>
            <a:rPr lang="es-CO" sz="23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ACTIVOS FIJOS</a:t>
          </a:r>
          <a:endParaRPr lang="es-CO" sz="2300" b="1" cap="none" spc="50">
            <a:ln w="9525" cmpd="sng">
              <a:solidFill>
                <a:schemeClr val="accent1"/>
              </a:solidFill>
              <a:prstDash val="solid"/>
            </a:ln>
            <a:solidFill>
              <a:schemeClr val="bg2"/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1594485</xdr:colOff>
      <xdr:row>0</xdr:row>
      <xdr:rowOff>60960</xdr:rowOff>
    </xdr:from>
    <xdr:to>
      <xdr:col>6</xdr:col>
      <xdr:colOff>60960</xdr:colOff>
      <xdr:row>2</xdr:row>
      <xdr:rowOff>89535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379345" y="60960"/>
          <a:ext cx="5796915" cy="37909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GASTOS DE ARRANQUE (Intangibles)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13</xdr:col>
      <xdr:colOff>742950</xdr:colOff>
      <xdr:row>2</xdr:row>
      <xdr:rowOff>28575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771525" y="0"/>
          <a:ext cx="4572000" cy="409575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PROYECCIÓN DE IPC</a:t>
          </a:r>
        </a:p>
      </xdr:txBody>
    </xdr:sp>
    <xdr:clientData/>
  </xdr:twoCellAnchor>
  <xdr:twoCellAnchor>
    <xdr:from>
      <xdr:col>6</xdr:col>
      <xdr:colOff>97222</xdr:colOff>
      <xdr:row>11</xdr:row>
      <xdr:rowOff>185168</xdr:rowOff>
    </xdr:from>
    <xdr:to>
      <xdr:col>12</xdr:col>
      <xdr:colOff>48738</xdr:colOff>
      <xdr:row>28</xdr:row>
      <xdr:rowOff>81598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  <a:ext uri="{147F2762-F138-4A5C-976F-8EAC2B608ADB}">
              <a16:predDERef xmlns:a16="http://schemas.microsoft.com/office/drawing/2014/main" pre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468455</xdr:colOff>
      <xdr:row>11</xdr:row>
      <xdr:rowOff>176759</xdr:rowOff>
    </xdr:from>
    <xdr:to>
      <xdr:col>18</xdr:col>
      <xdr:colOff>403412</xdr:colOff>
      <xdr:row>28</xdr:row>
      <xdr:rowOff>56029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619FB1-3688-4D60-B707-FD2DE43B7697}"/>
            </a:ext>
            <a:ext uri="{147F2762-F138-4A5C-976F-8EAC2B608ADB}">
              <a16:predDERef xmlns:a16="http://schemas.microsoft.com/office/drawing/2014/main" pre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0</xdr:row>
      <xdr:rowOff>122704</xdr:rowOff>
    </xdr:from>
    <xdr:to>
      <xdr:col>9</xdr:col>
      <xdr:colOff>971550</xdr:colOff>
      <xdr:row>2</xdr:row>
      <xdr:rowOff>129876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857250" y="122704"/>
          <a:ext cx="8792633" cy="388172"/>
        </a:xfrm>
        <a:prstGeom prst="rect">
          <a:avLst/>
        </a:prstGeom>
        <a:solidFill>
          <a:schemeClr val="tx1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23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PROYECCIÓN DE EGRESOS INSUMOS-</a:t>
          </a:r>
          <a:r>
            <a:rPr lang="es-CO" sz="23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chemeClr val="bg2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PLAN ORGÁNICO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/C/@/Lmulford/lemu028/jupe00t/Coord.%20Calidad/Matrices%202009/Matrices%20recibidas/VP%20Operaciones/Matriz%20Gcia%20Mantenimiento%202009%20y%202010-201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/C/Users/humbertodiazgutierrez/H%20Diaz/APLICATIVOS/GIRESS/Dise&#241;o/Consolidado_Plan_Operativ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cstand/Downloads/h-003_herramienta%20gestion%20de%20riesgos%20_%20v7%20Con%20observaciones%20sobre%20SST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LMA%20SORAYA/Desktop/PANORAMA%20DE%20FACTORES%20DE%20RIESGOS%20ACTUALIZADO%202010%20-%20Copy%20(1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/M/dfscoomeva/Documents%20and%20Settings/Diana.Huertas/My%20Documents/DCHS/AVAL/FASE%20II/Talleres/Matrizr&amp;cBcoBo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/C/@/Lmulford/lemu028/jupe00t/Coord.%20Calidad/Matrices%202009/Matrices%20recibidas/VP%20Operaciones/Matriz%20Metrolog&#237;a%20200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jbarrios/Proyecto%20TSP%20-%20Bogota/04%20PROYECTO/01%20JSA/JSA21/PI_21SANCHEZPOLO_BTA%20sem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ontrol%20de%20Inventari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SST/AppData/Local/Microsoft/Windows/Temporary%20Internet%20Files/Content.Outlook/8N7KE2P1/file:/H:/CARACTERIZACION%20ANGE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heidi/Documents/LONDON/DOCUMENTACION%20PIM%20OPERACIONES/2.%20Tablero%20Control%20e%20Indicadores/PI_25SANCHEZPOLO_OPER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rodriguez/Configuraci&#243;n%20local/Archivos%20temporales%20de%20Internet/OLK11/MATRIZ%20ETES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obertoM/Compartida/Ausentismo%20y%20Accidentalid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/C/Users/humbertodiazgutierrez/Downloads/Taller_3_Objetivos_Estrategico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OBT003\ibarrios\Mis%20documentos\ASTEQ\Nuevos%20ASTEQ%20TECH\GESTI&#211;N%20DE%20AUDITORI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formes%20accidentalidad\ESTADISTICAS%20DE%20ACCIDENTALIDAD\RATO-septiembre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EScarpati/Desktop/WESPITIA/HERRAMIENTA/BASE%20POR%20CARGOS%20TSP%20NUEVA%20VERSION%20DEFINITIVO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Kchamorro/AppData/Local/Microsoft/Windows/Temporary%20Internet%20Files/Content.Outlook/2BR0MM02/modelo%20tabler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/C/@/Lmulford/lemu028/OFICINA/JIAR786/Coordinaci&#243;n%20de%20Calidad/Segundo%20semestre/Matriz%20Coord%20Calidad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IONES"/>
      <sheetName val="PANORAMA RIESGOS"/>
      <sheetName val="CLASIFICACION y NOMBRE RIESGOS"/>
      <sheetName val="Resumen"/>
      <sheetName val="Factores de Riesgo"/>
      <sheetName val="DESCRIPCIÓN DE CONSECUENCIAS"/>
      <sheetName val="Posibles consecuencias en SST"/>
      <sheetName val="MATRIZ DE ANALISIS"/>
      <sheetName val="MATRIZ DE ANALISIS PROPUESTA"/>
      <sheetName val="SOLIDEZ DEL 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 formato PFR"/>
      <sheetName val="PRODUCCION"/>
      <sheetName val="Produccion-1"/>
      <sheetName val="Mantenimiento"/>
      <sheetName val="Hoja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 Calificación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ro"/>
      <sheetName val="Hoja2"/>
      <sheetName val="Maestro"/>
      <sheetName val="B.DATOS"/>
      <sheetName val="DISCREPANCIAS NO VALORIZADAS"/>
      <sheetName val="ENTREGA A FACTURA"/>
      <sheetName val="ENTREGA A FACTURA CKC"/>
      <sheetName val="DIAS DE CIERRE DISCREPANCIA"/>
      <sheetName val="DISCREPANCIAS CERRADAS"/>
      <sheetName val="DISCREPANCIAS"/>
      <sheetName val="DISCREPANCIAS CKC"/>
      <sheetName val="CUMPLIMIENTO AL PRESUPUESTO"/>
      <sheetName val="CUMPLIMIENTO AL PRESUPUESTO INT"/>
      <sheetName val="CUMPLIMIENTO AL PRESUPUESTO NAL"/>
      <sheetName val="RENTABILIDAD"/>
      <sheetName val="RENTABILIDAD NAL"/>
      <sheetName val="RENTABILIDAD INTNAL"/>
      <sheetName val="DIAS DE CARTERA"/>
      <sheetName val="TiempoFrontera"/>
      <sheetName val="VP x Cliente"/>
      <sheetName val="VP Viajes X Cliente"/>
      <sheetName val="NS Cargue Prove x Clien"/>
      <sheetName val="NS Cargue Cliente x Clien"/>
      <sheetName val="NS Entrega Prov x Clien"/>
      <sheetName val="NS Entrega Clien x Clien"/>
      <sheetName val="Tiem pedido cita x cli"/>
      <sheetName val="Tiem pedido cita x cli (2)"/>
      <sheetName val="Tiempo Cargue X Cliente"/>
      <sheetName val="Tiempo Descargue x Cli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Base"/>
      <sheetName val="Resumen de Compras"/>
      <sheetName val="Resumen de salidas"/>
      <sheetName val="Ingreso Factura"/>
      <sheetName val="RMP"/>
      <sheetName val="Matriz Facturas"/>
      <sheetName val="CFC"/>
      <sheetName val="Inventarios base"/>
      <sheetName val="Resumen Inventa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CARACTERIZACIÓN DE OFICIOS "/>
      <sheetName val="EJEMPLO"/>
      <sheetName val="Matriz de Peligro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-CA-CG"/>
      <sheetName val="Tablero"/>
      <sheetName val="Cosolidado mes"/>
      <sheetName val="Consolidado sem"/>
      <sheetName val="Analisis CMSA"/>
      <sheetName val="ErroresDespachos"/>
      <sheetName val="Planillas Pend x Def"/>
      <sheetName val="Maestro"/>
      <sheetName val="Discrepancias x despacho"/>
      <sheetName val="Sol APR Rechazadas"/>
      <sheetName val="Sol APR Devueltas"/>
      <sheetName val="Sol APR x Agencia"/>
      <sheetName val="SobreFletes"/>
      <sheetName val="Hoja1"/>
      <sheetName val="Tablasobre flete"/>
      <sheetName val="basetoda"/>
      <sheetName val="Cumplimiento PPTO Costos"/>
      <sheetName val="Planillas Anuladas"/>
      <sheetName val="Anticipos PendientexR"/>
      <sheetName val="Vacios"/>
      <sheetName val="Detalle Vacios"/>
      <sheetName val="SEGUIMIENTO PA VP"/>
      <sheetName val="PA"/>
      <sheetName val="Rentabi OPeracional"/>
      <sheetName val="VP x AGENCIA"/>
      <sheetName val="Puntuación"/>
      <sheetName val="Dicrep No Valorizadas"/>
      <sheetName val="CUMPLIMIENTO CLIENTE"/>
      <sheetName val="Resp. Indicadores"/>
      <sheetName val="Resumen Costos"/>
      <sheetName val="Cont naviera"/>
      <sheetName val="Detalle Vencidos"/>
      <sheetName val="SEGUIMIENTO PA RENT"/>
      <sheetName val="Homologación XOM"/>
      <sheetName val="Rotación Nacionales"/>
      <sheetName val="Rotación Internacional"/>
      <sheetName val="Resumen Eq Nacionales"/>
      <sheetName val="CKC"/>
      <sheetName val="Peldar"/>
      <sheetName val="EQUIP_INTER JUN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BASE1"/>
      <sheetName val="GRADO1"/>
      <sheetName val="MATRIZ DE PELIGROS"/>
      <sheetName val="INSTRUC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Tablas Base"/>
      <sheetName val="Ingreso de Datos"/>
      <sheetName val="Dias perdidos"/>
      <sheetName val="accidentes x turnos"/>
      <sheetName val="Cantidad de Accidentes"/>
      <sheetName val="Indicadores Accidentalidad"/>
      <sheetName val="Ausentismo"/>
      <sheetName val="Total ausentismo"/>
      <sheetName val="Ausentismo general"/>
      <sheetName val="A. sin permisos sindicales 2006"/>
      <sheetName val="A. sin permisos sind 04-05"/>
      <sheetName val="Morbilidad"/>
      <sheetName val="Detalle morbilidad"/>
      <sheetName val="Control exámenes"/>
      <sheetName val="Novedades enfermerí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operativ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os planif"/>
      <sheetName val="Planificación auditoría"/>
      <sheetName val="Programa auditoria"/>
      <sheetName val="Plan auditoría"/>
      <sheetName val="Informe auditoría"/>
      <sheetName val="Acciones Correctiva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 Base"/>
      <sheetName val="Ingreso de Datos"/>
      <sheetName val="Tabla 1"/>
      <sheetName val="Tabla 2"/>
      <sheetName val="Tabla  3"/>
      <sheetName val="Indica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 DC Nueva"/>
      <sheetName val="Programa"/>
      <sheetName val="Evaluación"/>
      <sheetName val="Promoción"/>
      <sheetName val="PANEL"/>
      <sheetName val="COMPETENCIAS"/>
      <sheetName val="PERFIL LDSP"/>
      <sheetName val="AUTORIDADES"/>
      <sheetName val="FUNCIONES ORG."/>
      <sheetName val="FUNC TIPICAS Y NO TIPIC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Tablero"/>
      <sheetName val="Maestro"/>
      <sheetName val="B.DATOS"/>
      <sheetName val="CAUSAS"/>
      <sheetName val="CUMPLIMIENTO AL PRESUPUESTO INT"/>
      <sheetName val="CUMPLIMIENTO AL PRESUPUESTO"/>
      <sheetName val="CUMPLIMIENTO AL PRESUPUESTO NAL"/>
      <sheetName val="RENTABILIDAD"/>
      <sheetName val="RENTABILIDAD NAL"/>
      <sheetName val="RENTABILIDAD INTNAL"/>
      <sheetName val="DISCREPANCIAS"/>
      <sheetName val="DIS_ABIERTAS"/>
      <sheetName val="DIS_XVALOR"/>
      <sheetName val="DIAS DE CARTERA"/>
      <sheetName val="ENTREGA A FACTURA"/>
      <sheetName val="TiempoFrontera"/>
      <sheetName val="CAUSAS FRONT"/>
      <sheetName val="VP x Cliente"/>
      <sheetName val="NS Cargue Prove x Clien"/>
      <sheetName val="NS Cargue Cliente x Clien"/>
      <sheetName val="NS Entrega Prov x Clien"/>
      <sheetName val="NS Entrega Clien x Clien"/>
      <sheetName val="Tiem pedido cita x cli"/>
      <sheetName val="Tiem pedido cita x cli (2)"/>
      <sheetName val="Tiempo Cargue X Cliente"/>
      <sheetName val="Tiempo Descargue x Client"/>
      <sheetName val="Tiem Sali Carg X Clien"/>
      <sheetName val="Tiempo Viaje Nacional"/>
      <sheetName val="Tiempo Viaje Internacional"/>
      <sheetName val="EVALUACIÓN DE PROV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honatan betancourt" id="{E3D838E8-D61F-4EEB-959A-23EC89C67B8D}" userId="577563a22fbc0f6e" providerId="Windows Live"/>
  <person displayName="Guest User" id="{037E5FB4-3060-4AAA-A558-ED04530112CB}" userId="afff663da8e0fdd9" providerId="Windows Live"/>
</personList>
</file>

<file path=xl/theme/theme1.xml><?xml version="1.0" encoding="utf-8"?>
<a:theme xmlns:a="http://schemas.openxmlformats.org/drawingml/2006/main" name="Badge">
  <a:themeElements>
    <a:clrScheme name="Personalizado 6">
      <a:dk1>
        <a:sysClr val="windowText" lastClr="000000"/>
      </a:dk1>
      <a:lt1>
        <a:sysClr val="window" lastClr="FFFFFF"/>
      </a:lt1>
      <a:dk2>
        <a:srgbClr val="2A1A00"/>
      </a:dk2>
      <a:lt2>
        <a:srgbClr val="FFFF00"/>
      </a:lt2>
      <a:accent1>
        <a:srgbClr val="2A1A00"/>
      </a:accent1>
      <a:accent2>
        <a:srgbClr val="656A59"/>
      </a:accent2>
      <a:accent3>
        <a:srgbClr val="46B2B5"/>
      </a:accent3>
      <a:accent4>
        <a:srgbClr val="8CAA7E"/>
      </a:accent4>
      <a:accent5>
        <a:srgbClr val="D36F68"/>
      </a:accent5>
      <a:accent6>
        <a:srgbClr val="826276"/>
      </a:accent6>
      <a:hlink>
        <a:srgbClr val="46B2B5"/>
      </a:hlink>
      <a:folHlink>
        <a:srgbClr val="A46694"/>
      </a:folHlink>
    </a:clrScheme>
    <a:fontScheme name="Badge">
      <a:majorFont>
        <a:latin typeface="Impact" panose="020B080603090205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メイリオ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Badg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in">
          <a:solidFill>
            <a:schemeClr val="phClr"/>
          </a:solidFill>
          <a:prstDash val="solid"/>
        </a:ln>
        <a:ln w="12700" cap="flat" cmpd="sng" algn="in">
          <a:solidFill>
            <a:schemeClr val="phClr"/>
          </a:solidFill>
          <a:prstDash val="solid"/>
        </a:ln>
        <a:ln w="50800" cap="flat" cmpd="sng" algn="in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algn="ctr" rotWithShape="0">
              <a:srgbClr val="000000">
                <a:alpha val="2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adge" id="{71A07785-5930-41D4-9A83-E23602B48E98}" vid="{771EA782-DFA6-45B1-AEA3-661F1715B310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6" dT="2021-06-22T12:33:50.85" personId="{037E5FB4-3060-4AAA-A558-ED04530112CB}" id="{15BBCB39-9EB9-44AF-89DA-46CB5F248247}">
    <text>Se suma el Impuesto de industria y comercio de todos los meses del año y como se paga mes vencido adicionalmente sumamos los dos últimos meses que se pagarían el primer mes del siguiente año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32" dT="2021-06-13T17:01:21.53" personId="{E3D838E8-D61F-4EEB-959A-23EC89C67B8D}" id="{2C16C10E-0A93-40DD-8C6A-DE7A2808C9B6}">
    <text>Inversión Inicial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3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11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M34"/>
  <sheetViews>
    <sheetView showGridLines="0" zoomScale="70" zoomScaleNormal="70" workbookViewId="0">
      <selection activeCell="N10" sqref="N10"/>
    </sheetView>
  </sheetViews>
  <sheetFormatPr baseColWidth="10" defaultColWidth="11" defaultRowHeight="17.25" x14ac:dyDescent="0.35"/>
  <cols>
    <col min="13" max="13" width="15" customWidth="1"/>
  </cols>
  <sheetData>
    <row r="4" spans="2:13" ht="18" thickBot="1" x14ac:dyDescent="0.4"/>
    <row r="5" spans="2:13" x14ac:dyDescent="0.35">
      <c r="B5" s="600" t="s">
        <v>0</v>
      </c>
      <c r="C5" s="601"/>
      <c r="D5" s="601"/>
      <c r="E5" s="601"/>
      <c r="F5" s="601" t="s">
        <v>1</v>
      </c>
      <c r="G5" s="601"/>
      <c r="H5" s="601"/>
      <c r="I5" s="601"/>
      <c r="J5" s="601"/>
      <c r="K5" s="601"/>
      <c r="L5" s="601"/>
      <c r="M5" s="604"/>
    </row>
    <row r="6" spans="2:13" x14ac:dyDescent="0.35">
      <c r="B6" s="602"/>
      <c r="C6" s="603"/>
      <c r="D6" s="603"/>
      <c r="E6" s="603"/>
      <c r="F6" s="603" t="s">
        <v>2</v>
      </c>
      <c r="G6" s="603"/>
      <c r="H6" s="603"/>
      <c r="I6" s="603"/>
      <c r="J6" s="603" t="s">
        <v>3</v>
      </c>
      <c r="K6" s="603"/>
      <c r="L6" s="603"/>
      <c r="M6" s="605"/>
    </row>
    <row r="7" spans="2:13" ht="15" customHeight="1" x14ac:dyDescent="0.35">
      <c r="B7" s="598" t="s">
        <v>4</v>
      </c>
      <c r="C7" s="599"/>
      <c r="D7" s="599"/>
      <c r="E7" s="599"/>
      <c r="F7" s="606" t="s">
        <v>5</v>
      </c>
      <c r="G7" s="606"/>
      <c r="H7" s="606"/>
      <c r="I7" s="606"/>
      <c r="J7" s="607" t="s">
        <v>6</v>
      </c>
      <c r="K7" s="607"/>
      <c r="L7" s="607"/>
      <c r="M7" s="608"/>
    </row>
    <row r="8" spans="2:13" ht="15" customHeight="1" x14ac:dyDescent="0.35">
      <c r="B8" s="598" t="s">
        <v>7</v>
      </c>
      <c r="C8" s="599"/>
      <c r="D8" s="599"/>
      <c r="E8" s="599"/>
      <c r="F8" s="607" t="s">
        <v>8</v>
      </c>
      <c r="G8" s="607"/>
      <c r="H8" s="607"/>
      <c r="I8" s="607"/>
      <c r="J8" s="607" t="s">
        <v>9</v>
      </c>
      <c r="K8" s="607"/>
      <c r="L8" s="607"/>
      <c r="M8" s="608"/>
    </row>
    <row r="9" spans="2:13" ht="15" customHeight="1" x14ac:dyDescent="0.35">
      <c r="B9" s="598"/>
      <c r="C9" s="599"/>
      <c r="D9" s="599"/>
      <c r="E9" s="599"/>
      <c r="F9" s="607"/>
      <c r="G9" s="607"/>
      <c r="H9" s="607"/>
      <c r="I9" s="607"/>
      <c r="J9" s="607"/>
      <c r="K9" s="607"/>
      <c r="L9" s="607"/>
      <c r="M9" s="608"/>
    </row>
    <row r="10" spans="2:13" ht="31.5" customHeight="1" x14ac:dyDescent="0.35">
      <c r="B10" s="598" t="s">
        <v>10</v>
      </c>
      <c r="C10" s="599"/>
      <c r="D10" s="599"/>
      <c r="E10" s="599"/>
      <c r="F10" s="607" t="s">
        <v>11</v>
      </c>
      <c r="G10" s="607"/>
      <c r="H10" s="607"/>
      <c r="I10" s="607"/>
      <c r="J10" s="607" t="s">
        <v>12</v>
      </c>
      <c r="K10" s="607"/>
      <c r="L10" s="607"/>
      <c r="M10" s="608"/>
    </row>
    <row r="11" spans="2:13" ht="34.5" customHeight="1" x14ac:dyDescent="0.35">
      <c r="B11" s="598" t="s">
        <v>13</v>
      </c>
      <c r="C11" s="599"/>
      <c r="D11" s="599"/>
      <c r="E11" s="599"/>
      <c r="F11" s="607" t="s">
        <v>14</v>
      </c>
      <c r="G11" s="607"/>
      <c r="H11" s="607"/>
      <c r="I11" s="607"/>
      <c r="J11" s="607" t="s">
        <v>15</v>
      </c>
      <c r="K11" s="607"/>
      <c r="L11" s="607"/>
      <c r="M11" s="608"/>
    </row>
    <row r="12" spans="2:13" ht="33" customHeight="1" x14ac:dyDescent="0.35">
      <c r="B12" s="609" t="s">
        <v>16</v>
      </c>
      <c r="C12" s="610"/>
      <c r="D12" s="610"/>
      <c r="E12" s="610"/>
      <c r="F12" s="611" t="s">
        <v>17</v>
      </c>
      <c r="G12" s="611"/>
      <c r="H12" s="611"/>
      <c r="I12" s="611"/>
      <c r="J12" s="611" t="s">
        <v>18</v>
      </c>
      <c r="K12" s="611"/>
      <c r="L12" s="611"/>
      <c r="M12" s="612"/>
    </row>
    <row r="13" spans="2:13" x14ac:dyDescent="0.35">
      <c r="B13" s="602" t="s">
        <v>19</v>
      </c>
      <c r="C13" s="603"/>
      <c r="D13" s="603"/>
      <c r="E13" s="603"/>
      <c r="F13" s="603" t="s">
        <v>20</v>
      </c>
      <c r="G13" s="603"/>
      <c r="H13" s="603"/>
      <c r="I13" s="603"/>
      <c r="J13" s="603" t="s">
        <v>21</v>
      </c>
      <c r="K13" s="603"/>
      <c r="L13" s="603"/>
      <c r="M13" s="605"/>
    </row>
    <row r="14" spans="2:13" x14ac:dyDescent="0.35">
      <c r="B14" s="613" t="s">
        <v>22</v>
      </c>
      <c r="C14" s="607"/>
      <c r="D14" s="607"/>
      <c r="E14" s="607"/>
      <c r="F14" s="607" t="s">
        <v>23</v>
      </c>
      <c r="G14" s="607"/>
      <c r="H14" s="607"/>
      <c r="I14" s="607"/>
      <c r="J14" s="607" t="s">
        <v>24</v>
      </c>
      <c r="K14" s="607"/>
      <c r="L14" s="607"/>
      <c r="M14" s="608"/>
    </row>
    <row r="15" spans="2:13" x14ac:dyDescent="0.35">
      <c r="B15" s="613"/>
      <c r="C15" s="607"/>
      <c r="D15" s="607"/>
      <c r="E15" s="607"/>
      <c r="F15" s="607"/>
      <c r="G15" s="607"/>
      <c r="H15" s="607"/>
      <c r="I15" s="607"/>
      <c r="J15" s="607"/>
      <c r="K15" s="607"/>
      <c r="L15" s="607"/>
      <c r="M15" s="608"/>
    </row>
    <row r="16" spans="2:13" x14ac:dyDescent="0.35">
      <c r="B16" s="613" t="s">
        <v>25</v>
      </c>
      <c r="C16" s="607"/>
      <c r="D16" s="607"/>
      <c r="E16" s="607"/>
      <c r="F16" s="607" t="s">
        <v>26</v>
      </c>
      <c r="G16" s="607"/>
      <c r="H16" s="607"/>
      <c r="I16" s="607"/>
      <c r="J16" s="607" t="s">
        <v>27</v>
      </c>
      <c r="K16" s="607"/>
      <c r="L16" s="607"/>
      <c r="M16" s="608"/>
    </row>
    <row r="17" spans="2:13" x14ac:dyDescent="0.35">
      <c r="B17" s="613"/>
      <c r="C17" s="607"/>
      <c r="D17" s="607"/>
      <c r="E17" s="607"/>
      <c r="F17" s="607"/>
      <c r="G17" s="607"/>
      <c r="H17" s="607"/>
      <c r="I17" s="607"/>
      <c r="J17" s="607"/>
      <c r="K17" s="607"/>
      <c r="L17" s="607"/>
      <c r="M17" s="608"/>
    </row>
    <row r="18" spans="2:13" ht="15.75" customHeight="1" x14ac:dyDescent="0.35">
      <c r="B18" s="614" t="s">
        <v>28</v>
      </c>
      <c r="C18" s="611"/>
      <c r="D18" s="611"/>
      <c r="E18" s="611"/>
      <c r="F18" s="607" t="s">
        <v>29</v>
      </c>
      <c r="G18" s="607"/>
      <c r="H18" s="607"/>
      <c r="I18" s="607"/>
      <c r="J18" s="611" t="s">
        <v>30</v>
      </c>
      <c r="K18" s="611"/>
      <c r="L18" s="611"/>
      <c r="M18" s="612"/>
    </row>
    <row r="19" spans="2:13" x14ac:dyDescent="0.35">
      <c r="B19" s="614"/>
      <c r="C19" s="611"/>
      <c r="D19" s="611"/>
      <c r="E19" s="611"/>
      <c r="F19" s="607"/>
      <c r="G19" s="607"/>
      <c r="H19" s="607"/>
      <c r="I19" s="607"/>
      <c r="J19" s="611"/>
      <c r="K19" s="611"/>
      <c r="L19" s="611"/>
      <c r="M19" s="612"/>
    </row>
    <row r="20" spans="2:13" ht="15.75" customHeight="1" x14ac:dyDescent="0.35">
      <c r="B20" s="614" t="s">
        <v>31</v>
      </c>
      <c r="C20" s="611"/>
      <c r="D20" s="611"/>
      <c r="E20" s="611"/>
      <c r="F20" s="611" t="s">
        <v>32</v>
      </c>
      <c r="G20" s="611"/>
      <c r="H20" s="611"/>
      <c r="I20" s="611"/>
      <c r="J20" s="611" t="s">
        <v>33</v>
      </c>
      <c r="K20" s="611"/>
      <c r="L20" s="611"/>
      <c r="M20" s="612"/>
    </row>
    <row r="21" spans="2:13" ht="15" customHeight="1" x14ac:dyDescent="0.35">
      <c r="B21" s="614"/>
      <c r="C21" s="611"/>
      <c r="D21" s="611"/>
      <c r="E21" s="611"/>
      <c r="F21" s="611"/>
      <c r="G21" s="611"/>
      <c r="H21" s="611"/>
      <c r="I21" s="611"/>
      <c r="J21" s="611"/>
      <c r="K21" s="611"/>
      <c r="L21" s="611"/>
      <c r="M21" s="612"/>
    </row>
    <row r="22" spans="2:13" ht="15" customHeight="1" x14ac:dyDescent="0.35">
      <c r="B22" s="613" t="s">
        <v>34</v>
      </c>
      <c r="C22" s="607"/>
      <c r="D22" s="607"/>
      <c r="E22" s="607"/>
      <c r="F22" s="611" t="s">
        <v>35</v>
      </c>
      <c r="G22" s="611"/>
      <c r="H22" s="611"/>
      <c r="I22" s="611"/>
      <c r="J22" s="611" t="s">
        <v>36</v>
      </c>
      <c r="K22" s="611"/>
      <c r="L22" s="611"/>
      <c r="M22" s="612"/>
    </row>
    <row r="23" spans="2:13" x14ac:dyDescent="0.35">
      <c r="B23" s="613"/>
      <c r="C23" s="607"/>
      <c r="D23" s="607"/>
      <c r="E23" s="607"/>
      <c r="F23" s="611"/>
      <c r="G23" s="611"/>
      <c r="H23" s="611"/>
      <c r="I23" s="611"/>
      <c r="J23" s="611"/>
      <c r="K23" s="611"/>
      <c r="L23" s="611"/>
      <c r="M23" s="612"/>
    </row>
    <row r="24" spans="2:13" x14ac:dyDescent="0.35">
      <c r="B24" s="602" t="s">
        <v>37</v>
      </c>
      <c r="C24" s="603"/>
      <c r="D24" s="603"/>
      <c r="E24" s="603"/>
      <c r="F24" s="603" t="s">
        <v>38</v>
      </c>
      <c r="G24" s="603"/>
      <c r="H24" s="603"/>
      <c r="I24" s="603"/>
      <c r="J24" s="603" t="s">
        <v>39</v>
      </c>
      <c r="K24" s="603"/>
      <c r="L24" s="603"/>
      <c r="M24" s="605"/>
    </row>
    <row r="25" spans="2:13" x14ac:dyDescent="0.35">
      <c r="B25" s="613" t="s">
        <v>40</v>
      </c>
      <c r="C25" s="607"/>
      <c r="D25" s="607"/>
      <c r="E25" s="607"/>
      <c r="F25" s="607" t="s">
        <v>41</v>
      </c>
      <c r="G25" s="607"/>
      <c r="H25" s="607"/>
      <c r="I25" s="607"/>
      <c r="J25" s="607" t="s">
        <v>42</v>
      </c>
      <c r="K25" s="607"/>
      <c r="L25" s="607"/>
      <c r="M25" s="608"/>
    </row>
    <row r="26" spans="2:13" x14ac:dyDescent="0.35">
      <c r="B26" s="613"/>
      <c r="C26" s="607"/>
      <c r="D26" s="607"/>
      <c r="E26" s="607"/>
      <c r="F26" s="607"/>
      <c r="G26" s="607"/>
      <c r="H26" s="607"/>
      <c r="I26" s="607"/>
      <c r="J26" s="607"/>
      <c r="K26" s="607"/>
      <c r="L26" s="607"/>
      <c r="M26" s="608"/>
    </row>
    <row r="27" spans="2:13" ht="15.75" customHeight="1" x14ac:dyDescent="0.35">
      <c r="B27" s="613" t="s">
        <v>43</v>
      </c>
      <c r="C27" s="607"/>
      <c r="D27" s="607"/>
      <c r="E27" s="607"/>
      <c r="F27" s="607" t="s">
        <v>44</v>
      </c>
      <c r="G27" s="607"/>
      <c r="H27" s="607"/>
      <c r="I27" s="607"/>
      <c r="J27" s="607" t="s">
        <v>45</v>
      </c>
      <c r="K27" s="607"/>
      <c r="L27" s="607"/>
      <c r="M27" s="608"/>
    </row>
    <row r="28" spans="2:13" ht="15" customHeight="1" x14ac:dyDescent="0.35">
      <c r="B28" s="613"/>
      <c r="C28" s="607"/>
      <c r="D28" s="607"/>
      <c r="E28" s="607"/>
      <c r="F28" s="607"/>
      <c r="G28" s="607"/>
      <c r="H28" s="607"/>
      <c r="I28" s="607"/>
      <c r="J28" s="607"/>
      <c r="K28" s="607"/>
      <c r="L28" s="607"/>
      <c r="M28" s="608"/>
    </row>
    <row r="29" spans="2:13" ht="15.75" customHeight="1" x14ac:dyDescent="0.35">
      <c r="B29" s="613" t="s">
        <v>46</v>
      </c>
      <c r="C29" s="607"/>
      <c r="D29" s="607"/>
      <c r="E29" s="607"/>
      <c r="F29" s="607" t="s">
        <v>47</v>
      </c>
      <c r="G29" s="607"/>
      <c r="H29" s="607"/>
      <c r="I29" s="607"/>
      <c r="J29" s="607" t="s">
        <v>48</v>
      </c>
      <c r="K29" s="607"/>
      <c r="L29" s="607"/>
      <c r="M29" s="608"/>
    </row>
    <row r="30" spans="2:13" x14ac:dyDescent="0.35">
      <c r="B30" s="613"/>
      <c r="C30" s="607"/>
      <c r="D30" s="607"/>
      <c r="E30" s="607"/>
      <c r="F30" s="607"/>
      <c r="G30" s="607"/>
      <c r="H30" s="607"/>
      <c r="I30" s="607"/>
      <c r="J30" s="607"/>
      <c r="K30" s="607"/>
      <c r="L30" s="607"/>
      <c r="M30" s="608"/>
    </row>
    <row r="31" spans="2:13" ht="15.75" customHeight="1" x14ac:dyDescent="0.35">
      <c r="B31" s="614" t="s">
        <v>49</v>
      </c>
      <c r="C31" s="611"/>
      <c r="D31" s="611"/>
      <c r="E31" s="611"/>
      <c r="F31" s="611" t="s">
        <v>50</v>
      </c>
      <c r="G31" s="611"/>
      <c r="H31" s="611"/>
      <c r="I31" s="611"/>
      <c r="J31" s="611" t="s">
        <v>51</v>
      </c>
      <c r="K31" s="611"/>
      <c r="L31" s="611"/>
      <c r="M31" s="612"/>
    </row>
    <row r="32" spans="2:13" ht="15.75" customHeight="1" x14ac:dyDescent="0.35">
      <c r="B32" s="614"/>
      <c r="C32" s="611"/>
      <c r="D32" s="611"/>
      <c r="E32" s="611"/>
      <c r="F32" s="611"/>
      <c r="G32" s="611"/>
      <c r="H32" s="611"/>
      <c r="I32" s="611"/>
      <c r="J32" s="611"/>
      <c r="K32" s="611"/>
      <c r="L32" s="611"/>
      <c r="M32" s="612"/>
    </row>
    <row r="33" spans="2:13" x14ac:dyDescent="0.35">
      <c r="B33" s="614" t="s">
        <v>52</v>
      </c>
      <c r="C33" s="611"/>
      <c r="D33" s="611"/>
      <c r="E33" s="611"/>
      <c r="F33" s="611" t="s">
        <v>53</v>
      </c>
      <c r="G33" s="611"/>
      <c r="H33" s="611"/>
      <c r="I33" s="611"/>
      <c r="J33" s="611" t="s">
        <v>54</v>
      </c>
      <c r="K33" s="611"/>
      <c r="L33" s="611"/>
      <c r="M33" s="612"/>
    </row>
    <row r="34" spans="2:13" ht="18" thickBot="1" x14ac:dyDescent="0.4">
      <c r="B34" s="615"/>
      <c r="C34" s="616"/>
      <c r="D34" s="616"/>
      <c r="E34" s="616"/>
      <c r="F34" s="616"/>
      <c r="G34" s="616"/>
      <c r="H34" s="616"/>
      <c r="I34" s="616"/>
      <c r="J34" s="616"/>
      <c r="K34" s="616"/>
      <c r="L34" s="616"/>
      <c r="M34" s="617"/>
    </row>
  </sheetData>
  <mergeCells count="55">
    <mergeCell ref="B33:E34"/>
    <mergeCell ref="F33:I34"/>
    <mergeCell ref="J33:M34"/>
    <mergeCell ref="B31:E32"/>
    <mergeCell ref="F31:I32"/>
    <mergeCell ref="J31:M32"/>
    <mergeCell ref="B25:E26"/>
    <mergeCell ref="F25:I26"/>
    <mergeCell ref="J25:M26"/>
    <mergeCell ref="B27:E28"/>
    <mergeCell ref="B29:E30"/>
    <mergeCell ref="F27:I28"/>
    <mergeCell ref="F29:I30"/>
    <mergeCell ref="J27:M28"/>
    <mergeCell ref="J29:M30"/>
    <mergeCell ref="B24:E24"/>
    <mergeCell ref="F24:I24"/>
    <mergeCell ref="J24:M24"/>
    <mergeCell ref="B20:E21"/>
    <mergeCell ref="B22:E23"/>
    <mergeCell ref="F20:I21"/>
    <mergeCell ref="J20:M21"/>
    <mergeCell ref="F22:I23"/>
    <mergeCell ref="J22:M23"/>
    <mergeCell ref="B16:E17"/>
    <mergeCell ref="F16:I17"/>
    <mergeCell ref="J16:M17"/>
    <mergeCell ref="B18:E19"/>
    <mergeCell ref="F18:I19"/>
    <mergeCell ref="J18:M19"/>
    <mergeCell ref="B13:E13"/>
    <mergeCell ref="F13:I13"/>
    <mergeCell ref="J13:M13"/>
    <mergeCell ref="B14:E15"/>
    <mergeCell ref="F14:I15"/>
    <mergeCell ref="J14:M15"/>
    <mergeCell ref="B12:E12"/>
    <mergeCell ref="F12:I12"/>
    <mergeCell ref="J12:M12"/>
    <mergeCell ref="B10:E10"/>
    <mergeCell ref="B11:E11"/>
    <mergeCell ref="J10:M10"/>
    <mergeCell ref="J11:M11"/>
    <mergeCell ref="F10:I10"/>
    <mergeCell ref="F11:I11"/>
    <mergeCell ref="B8:E9"/>
    <mergeCell ref="B5:E6"/>
    <mergeCell ref="F5:M5"/>
    <mergeCell ref="F6:I6"/>
    <mergeCell ref="J6:M6"/>
    <mergeCell ref="F7:I7"/>
    <mergeCell ref="J7:M7"/>
    <mergeCell ref="B7:E7"/>
    <mergeCell ref="J8:M9"/>
    <mergeCell ref="F8:I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4:L27"/>
  <sheetViews>
    <sheetView topLeftCell="B1" zoomScaleNormal="100" workbookViewId="0">
      <selection activeCell="J4" sqref="J4"/>
    </sheetView>
  </sheetViews>
  <sheetFormatPr baseColWidth="10" defaultColWidth="11.5" defaultRowHeight="15" x14ac:dyDescent="0.25"/>
  <cols>
    <col min="1" max="1" width="11.5" style="6" customWidth="1"/>
    <col min="2" max="2" width="8.375" style="6" customWidth="1"/>
    <col min="3" max="3" width="15.625" style="6" customWidth="1"/>
    <col min="4" max="4" width="14.875" style="6" customWidth="1"/>
    <col min="5" max="5" width="11.5" style="6" customWidth="1"/>
    <col min="6" max="6" width="8.125" style="6" customWidth="1"/>
    <col min="7" max="7" width="14.625" style="6" customWidth="1"/>
    <col min="8" max="8" width="15.375" style="6" customWidth="1"/>
    <col min="9" max="9" width="15.25" style="6" customWidth="1"/>
    <col min="10" max="10" width="15.5" style="6" customWidth="1"/>
    <col min="11" max="11" width="14.625" style="6" customWidth="1"/>
    <col min="12" max="12" width="29.125" style="6" customWidth="1"/>
    <col min="13" max="16384" width="11.5" style="6"/>
  </cols>
  <sheetData>
    <row r="4" spans="2:12" x14ac:dyDescent="0.25">
      <c r="H4" s="194"/>
    </row>
    <row r="5" spans="2:12" ht="15.75" thickBot="1" x14ac:dyDescent="0.3"/>
    <row r="6" spans="2:12" x14ac:dyDescent="0.25">
      <c r="B6" s="259" t="s">
        <v>262</v>
      </c>
      <c r="C6" s="680" t="s">
        <v>263</v>
      </c>
      <c r="D6" s="680"/>
      <c r="E6" s="517" t="s">
        <v>174</v>
      </c>
      <c r="F6" s="517" t="s">
        <v>264</v>
      </c>
      <c r="G6" s="517" t="s">
        <v>265</v>
      </c>
      <c r="H6" s="517" t="s">
        <v>266</v>
      </c>
      <c r="I6" s="517" t="s">
        <v>267</v>
      </c>
      <c r="J6" s="517" t="s">
        <v>268</v>
      </c>
      <c r="K6" s="260" t="s">
        <v>269</v>
      </c>
    </row>
    <row r="7" spans="2:12" x14ac:dyDescent="0.25">
      <c r="B7" s="677" t="s">
        <v>270</v>
      </c>
      <c r="C7" s="678"/>
      <c r="D7" s="678"/>
      <c r="E7" s="678"/>
      <c r="F7" s="678"/>
      <c r="G7" s="678"/>
      <c r="H7" s="678"/>
      <c r="I7" s="678"/>
      <c r="J7" s="678"/>
      <c r="K7" s="679"/>
    </row>
    <row r="8" spans="2:12" ht="13.9" customHeight="1" x14ac:dyDescent="0.25">
      <c r="B8" s="250">
        <v>1</v>
      </c>
      <c r="C8" s="671" t="s">
        <v>271</v>
      </c>
      <c r="D8" s="671"/>
      <c r="E8" s="245" t="s">
        <v>272</v>
      </c>
      <c r="F8" s="245">
        <v>1</v>
      </c>
      <c r="G8" s="50">
        <f>K8/(F8*L9*L11)</f>
        <v>2125</v>
      </c>
      <c r="H8" s="50">
        <f>G8*F8*PronósticoDmda!$M$18*(1+ProyecciónIPC!$E$26)</f>
        <v>92310.025500000003</v>
      </c>
      <c r="I8" s="50">
        <f>G8*F8*PronósticoDmda!$M$19*(1+ProyecciónIPC!$E$27)</f>
        <v>131745.6225</v>
      </c>
      <c r="J8" s="50">
        <f>G8*F8*PronósticoDmda!$M$20*(1+ProyecciónIPC!$E$28)</f>
        <v>138639.50159999999</v>
      </c>
      <c r="K8" s="328">
        <v>408000</v>
      </c>
      <c r="L8" s="327" t="s">
        <v>273</v>
      </c>
    </row>
    <row r="9" spans="2:12" ht="13.9" customHeight="1" x14ac:dyDescent="0.25">
      <c r="B9" s="250">
        <v>2</v>
      </c>
      <c r="C9" s="671" t="s">
        <v>274</v>
      </c>
      <c r="D9" s="671"/>
      <c r="E9" s="245" t="s">
        <v>272</v>
      </c>
      <c r="F9" s="245">
        <v>1</v>
      </c>
      <c r="G9" s="50">
        <f>K9</f>
        <v>100000</v>
      </c>
      <c r="H9" s="50">
        <f>G9*F9*PronósticoDmda!$M$18*(1+ProyecciónIPC!$E$26)</f>
        <v>4344001.2</v>
      </c>
      <c r="I9" s="50">
        <f>G9*F9*PronósticoDmda!$M$19*(1+ProyecciónIPC!$E$27)</f>
        <v>6199794</v>
      </c>
      <c r="J9" s="50">
        <f>G9*F9*PronósticoDmda!$M$20*(1+ProyecciónIPC!$E$28)</f>
        <v>6524211.8399999989</v>
      </c>
      <c r="K9" s="328">
        <v>100000</v>
      </c>
      <c r="L9" s="439">
        <v>16</v>
      </c>
    </row>
    <row r="10" spans="2:12" ht="13.9" customHeight="1" x14ac:dyDescent="0.25">
      <c r="B10" s="250">
        <v>3</v>
      </c>
      <c r="C10" s="671" t="s">
        <v>275</v>
      </c>
      <c r="D10" s="671"/>
      <c r="E10" s="245" t="s">
        <v>272</v>
      </c>
      <c r="F10" s="245">
        <v>1</v>
      </c>
      <c r="G10" s="50">
        <f t="shared" ref="G10" si="0">K10</f>
        <v>100000</v>
      </c>
      <c r="H10" s="50">
        <f>G10*F10*PronósticoDmda!$M$18*(1+ProyecciónIPC!$E$26)</f>
        <v>4344001.2</v>
      </c>
      <c r="I10" s="50">
        <f>G10*F10*PronósticoDmda!$M$19*(1+ProyecciónIPC!$E$27)</f>
        <v>6199794</v>
      </c>
      <c r="J10" s="50">
        <f>G10*F10*PronósticoDmda!$M$20*(1+ProyecciónIPC!$E$28)</f>
        <v>6524211.8399999989</v>
      </c>
      <c r="K10" s="328">
        <v>100000</v>
      </c>
      <c r="L10" s="327" t="s">
        <v>276</v>
      </c>
    </row>
    <row r="11" spans="2:12" ht="13.9" customHeight="1" x14ac:dyDescent="0.25">
      <c r="B11" s="250">
        <v>4</v>
      </c>
      <c r="C11" s="671" t="s">
        <v>277</v>
      </c>
      <c r="D11" s="671"/>
      <c r="E11" s="245" t="s">
        <v>272</v>
      </c>
      <c r="F11" s="245">
        <v>1</v>
      </c>
      <c r="G11" s="50">
        <f>K11</f>
        <v>50000</v>
      </c>
      <c r="H11" s="50">
        <f>G11*F11*PronósticoDmda!$M$18*(1+ProyecciónIPC!$E$26)</f>
        <v>2172000.6</v>
      </c>
      <c r="I11" s="50">
        <f>G11*F11*PronósticoDmda!$M$19*(1+ProyecciónIPC!$E$27)</f>
        <v>3099897</v>
      </c>
      <c r="J11" s="50">
        <f>G11*F11*PronósticoDmda!$M$20*(1+ProyecciónIPC!$E$28)</f>
        <v>3262105.9199999995</v>
      </c>
      <c r="K11" s="328">
        <v>50000</v>
      </c>
      <c r="L11" s="439">
        <v>12</v>
      </c>
    </row>
    <row r="12" spans="2:12" ht="13.9" customHeight="1" x14ac:dyDescent="0.25">
      <c r="B12" s="250">
        <v>5</v>
      </c>
      <c r="C12" s="671" t="s">
        <v>278</v>
      </c>
      <c r="D12" s="671"/>
      <c r="E12" s="245" t="s">
        <v>272</v>
      </c>
      <c r="F12" s="245">
        <v>1</v>
      </c>
      <c r="G12" s="50">
        <f>K12/(F12*L9*L11)</f>
        <v>625</v>
      </c>
      <c r="H12" s="50">
        <f>G12*F12*PronósticoDmda!$M$18*(1+ProyecciónIPC!$E$26)</f>
        <v>27150.0075</v>
      </c>
      <c r="I12" s="50">
        <f>G12*F12*PronósticoDmda!$M$19*(1+ProyecciónIPC!$E$27)</f>
        <v>38748.712500000001</v>
      </c>
      <c r="J12" s="50">
        <f>G12*F12*PronósticoDmda!$M$20*(1+ProyecciónIPC!$E$28)</f>
        <v>40776.323999999993</v>
      </c>
      <c r="K12" s="328">
        <v>120000</v>
      </c>
    </row>
    <row r="13" spans="2:12" ht="13.9" customHeight="1" x14ac:dyDescent="0.25">
      <c r="B13" s="250">
        <v>6</v>
      </c>
      <c r="C13" s="671" t="s">
        <v>279</v>
      </c>
      <c r="D13" s="671"/>
      <c r="E13" s="245" t="s">
        <v>272</v>
      </c>
      <c r="F13" s="245">
        <v>7</v>
      </c>
      <c r="G13" s="50">
        <f>K13/(F13*L9*L11)</f>
        <v>339.28571428571428</v>
      </c>
      <c r="H13" s="50">
        <f>G13*F13*PronósticoDmda!$M$18*(1+ProyecciónIPC!$E$26)</f>
        <v>103170.0285</v>
      </c>
      <c r="I13" s="50">
        <f>G13*F13*PronósticoDmda!$M$19*(1+ProyecciónIPC!$E$27)</f>
        <v>147245.10749999998</v>
      </c>
      <c r="J13" s="50">
        <f>G13*F13*PronósticoDmda!$M$20*(1+ProyecciónIPC!$E$28)</f>
        <v>154950.0312</v>
      </c>
      <c r="K13" s="328">
        <v>456000</v>
      </c>
    </row>
    <row r="14" spans="2:12" ht="13.9" customHeight="1" x14ac:dyDescent="0.25">
      <c r="B14" s="250">
        <v>7</v>
      </c>
      <c r="C14" s="671" t="s">
        <v>280</v>
      </c>
      <c r="D14" s="671"/>
      <c r="E14" s="245" t="s">
        <v>272</v>
      </c>
      <c r="F14" s="245">
        <v>7</v>
      </c>
      <c r="G14" s="50">
        <f>K14/(F14*L9*L11)</f>
        <v>297.61904761904759</v>
      </c>
      <c r="H14" s="50">
        <f>G14*F14*PronósticoDmda!$M$18*(1+ProyecciónIPC!$E$26)</f>
        <v>90500.024999999994</v>
      </c>
      <c r="I14" s="50">
        <f>G14*F14*PronósticoDmda!$M$19*(1+ProyecciónIPC!$E$27)</f>
        <v>129162.37499999999</v>
      </c>
      <c r="J14" s="50">
        <f>G14*F14*PronósticoDmda!$M$20*(1+ProyecciónIPC!$E$28)</f>
        <v>135921.07999999999</v>
      </c>
      <c r="K14" s="328">
        <v>400000</v>
      </c>
    </row>
    <row r="15" spans="2:12" ht="13.9" customHeight="1" x14ac:dyDescent="0.25">
      <c r="B15" s="250">
        <v>8</v>
      </c>
      <c r="C15" s="671" t="s">
        <v>281</v>
      </c>
      <c r="D15" s="671"/>
      <c r="E15" s="245" t="s">
        <v>272</v>
      </c>
      <c r="F15" s="245">
        <v>2</v>
      </c>
      <c r="G15" s="50">
        <f>K15/(F15*L9*L11)</f>
        <v>296.875</v>
      </c>
      <c r="H15" s="50">
        <f>G15*F15*PronósticoDmda!$M$18*(1+ProyecciónIPC!$E$26)</f>
        <v>25792.507125</v>
      </c>
      <c r="I15" s="50">
        <f>G15*F15*PronósticoDmda!$M$19*(1+ProyecciónIPC!$E$27)</f>
        <v>36811.276874999996</v>
      </c>
      <c r="J15" s="50">
        <f>G15*F15*PronósticoDmda!$M$20*(1+ProyecciónIPC!$E$28)</f>
        <v>38737.507799999999</v>
      </c>
      <c r="K15" s="328">
        <v>114000</v>
      </c>
    </row>
    <row r="16" spans="2:12" ht="13.9" customHeight="1" x14ac:dyDescent="0.25">
      <c r="B16" s="250">
        <v>9</v>
      </c>
      <c r="C16" s="671" t="s">
        <v>282</v>
      </c>
      <c r="D16" s="671"/>
      <c r="E16" s="245" t="s">
        <v>272</v>
      </c>
      <c r="F16" s="245">
        <v>2</v>
      </c>
      <c r="G16" s="50">
        <f>K16/(F16*L9*L11)</f>
        <v>1406.25</v>
      </c>
      <c r="H16" s="50">
        <f>G16*F16*PronósticoDmda!$M$18*(1+ProyecciónIPC!$E$26)</f>
        <v>122175.03375</v>
      </c>
      <c r="I16" s="50">
        <f>G16*F16*PronósticoDmda!$M$19*(1+ProyecciónIPC!$E$27)</f>
        <v>174369.20624999999</v>
      </c>
      <c r="J16" s="50">
        <f>G16*F16*PronósticoDmda!$M$20*(1+ProyecciónIPC!$E$28)</f>
        <v>183493.45799999998</v>
      </c>
      <c r="K16" s="328">
        <v>540000</v>
      </c>
    </row>
    <row r="17" spans="2:11" x14ac:dyDescent="0.25">
      <c r="B17" s="250">
        <v>10</v>
      </c>
      <c r="C17" s="671"/>
      <c r="D17" s="671"/>
      <c r="E17" s="245"/>
      <c r="F17" s="245"/>
      <c r="G17" s="50"/>
      <c r="H17" s="50">
        <f>G17*F17*PronósticoDmda!$M$18*(1+ProyecciónIPC!$E$26)</f>
        <v>0</v>
      </c>
      <c r="I17" s="50">
        <f>((G17*F17)+(G17*ProyecciónIPC!$E$27))*PronósticoDmda!$M$19</f>
        <v>0</v>
      </c>
      <c r="J17" s="50">
        <f>(G17*F17+(G17*ProyecciónIPC!$E$28))*PronósticoDmda!$M$20</f>
        <v>0</v>
      </c>
      <c r="K17" s="328"/>
    </row>
    <row r="18" spans="2:11" x14ac:dyDescent="0.25">
      <c r="B18" s="250"/>
      <c r="C18" s="671" t="s">
        <v>283</v>
      </c>
      <c r="D18" s="671"/>
      <c r="E18" s="247"/>
      <c r="F18" s="247"/>
      <c r="G18" s="248">
        <f>SUM(G8:G17)</f>
        <v>255090.02976190476</v>
      </c>
      <c r="H18" s="249">
        <f>SUM(H8:H17)</f>
        <v>11321100.627375001</v>
      </c>
      <c r="I18" s="249">
        <f>SUM(I8:I17)</f>
        <v>16157567.300625</v>
      </c>
      <c r="J18" s="249">
        <f>SUM(J8:J17)</f>
        <v>17003047.502599996</v>
      </c>
      <c r="K18" s="251">
        <f>SUM(K8:K17)</f>
        <v>2288000</v>
      </c>
    </row>
    <row r="19" spans="2:11" ht="13.9" customHeight="1" x14ac:dyDescent="0.25">
      <c r="B19" s="672" t="s">
        <v>284</v>
      </c>
      <c r="C19" s="673"/>
      <c r="D19" s="673"/>
      <c r="E19" s="673"/>
      <c r="F19" s="673"/>
      <c r="G19" s="673"/>
      <c r="H19" s="673"/>
      <c r="I19" s="673"/>
      <c r="J19" s="673"/>
      <c r="K19" s="674"/>
    </row>
    <row r="20" spans="2:11" x14ac:dyDescent="0.25">
      <c r="B20" s="250">
        <v>11</v>
      </c>
      <c r="C20" s="671" t="s">
        <v>196</v>
      </c>
      <c r="D20" s="671"/>
      <c r="E20" s="245" t="s">
        <v>272</v>
      </c>
      <c r="F20" s="245">
        <v>1</v>
      </c>
      <c r="G20" s="246">
        <f>K20/(L9*L11)</f>
        <v>1041.6666666666667</v>
      </c>
      <c r="H20" s="246">
        <f>K20*PronósticoDmda!$M$17*(1+ProyecciónIPC!$E$26)</f>
        <v>82742.880000000005</v>
      </c>
      <c r="I20" s="246">
        <f>K20*PronósticoDmda!$M$17*(1+ProyecciónIPC!$E$27)</f>
        <v>82663.92</v>
      </c>
      <c r="J20" s="246">
        <f>K20*PronósticoDmda!$M$17*(1+ProyecciónIPC!$E$28)</f>
        <v>82584.959999999992</v>
      </c>
      <c r="K20" s="328">
        <v>200000</v>
      </c>
    </row>
    <row r="21" spans="2:11" x14ac:dyDescent="0.25">
      <c r="B21" s="250">
        <v>12</v>
      </c>
      <c r="C21" s="671" t="s">
        <v>285</v>
      </c>
      <c r="D21" s="671"/>
      <c r="E21" s="245" t="s">
        <v>272</v>
      </c>
      <c r="F21" s="245">
        <v>1</v>
      </c>
      <c r="G21" s="246">
        <f>K21/(L9*L11)</f>
        <v>520.83333333333337</v>
      </c>
      <c r="H21" s="246">
        <f>K21*PronósticoDmda!$M$17*(1+ProyecciónIPC!$E$26)</f>
        <v>41371.440000000002</v>
      </c>
      <c r="I21" s="246">
        <f>K21*PronósticoDmda!$M$17*(1+ProyecciónIPC!$E$27)</f>
        <v>41331.96</v>
      </c>
      <c r="J21" s="246">
        <f>K21*PronósticoDmda!$M$17*(1+ProyecciónIPC!$E$28)</f>
        <v>41292.479999999996</v>
      </c>
      <c r="K21" s="328">
        <v>100000</v>
      </c>
    </row>
    <row r="22" spans="2:11" x14ac:dyDescent="0.25">
      <c r="B22" s="250">
        <v>13</v>
      </c>
      <c r="C22" s="671"/>
      <c r="D22" s="671"/>
      <c r="E22" s="245"/>
      <c r="F22" s="245"/>
      <c r="G22" s="248"/>
      <c r="H22" s="246">
        <f>G22*F22*PronósticoDmda!$M$18*(1+ProyecciónIPC!$E$26)</f>
        <v>0</v>
      </c>
      <c r="I22" s="246">
        <f>G22*F22*PronósticoDmda!$M$19*(1+ProyecciónIPC!$E$27)</f>
        <v>0</v>
      </c>
      <c r="J22" s="246">
        <f>G22*F22*PronósticoDmda!$M$20*(1+ProyecciónIPC!$E$28)</f>
        <v>0</v>
      </c>
      <c r="K22" s="328"/>
    </row>
    <row r="23" spans="2:11" x14ac:dyDescent="0.25">
      <c r="B23" s="250"/>
      <c r="C23" s="671" t="s">
        <v>286</v>
      </c>
      <c r="D23" s="671"/>
      <c r="E23" s="247"/>
      <c r="F23" s="247"/>
      <c r="G23" s="248">
        <f>SUM(G20:G22)</f>
        <v>1562.5</v>
      </c>
      <c r="H23" s="249">
        <f>SUM(H20:H22)</f>
        <v>124114.32</v>
      </c>
      <c r="I23" s="249">
        <f>SUM(I20:I22)</f>
        <v>123995.88</v>
      </c>
      <c r="J23" s="249">
        <f>SUM(J20:J22)</f>
        <v>123877.43999999999</v>
      </c>
      <c r="K23" s="251"/>
    </row>
    <row r="24" spans="2:11" ht="13.9" customHeight="1" x14ac:dyDescent="0.25">
      <c r="B24" s="672" t="s">
        <v>287</v>
      </c>
      <c r="C24" s="673"/>
      <c r="D24" s="673"/>
      <c r="E24" s="673"/>
      <c r="F24" s="673"/>
      <c r="G24" s="673"/>
      <c r="H24" s="673"/>
      <c r="I24" s="673"/>
      <c r="J24" s="673"/>
      <c r="K24" s="674"/>
    </row>
    <row r="25" spans="2:11" x14ac:dyDescent="0.25">
      <c r="B25" s="250">
        <v>14</v>
      </c>
      <c r="C25" s="671"/>
      <c r="D25" s="671"/>
      <c r="E25" s="245" t="s">
        <v>272</v>
      </c>
      <c r="F25" s="245"/>
      <c r="G25" s="248">
        <v>0</v>
      </c>
      <c r="H25" s="246">
        <f>G25*F25*PronósticoDmda!$M$18*(1+ProyecciónIPC!$E$26)</f>
        <v>0</v>
      </c>
      <c r="I25" s="246">
        <f>((G25*F25)+(G25*ProyecciónIPC!$E$27))*PronósticoDmda!$M$19</f>
        <v>0</v>
      </c>
      <c r="J25" s="246">
        <f>(G25*F25+(G25*ProyecciónIPC!$E$28))*PronósticoDmda!$M$20</f>
        <v>0</v>
      </c>
      <c r="K25" s="328"/>
    </row>
    <row r="26" spans="2:11" x14ac:dyDescent="0.25">
      <c r="B26" s="250"/>
      <c r="C26" s="671" t="s">
        <v>288</v>
      </c>
      <c r="D26" s="671"/>
      <c r="E26" s="247"/>
      <c r="F26" s="247"/>
      <c r="G26" s="248">
        <f>SUM(G25:G25)</f>
        <v>0</v>
      </c>
      <c r="H26" s="249">
        <f>SUM(H25:H25)</f>
        <v>0</v>
      </c>
      <c r="I26" s="249">
        <f>SUM(I25:I25)</f>
        <v>0</v>
      </c>
      <c r="J26" s="249">
        <f>SUM(J25:J25)</f>
        <v>0</v>
      </c>
      <c r="K26" s="251"/>
    </row>
    <row r="27" spans="2:11" ht="18" customHeight="1" thickBot="1" x14ac:dyDescent="0.3">
      <c r="B27" s="252"/>
      <c r="C27" s="675"/>
      <c r="D27" s="675"/>
      <c r="E27" s="253"/>
      <c r="F27" s="676" t="s">
        <v>289</v>
      </c>
      <c r="G27" s="676"/>
      <c r="H27" s="254">
        <f>H18+H23+H26</f>
        <v>11445214.947375001</v>
      </c>
      <c r="I27" s="254">
        <f>I18+I23+I26</f>
        <v>16281563.180625001</v>
      </c>
      <c r="J27" s="254">
        <f>J18+J23+J26</f>
        <v>17126924.942599997</v>
      </c>
      <c r="K27" s="255"/>
    </row>
  </sheetData>
  <mergeCells count="23">
    <mergeCell ref="C17:D17"/>
    <mergeCell ref="C22:D22"/>
    <mergeCell ref="C18:D18"/>
    <mergeCell ref="C20:D20"/>
    <mergeCell ref="C16:D16"/>
    <mergeCell ref="C21:D21"/>
    <mergeCell ref="B19:K19"/>
    <mergeCell ref="C6:D6"/>
    <mergeCell ref="C8:D8"/>
    <mergeCell ref="C12:D12"/>
    <mergeCell ref="C13:D13"/>
    <mergeCell ref="C14:D14"/>
    <mergeCell ref="C15:D15"/>
    <mergeCell ref="C9:D9"/>
    <mergeCell ref="C10:D10"/>
    <mergeCell ref="C11:D11"/>
    <mergeCell ref="B7:K7"/>
    <mergeCell ref="C23:D23"/>
    <mergeCell ref="B24:K24"/>
    <mergeCell ref="C25:D25"/>
    <mergeCell ref="C27:D27"/>
    <mergeCell ref="F27:G27"/>
    <mergeCell ref="C26:D2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U24"/>
  <sheetViews>
    <sheetView zoomScale="90" zoomScaleNormal="90" workbookViewId="0">
      <selection activeCell="U3" sqref="U3"/>
    </sheetView>
  </sheetViews>
  <sheetFormatPr baseColWidth="10" defaultColWidth="11.5" defaultRowHeight="15" x14ac:dyDescent="0.25"/>
  <cols>
    <col min="1" max="1" width="11.5" style="6"/>
    <col min="2" max="2" width="11.5" style="6" customWidth="1"/>
    <col min="3" max="4" width="13.625" style="6" customWidth="1"/>
    <col min="5" max="5" width="9.875" style="6" customWidth="1"/>
    <col min="6" max="21" width="7.625" style="6" customWidth="1"/>
    <col min="22" max="16384" width="11.5" style="6"/>
  </cols>
  <sheetData>
    <row r="2" spans="2:21" x14ac:dyDescent="0.25">
      <c r="I2" s="30"/>
    </row>
    <row r="4" spans="2:21" ht="15.75" thickBot="1" x14ac:dyDescent="0.3"/>
    <row r="5" spans="2:21" ht="17.25" customHeight="1" thickBot="1" x14ac:dyDescent="0.3">
      <c r="B5" s="681" t="s">
        <v>159</v>
      </c>
      <c r="C5" s="682"/>
      <c r="D5" s="682"/>
      <c r="E5" s="682"/>
      <c r="F5" s="682"/>
      <c r="G5" s="682"/>
      <c r="H5" s="682"/>
      <c r="I5" s="682"/>
      <c r="J5" s="682"/>
      <c r="K5" s="682"/>
      <c r="L5" s="682"/>
      <c r="M5" s="682"/>
      <c r="N5" s="682"/>
      <c r="O5" s="682"/>
      <c r="P5" s="682"/>
      <c r="Q5" s="682"/>
      <c r="R5" s="683"/>
    </row>
    <row r="6" spans="2:21" x14ac:dyDescent="0.25">
      <c r="B6" s="259" t="s">
        <v>262</v>
      </c>
      <c r="C6" s="680" t="s">
        <v>263</v>
      </c>
      <c r="D6" s="680"/>
      <c r="E6" s="517" t="s">
        <v>174</v>
      </c>
      <c r="F6" s="517" t="s">
        <v>264</v>
      </c>
      <c r="G6" s="517" t="s">
        <v>290</v>
      </c>
      <c r="H6" s="517" t="s">
        <v>291</v>
      </c>
      <c r="I6" s="517" t="s">
        <v>292</v>
      </c>
      <c r="J6" s="517" t="s">
        <v>293</v>
      </c>
      <c r="K6" s="517" t="s">
        <v>294</v>
      </c>
      <c r="L6" s="517" t="s">
        <v>295</v>
      </c>
      <c r="M6" s="517" t="s">
        <v>296</v>
      </c>
      <c r="N6" s="517" t="s">
        <v>297</v>
      </c>
      <c r="O6" s="517" t="s">
        <v>298</v>
      </c>
      <c r="P6" s="517" t="s">
        <v>299</v>
      </c>
      <c r="Q6" s="517" t="s">
        <v>300</v>
      </c>
      <c r="R6" s="517" t="s">
        <v>301</v>
      </c>
      <c r="S6" s="517" t="s">
        <v>159</v>
      </c>
      <c r="T6" s="517" t="s">
        <v>162</v>
      </c>
      <c r="U6" s="260" t="s">
        <v>163</v>
      </c>
    </row>
    <row r="7" spans="2:21" x14ac:dyDescent="0.25">
      <c r="B7" s="684" t="str">
        <f>EgrePlanOrgá!B7</f>
        <v>CREACIÓN PIEZAS GRÁFICAS</v>
      </c>
      <c r="C7" s="685"/>
      <c r="D7" s="685"/>
      <c r="E7" s="685"/>
      <c r="F7" s="685"/>
      <c r="G7" s="685"/>
      <c r="H7" s="685"/>
      <c r="I7" s="685"/>
      <c r="J7" s="685"/>
      <c r="K7" s="685"/>
      <c r="L7" s="685"/>
      <c r="M7" s="685"/>
      <c r="N7" s="685"/>
      <c r="O7" s="685"/>
      <c r="P7" s="685"/>
      <c r="Q7" s="685"/>
      <c r="R7" s="685"/>
      <c r="S7" s="685"/>
      <c r="T7" s="685"/>
      <c r="U7" s="686"/>
    </row>
    <row r="8" spans="2:21" x14ac:dyDescent="0.25">
      <c r="B8" s="250">
        <v>1</v>
      </c>
      <c r="C8" s="687" t="s">
        <v>271</v>
      </c>
      <c r="D8" s="687"/>
      <c r="E8" s="245" t="s">
        <v>272</v>
      </c>
      <c r="F8" s="245">
        <f>EgrePlanOrgá!F8</f>
        <v>1</v>
      </c>
      <c r="G8" s="256">
        <f>PronósticoDmda!C10</f>
        <v>2</v>
      </c>
      <c r="H8" s="256">
        <f>PronósticoDmda!D10</f>
        <v>3</v>
      </c>
      <c r="I8" s="256">
        <f>PronósticoDmda!E10</f>
        <v>2</v>
      </c>
      <c r="J8" s="256">
        <f>PronósticoDmda!F10</f>
        <v>3</v>
      </c>
      <c r="K8" s="256">
        <f>PronósticoDmda!G10</f>
        <v>4</v>
      </c>
      <c r="L8" s="256">
        <f>PronósticoDmda!H10</f>
        <v>4</v>
      </c>
      <c r="M8" s="256">
        <f>PronósticoDmda!I10</f>
        <v>4</v>
      </c>
      <c r="N8" s="256">
        <f>PronósticoDmda!J10</f>
        <v>5</v>
      </c>
      <c r="O8" s="256">
        <f>PronósticoDmda!K10</f>
        <v>5</v>
      </c>
      <c r="P8" s="256">
        <f>PronósticoDmda!L10</f>
        <v>4</v>
      </c>
      <c r="Q8" s="256">
        <f>PronósticoDmda!M10</f>
        <v>5</v>
      </c>
      <c r="R8" s="256">
        <f>PronósticoDmda!N10</f>
        <v>5</v>
      </c>
      <c r="S8" s="451">
        <f>PronósticoDmda!M18</f>
        <v>42</v>
      </c>
      <c r="T8" s="451">
        <f>PronósticoDmda!M19</f>
        <v>60</v>
      </c>
      <c r="U8" s="452">
        <f>PronósticoDmda!M20</f>
        <v>63.2</v>
      </c>
    </row>
    <row r="9" spans="2:21" ht="13.9" customHeight="1" x14ac:dyDescent="0.25">
      <c r="B9" s="250">
        <v>2</v>
      </c>
      <c r="C9" s="671" t="s">
        <v>274</v>
      </c>
      <c r="D9" s="671"/>
      <c r="E9" s="245" t="s">
        <v>272</v>
      </c>
      <c r="F9" s="245">
        <f>EgrePlanOrgá!F9</f>
        <v>1</v>
      </c>
      <c r="G9" s="257">
        <f t="shared" ref="G9:G17" si="0">$G$8*F9</f>
        <v>2</v>
      </c>
      <c r="H9" s="257">
        <f t="shared" ref="H9:H17" si="1">$H$8*F9</f>
        <v>3</v>
      </c>
      <c r="I9" s="257">
        <f t="shared" ref="I9:I17" si="2">$I$8*F9</f>
        <v>2</v>
      </c>
      <c r="J9" s="257">
        <f t="shared" ref="J9:J17" si="3">$J$8*F9</f>
        <v>3</v>
      </c>
      <c r="K9" s="257">
        <f t="shared" ref="K9:K17" si="4">$K$8*F9</f>
        <v>4</v>
      </c>
      <c r="L9" s="257">
        <f t="shared" ref="L9:L17" si="5">$L$8*F9</f>
        <v>4</v>
      </c>
      <c r="M9" s="257">
        <f t="shared" ref="M9:M17" si="6">$M$8*F9</f>
        <v>4</v>
      </c>
      <c r="N9" s="257">
        <f t="shared" ref="N9:N17" si="7">$N$8*F9</f>
        <v>5</v>
      </c>
      <c r="O9" s="257">
        <f t="shared" ref="O9:O17" si="8">F9*$O$8</f>
        <v>5</v>
      </c>
      <c r="P9" s="257">
        <f t="shared" ref="P9:P17" si="9">$P$8*F9</f>
        <v>4</v>
      </c>
      <c r="Q9" s="257">
        <f t="shared" ref="Q9:Q17" si="10">$Q$8*F9</f>
        <v>5</v>
      </c>
      <c r="R9" s="257">
        <f t="shared" ref="R9:R17" si="11">$R$8*F9</f>
        <v>5</v>
      </c>
      <c r="S9" s="451">
        <f>S$8*F9</f>
        <v>42</v>
      </c>
      <c r="T9" s="451">
        <f>$T$8*F9</f>
        <v>60</v>
      </c>
      <c r="U9" s="452">
        <f>$U$8*F9</f>
        <v>63.2</v>
      </c>
    </row>
    <row r="10" spans="2:21" ht="13.9" customHeight="1" x14ac:dyDescent="0.25">
      <c r="B10" s="250">
        <v>3</v>
      </c>
      <c r="C10" s="671" t="s">
        <v>275</v>
      </c>
      <c r="D10" s="671"/>
      <c r="E10" s="245" t="s">
        <v>272</v>
      </c>
      <c r="F10" s="245">
        <f>EgrePlanOrgá!F10</f>
        <v>1</v>
      </c>
      <c r="G10" s="257">
        <f t="shared" si="0"/>
        <v>2</v>
      </c>
      <c r="H10" s="257">
        <f t="shared" si="1"/>
        <v>3</v>
      </c>
      <c r="I10" s="257">
        <f t="shared" si="2"/>
        <v>2</v>
      </c>
      <c r="J10" s="257">
        <f t="shared" si="3"/>
        <v>3</v>
      </c>
      <c r="K10" s="257">
        <f t="shared" si="4"/>
        <v>4</v>
      </c>
      <c r="L10" s="257">
        <f t="shared" si="5"/>
        <v>4</v>
      </c>
      <c r="M10" s="257">
        <f t="shared" si="6"/>
        <v>4</v>
      </c>
      <c r="N10" s="257">
        <f t="shared" si="7"/>
        <v>5</v>
      </c>
      <c r="O10" s="257">
        <f t="shared" si="8"/>
        <v>5</v>
      </c>
      <c r="P10" s="257">
        <f t="shared" si="9"/>
        <v>4</v>
      </c>
      <c r="Q10" s="257">
        <f t="shared" si="10"/>
        <v>5</v>
      </c>
      <c r="R10" s="257">
        <f t="shared" si="11"/>
        <v>5</v>
      </c>
      <c r="S10" s="451">
        <f t="shared" ref="S10:S17" si="12">S$8*F10</f>
        <v>42</v>
      </c>
      <c r="T10" s="451">
        <f>$T$8*F10</f>
        <v>60</v>
      </c>
      <c r="U10" s="452">
        <f t="shared" ref="U10:U17" si="13">$U$8*F10</f>
        <v>63.2</v>
      </c>
    </row>
    <row r="11" spans="2:21" ht="13.9" customHeight="1" x14ac:dyDescent="0.25">
      <c r="B11" s="250">
        <v>4</v>
      </c>
      <c r="C11" s="671" t="s">
        <v>277</v>
      </c>
      <c r="D11" s="671"/>
      <c r="E11" s="245" t="s">
        <v>272</v>
      </c>
      <c r="F11" s="245">
        <f>EgrePlanOrgá!F11</f>
        <v>1</v>
      </c>
      <c r="G11" s="257">
        <f t="shared" si="0"/>
        <v>2</v>
      </c>
      <c r="H11" s="257">
        <f t="shared" si="1"/>
        <v>3</v>
      </c>
      <c r="I11" s="257">
        <f t="shared" si="2"/>
        <v>2</v>
      </c>
      <c r="J11" s="257">
        <f t="shared" si="3"/>
        <v>3</v>
      </c>
      <c r="K11" s="257">
        <f t="shared" si="4"/>
        <v>4</v>
      </c>
      <c r="L11" s="257">
        <f t="shared" si="5"/>
        <v>4</v>
      </c>
      <c r="M11" s="257">
        <f t="shared" si="6"/>
        <v>4</v>
      </c>
      <c r="N11" s="257">
        <f t="shared" si="7"/>
        <v>5</v>
      </c>
      <c r="O11" s="257">
        <f t="shared" si="8"/>
        <v>5</v>
      </c>
      <c r="P11" s="257">
        <f t="shared" si="9"/>
        <v>4</v>
      </c>
      <c r="Q11" s="257">
        <f t="shared" si="10"/>
        <v>5</v>
      </c>
      <c r="R11" s="257">
        <f t="shared" si="11"/>
        <v>5</v>
      </c>
      <c r="S11" s="451">
        <f t="shared" si="12"/>
        <v>42</v>
      </c>
      <c r="T11" s="451">
        <f t="shared" ref="T11:T17" si="14">$T$8*F11</f>
        <v>60</v>
      </c>
      <c r="U11" s="452">
        <f t="shared" si="13"/>
        <v>63.2</v>
      </c>
    </row>
    <row r="12" spans="2:21" ht="13.9" customHeight="1" x14ac:dyDescent="0.25">
      <c r="B12" s="250">
        <v>5</v>
      </c>
      <c r="C12" s="671" t="s">
        <v>278</v>
      </c>
      <c r="D12" s="671"/>
      <c r="E12" s="245" t="s">
        <v>272</v>
      </c>
      <c r="F12" s="245">
        <f>EgrePlanOrgá!F12</f>
        <v>1</v>
      </c>
      <c r="G12" s="257">
        <f t="shared" si="0"/>
        <v>2</v>
      </c>
      <c r="H12" s="257">
        <f t="shared" si="1"/>
        <v>3</v>
      </c>
      <c r="I12" s="257">
        <f t="shared" si="2"/>
        <v>2</v>
      </c>
      <c r="J12" s="257">
        <f t="shared" si="3"/>
        <v>3</v>
      </c>
      <c r="K12" s="257">
        <f t="shared" si="4"/>
        <v>4</v>
      </c>
      <c r="L12" s="257">
        <f t="shared" si="5"/>
        <v>4</v>
      </c>
      <c r="M12" s="257">
        <f t="shared" si="6"/>
        <v>4</v>
      </c>
      <c r="N12" s="257">
        <f t="shared" si="7"/>
        <v>5</v>
      </c>
      <c r="O12" s="257">
        <f t="shared" si="8"/>
        <v>5</v>
      </c>
      <c r="P12" s="257">
        <f t="shared" si="9"/>
        <v>4</v>
      </c>
      <c r="Q12" s="257">
        <f t="shared" si="10"/>
        <v>5</v>
      </c>
      <c r="R12" s="257">
        <f t="shared" si="11"/>
        <v>5</v>
      </c>
      <c r="S12" s="451">
        <f t="shared" si="12"/>
        <v>42</v>
      </c>
      <c r="T12" s="451">
        <f t="shared" si="14"/>
        <v>60</v>
      </c>
      <c r="U12" s="452">
        <f t="shared" si="13"/>
        <v>63.2</v>
      </c>
    </row>
    <row r="13" spans="2:21" ht="13.9" customHeight="1" x14ac:dyDescent="0.25">
      <c r="B13" s="250">
        <v>6</v>
      </c>
      <c r="C13" s="671" t="s">
        <v>279</v>
      </c>
      <c r="D13" s="671"/>
      <c r="E13" s="245" t="s">
        <v>272</v>
      </c>
      <c r="F13" s="245">
        <f>EgrePlanOrgá!F13</f>
        <v>7</v>
      </c>
      <c r="G13" s="257">
        <f>$G$8*F13</f>
        <v>14</v>
      </c>
      <c r="H13" s="257">
        <f t="shared" si="1"/>
        <v>21</v>
      </c>
      <c r="I13" s="257">
        <f t="shared" si="2"/>
        <v>14</v>
      </c>
      <c r="J13" s="257">
        <f t="shared" si="3"/>
        <v>21</v>
      </c>
      <c r="K13" s="257">
        <f t="shared" si="4"/>
        <v>28</v>
      </c>
      <c r="L13" s="257">
        <f t="shared" si="5"/>
        <v>28</v>
      </c>
      <c r="M13" s="257">
        <f t="shared" si="6"/>
        <v>28</v>
      </c>
      <c r="N13" s="257">
        <f t="shared" si="7"/>
        <v>35</v>
      </c>
      <c r="O13" s="257">
        <f t="shared" si="8"/>
        <v>35</v>
      </c>
      <c r="P13" s="257">
        <f t="shared" si="9"/>
        <v>28</v>
      </c>
      <c r="Q13" s="257">
        <f t="shared" si="10"/>
        <v>35</v>
      </c>
      <c r="R13" s="257">
        <f t="shared" si="11"/>
        <v>35</v>
      </c>
      <c r="S13" s="451">
        <f t="shared" si="12"/>
        <v>294</v>
      </c>
      <c r="T13" s="451">
        <f t="shared" si="14"/>
        <v>420</v>
      </c>
      <c r="U13" s="452">
        <f t="shared" si="13"/>
        <v>442.40000000000003</v>
      </c>
    </row>
    <row r="14" spans="2:21" ht="13.9" customHeight="1" x14ac:dyDescent="0.25">
      <c r="B14" s="250">
        <v>7</v>
      </c>
      <c r="C14" s="671" t="s">
        <v>280</v>
      </c>
      <c r="D14" s="671"/>
      <c r="E14" s="245" t="s">
        <v>272</v>
      </c>
      <c r="F14" s="245">
        <f>EgrePlanOrgá!F14</f>
        <v>7</v>
      </c>
      <c r="G14" s="257">
        <f>$G$8*F14</f>
        <v>14</v>
      </c>
      <c r="H14" s="257">
        <f>$H$8*F14</f>
        <v>21</v>
      </c>
      <c r="I14" s="257">
        <f t="shared" si="2"/>
        <v>14</v>
      </c>
      <c r="J14" s="257">
        <f t="shared" si="3"/>
        <v>21</v>
      </c>
      <c r="K14" s="257">
        <f t="shared" si="4"/>
        <v>28</v>
      </c>
      <c r="L14" s="257">
        <f t="shared" si="5"/>
        <v>28</v>
      </c>
      <c r="M14" s="257">
        <f t="shared" si="6"/>
        <v>28</v>
      </c>
      <c r="N14" s="257">
        <f t="shared" si="7"/>
        <v>35</v>
      </c>
      <c r="O14" s="257">
        <f t="shared" si="8"/>
        <v>35</v>
      </c>
      <c r="P14" s="257">
        <f t="shared" si="9"/>
        <v>28</v>
      </c>
      <c r="Q14" s="257">
        <f t="shared" si="10"/>
        <v>35</v>
      </c>
      <c r="R14" s="257">
        <f t="shared" si="11"/>
        <v>35</v>
      </c>
      <c r="S14" s="451">
        <f t="shared" si="12"/>
        <v>294</v>
      </c>
      <c r="T14" s="451">
        <f t="shared" si="14"/>
        <v>420</v>
      </c>
      <c r="U14" s="452">
        <f t="shared" si="13"/>
        <v>442.40000000000003</v>
      </c>
    </row>
    <row r="15" spans="2:21" ht="13.9" customHeight="1" x14ac:dyDescent="0.25">
      <c r="B15" s="250">
        <v>8</v>
      </c>
      <c r="C15" s="671" t="s">
        <v>281</v>
      </c>
      <c r="D15" s="671"/>
      <c r="E15" s="245" t="s">
        <v>272</v>
      </c>
      <c r="F15" s="245">
        <f>EgrePlanOrgá!F15</f>
        <v>2</v>
      </c>
      <c r="G15" s="257">
        <f t="shared" si="0"/>
        <v>4</v>
      </c>
      <c r="H15" s="257">
        <f t="shared" si="1"/>
        <v>6</v>
      </c>
      <c r="I15" s="257">
        <f t="shared" si="2"/>
        <v>4</v>
      </c>
      <c r="J15" s="257">
        <f t="shared" si="3"/>
        <v>6</v>
      </c>
      <c r="K15" s="257">
        <f t="shared" si="4"/>
        <v>8</v>
      </c>
      <c r="L15" s="257">
        <f t="shared" si="5"/>
        <v>8</v>
      </c>
      <c r="M15" s="257">
        <f t="shared" si="6"/>
        <v>8</v>
      </c>
      <c r="N15" s="257">
        <f t="shared" si="7"/>
        <v>10</v>
      </c>
      <c r="O15" s="257">
        <f t="shared" si="8"/>
        <v>10</v>
      </c>
      <c r="P15" s="257">
        <f t="shared" si="9"/>
        <v>8</v>
      </c>
      <c r="Q15" s="257">
        <f t="shared" si="10"/>
        <v>10</v>
      </c>
      <c r="R15" s="257">
        <f t="shared" si="11"/>
        <v>10</v>
      </c>
      <c r="S15" s="451">
        <f t="shared" si="12"/>
        <v>84</v>
      </c>
      <c r="T15" s="451">
        <f t="shared" si="14"/>
        <v>120</v>
      </c>
      <c r="U15" s="452">
        <f t="shared" si="13"/>
        <v>126.4</v>
      </c>
    </row>
    <row r="16" spans="2:21" ht="13.9" customHeight="1" x14ac:dyDescent="0.25">
      <c r="B16" s="250">
        <v>9</v>
      </c>
      <c r="C16" s="671" t="s">
        <v>282</v>
      </c>
      <c r="D16" s="671"/>
      <c r="E16" s="245" t="s">
        <v>272</v>
      </c>
      <c r="F16" s="245">
        <f>EgrePlanOrgá!F16</f>
        <v>2</v>
      </c>
      <c r="G16" s="257">
        <f t="shared" si="0"/>
        <v>4</v>
      </c>
      <c r="H16" s="257">
        <f t="shared" si="1"/>
        <v>6</v>
      </c>
      <c r="I16" s="257">
        <f t="shared" si="2"/>
        <v>4</v>
      </c>
      <c r="J16" s="257">
        <f t="shared" si="3"/>
        <v>6</v>
      </c>
      <c r="K16" s="257">
        <f t="shared" si="4"/>
        <v>8</v>
      </c>
      <c r="L16" s="257">
        <f t="shared" si="5"/>
        <v>8</v>
      </c>
      <c r="M16" s="257">
        <f t="shared" si="6"/>
        <v>8</v>
      </c>
      <c r="N16" s="257">
        <f t="shared" si="7"/>
        <v>10</v>
      </c>
      <c r="O16" s="257">
        <f t="shared" si="8"/>
        <v>10</v>
      </c>
      <c r="P16" s="257">
        <f t="shared" si="9"/>
        <v>8</v>
      </c>
      <c r="Q16" s="257">
        <f t="shared" si="10"/>
        <v>10</v>
      </c>
      <c r="R16" s="257">
        <f t="shared" si="11"/>
        <v>10</v>
      </c>
      <c r="S16" s="451">
        <f t="shared" si="12"/>
        <v>84</v>
      </c>
      <c r="T16" s="451">
        <f t="shared" si="14"/>
        <v>120</v>
      </c>
      <c r="U16" s="452">
        <f t="shared" si="13"/>
        <v>126.4</v>
      </c>
    </row>
    <row r="17" spans="2:21" x14ac:dyDescent="0.25">
      <c r="B17" s="250">
        <v>10</v>
      </c>
      <c r="C17" s="671"/>
      <c r="D17" s="671"/>
      <c r="E17" s="245"/>
      <c r="F17" s="245">
        <f>EgrePlanOrgá!F17</f>
        <v>0</v>
      </c>
      <c r="G17" s="257">
        <f t="shared" si="0"/>
        <v>0</v>
      </c>
      <c r="H17" s="257">
        <f t="shared" si="1"/>
        <v>0</v>
      </c>
      <c r="I17" s="257">
        <f t="shared" si="2"/>
        <v>0</v>
      </c>
      <c r="J17" s="257">
        <f t="shared" si="3"/>
        <v>0</v>
      </c>
      <c r="K17" s="257">
        <f t="shared" si="4"/>
        <v>0</v>
      </c>
      <c r="L17" s="257">
        <f t="shared" si="5"/>
        <v>0</v>
      </c>
      <c r="M17" s="257">
        <f t="shared" si="6"/>
        <v>0</v>
      </c>
      <c r="N17" s="257">
        <f t="shared" si="7"/>
        <v>0</v>
      </c>
      <c r="O17" s="257">
        <f t="shared" si="8"/>
        <v>0</v>
      </c>
      <c r="P17" s="257">
        <f t="shared" si="9"/>
        <v>0</v>
      </c>
      <c r="Q17" s="257">
        <f t="shared" si="10"/>
        <v>0</v>
      </c>
      <c r="R17" s="257">
        <f t="shared" si="11"/>
        <v>0</v>
      </c>
      <c r="S17" s="451">
        <f t="shared" si="12"/>
        <v>0</v>
      </c>
      <c r="T17" s="451">
        <f t="shared" si="14"/>
        <v>0</v>
      </c>
      <c r="U17" s="452">
        <f t="shared" si="13"/>
        <v>0</v>
      </c>
    </row>
    <row r="18" spans="2:21" x14ac:dyDescent="0.25">
      <c r="B18" s="672" t="str">
        <f>EgrePlanOrgá!B19</f>
        <v>ANÁLISIS DE MÉTRICAS</v>
      </c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U18" s="674"/>
    </row>
    <row r="19" spans="2:21" x14ac:dyDescent="0.25">
      <c r="B19" s="250">
        <v>11</v>
      </c>
      <c r="C19" s="671" t="str">
        <f>EgrePlanOrgá!C20:D20</f>
        <v>Hootsuite</v>
      </c>
      <c r="D19" s="671"/>
      <c r="E19" s="245" t="s">
        <v>272</v>
      </c>
      <c r="F19" s="245">
        <f>EgrePlanOrgá!F20</f>
        <v>1</v>
      </c>
      <c r="G19" s="257">
        <f t="shared" ref="G19:G21" si="15">$G$8*F19</f>
        <v>2</v>
      </c>
      <c r="H19" s="257">
        <f t="shared" ref="H19:H21" si="16">$H$8*F19</f>
        <v>3</v>
      </c>
      <c r="I19" s="257">
        <f t="shared" ref="I19:I21" si="17">$I$8*F19</f>
        <v>2</v>
      </c>
      <c r="J19" s="257">
        <f t="shared" ref="J19:J21" si="18">$J$8*F19</f>
        <v>3</v>
      </c>
      <c r="K19" s="257">
        <f t="shared" ref="K19:K21" si="19">$K$8*F19</f>
        <v>4</v>
      </c>
      <c r="L19" s="257">
        <f>$L$8*F19</f>
        <v>4</v>
      </c>
      <c r="M19" s="257">
        <f t="shared" ref="M19:M21" si="20">$M$8*F19</f>
        <v>4</v>
      </c>
      <c r="N19" s="257">
        <f t="shared" ref="N19:N21" si="21">$N$8*F19</f>
        <v>5</v>
      </c>
      <c r="O19" s="257">
        <f t="shared" ref="O19:O21" si="22">F19*$O$8</f>
        <v>5</v>
      </c>
      <c r="P19" s="257">
        <f t="shared" ref="P19:P21" si="23">$P$8*F19</f>
        <v>4</v>
      </c>
      <c r="Q19" s="257">
        <f t="shared" ref="Q19:Q21" si="24">$Q$8*F19</f>
        <v>5</v>
      </c>
      <c r="R19" s="257">
        <f t="shared" ref="R19:R21" si="25">$R$8*F19</f>
        <v>5</v>
      </c>
      <c r="S19" s="451">
        <f t="shared" ref="S19:S21" si="26">S$8*F19</f>
        <v>42</v>
      </c>
      <c r="T19" s="451">
        <f t="shared" ref="T19:T21" si="27">$T$8*F19</f>
        <v>60</v>
      </c>
      <c r="U19" s="452">
        <f t="shared" ref="U19:U21" si="28">$U$8*F19</f>
        <v>63.2</v>
      </c>
    </row>
    <row r="20" spans="2:21" x14ac:dyDescent="0.25">
      <c r="B20" s="250">
        <v>12</v>
      </c>
      <c r="C20" s="671" t="str">
        <f>EgrePlanOrgá!C21:D21</f>
        <v>Google Analitics</v>
      </c>
      <c r="D20" s="671"/>
      <c r="E20" s="245" t="s">
        <v>272</v>
      </c>
      <c r="F20" s="245">
        <f>EgrePlanOrgá!F21</f>
        <v>1</v>
      </c>
      <c r="G20" s="257">
        <f t="shared" si="15"/>
        <v>2</v>
      </c>
      <c r="H20" s="257">
        <f t="shared" si="16"/>
        <v>3</v>
      </c>
      <c r="I20" s="257">
        <f t="shared" si="17"/>
        <v>2</v>
      </c>
      <c r="J20" s="257">
        <f t="shared" si="18"/>
        <v>3</v>
      </c>
      <c r="K20" s="257">
        <f t="shared" si="19"/>
        <v>4</v>
      </c>
      <c r="L20" s="257">
        <f t="shared" ref="L20:L21" si="29">$L$8*F20</f>
        <v>4</v>
      </c>
      <c r="M20" s="257">
        <f t="shared" si="20"/>
        <v>4</v>
      </c>
      <c r="N20" s="257">
        <f t="shared" si="21"/>
        <v>5</v>
      </c>
      <c r="O20" s="257">
        <f t="shared" si="22"/>
        <v>5</v>
      </c>
      <c r="P20" s="257">
        <f t="shared" si="23"/>
        <v>4</v>
      </c>
      <c r="Q20" s="257">
        <f t="shared" si="24"/>
        <v>5</v>
      </c>
      <c r="R20" s="257">
        <f t="shared" si="25"/>
        <v>5</v>
      </c>
      <c r="S20" s="451">
        <f t="shared" si="26"/>
        <v>42</v>
      </c>
      <c r="T20" s="451">
        <f t="shared" si="27"/>
        <v>60</v>
      </c>
      <c r="U20" s="452">
        <f t="shared" si="28"/>
        <v>63.2</v>
      </c>
    </row>
    <row r="21" spans="2:21" ht="13.9" customHeight="1" x14ac:dyDescent="0.25">
      <c r="B21" s="250">
        <v>13</v>
      </c>
      <c r="C21" s="671"/>
      <c r="D21" s="671"/>
      <c r="E21" s="245" t="s">
        <v>272</v>
      </c>
      <c r="F21" s="245">
        <f>EgrePlanOrgá!F22</f>
        <v>0</v>
      </c>
      <c r="G21" s="257">
        <f t="shared" si="15"/>
        <v>0</v>
      </c>
      <c r="H21" s="257">
        <f t="shared" si="16"/>
        <v>0</v>
      </c>
      <c r="I21" s="257">
        <f t="shared" si="17"/>
        <v>0</v>
      </c>
      <c r="J21" s="257">
        <f t="shared" si="18"/>
        <v>0</v>
      </c>
      <c r="K21" s="257">
        <f t="shared" si="19"/>
        <v>0</v>
      </c>
      <c r="L21" s="257">
        <f t="shared" si="29"/>
        <v>0</v>
      </c>
      <c r="M21" s="257">
        <f t="shared" si="20"/>
        <v>0</v>
      </c>
      <c r="N21" s="257">
        <f t="shared" si="21"/>
        <v>0</v>
      </c>
      <c r="O21" s="257">
        <f t="shared" si="22"/>
        <v>0</v>
      </c>
      <c r="P21" s="257">
        <f t="shared" si="23"/>
        <v>0</v>
      </c>
      <c r="Q21" s="257">
        <f t="shared" si="24"/>
        <v>0</v>
      </c>
      <c r="R21" s="257">
        <f t="shared" si="25"/>
        <v>0</v>
      </c>
      <c r="S21" s="451">
        <f t="shared" si="26"/>
        <v>0</v>
      </c>
      <c r="T21" s="451">
        <f t="shared" si="27"/>
        <v>0</v>
      </c>
      <c r="U21" s="452">
        <f t="shared" si="28"/>
        <v>0</v>
      </c>
    </row>
    <row r="22" spans="2:21" x14ac:dyDescent="0.25">
      <c r="B22" s="672" t="str">
        <f>EgrePlanOrgá!B24</f>
        <v>ESTRATEGIA EN REDES</v>
      </c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4"/>
    </row>
    <row r="23" spans="2:21" x14ac:dyDescent="0.25">
      <c r="B23" s="250">
        <v>14</v>
      </c>
      <c r="C23" s="671"/>
      <c r="D23" s="671"/>
      <c r="E23" s="245" t="s">
        <v>272</v>
      </c>
      <c r="F23" s="245">
        <f>EgrePlanOrgá!F25</f>
        <v>0</v>
      </c>
      <c r="G23" s="257">
        <f>$G$8*F23</f>
        <v>0</v>
      </c>
      <c r="H23" s="257">
        <f>$H$8*F23</f>
        <v>0</v>
      </c>
      <c r="I23" s="257">
        <f>$I$8*F23</f>
        <v>0</v>
      </c>
      <c r="J23" s="257">
        <f>$J$8*F23</f>
        <v>0</v>
      </c>
      <c r="K23" s="257">
        <f>$K$8*F23</f>
        <v>0</v>
      </c>
      <c r="L23" s="257">
        <f>$L$8*F23</f>
        <v>0</v>
      </c>
      <c r="M23" s="257">
        <f>$M$8*F23</f>
        <v>0</v>
      </c>
      <c r="N23" s="257">
        <f>$N$8*F23</f>
        <v>0</v>
      </c>
      <c r="O23" s="257">
        <f>F23*$O$8</f>
        <v>0</v>
      </c>
      <c r="P23" s="257">
        <f>$P$8*F23</f>
        <v>0</v>
      </c>
      <c r="Q23" s="257">
        <f>$Q$8*F23</f>
        <v>0</v>
      </c>
      <c r="R23" s="257">
        <f>$R$8*F23</f>
        <v>0</v>
      </c>
      <c r="S23" s="451">
        <f>S$8*F23</f>
        <v>0</v>
      </c>
      <c r="T23" s="451">
        <f>$T$8*F23</f>
        <v>0</v>
      </c>
      <c r="U23" s="452">
        <f>$U$8*F23</f>
        <v>0</v>
      </c>
    </row>
    <row r="24" spans="2:21" ht="15.75" customHeight="1" thickBot="1" x14ac:dyDescent="0.3">
      <c r="B24" s="258"/>
      <c r="C24" s="688"/>
      <c r="D24" s="688"/>
      <c r="E24" s="518"/>
      <c r="F24" s="518"/>
      <c r="G24" s="518"/>
      <c r="H24" s="518"/>
      <c r="I24" s="518"/>
      <c r="J24" s="518"/>
      <c r="K24" s="518"/>
      <c r="L24" s="518"/>
      <c r="M24" s="518"/>
      <c r="N24" s="518"/>
      <c r="O24" s="518"/>
      <c r="P24" s="518"/>
      <c r="Q24" s="518"/>
      <c r="R24" s="518"/>
      <c r="S24" s="453"/>
      <c r="T24" s="453"/>
      <c r="U24" s="454"/>
    </row>
  </sheetData>
  <mergeCells count="20">
    <mergeCell ref="C24:D24"/>
    <mergeCell ref="C23:D23"/>
    <mergeCell ref="C15:D15"/>
    <mergeCell ref="C16:D16"/>
    <mergeCell ref="C17:D17"/>
    <mergeCell ref="B18:U18"/>
    <mergeCell ref="B22:U22"/>
    <mergeCell ref="C19:D19"/>
    <mergeCell ref="C20:D20"/>
    <mergeCell ref="C21:D21"/>
    <mergeCell ref="C9:D9"/>
    <mergeCell ref="B5:R5"/>
    <mergeCell ref="B7:U7"/>
    <mergeCell ref="C6:D6"/>
    <mergeCell ref="C8:D8"/>
    <mergeCell ref="C10:D10"/>
    <mergeCell ref="C11:D11"/>
    <mergeCell ref="C12:D12"/>
    <mergeCell ref="C13:D13"/>
    <mergeCell ref="C14:D14"/>
  </mergeCells>
  <phoneticPr fontId="1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V27"/>
  <sheetViews>
    <sheetView zoomScale="90" zoomScaleNormal="90" workbookViewId="0">
      <selection activeCell="B19" sqref="B19:V19"/>
    </sheetView>
  </sheetViews>
  <sheetFormatPr baseColWidth="10" defaultColWidth="11.5" defaultRowHeight="15" x14ac:dyDescent="0.25"/>
  <cols>
    <col min="1" max="1" width="11.5" style="6"/>
    <col min="2" max="2" width="8.875" style="6" customWidth="1"/>
    <col min="3" max="4" width="13.625" style="6" customWidth="1"/>
    <col min="5" max="6" width="8.875" style="6" customWidth="1"/>
    <col min="7" max="22" width="11.625" style="6" customWidth="1"/>
    <col min="23" max="16384" width="11.5" style="6"/>
  </cols>
  <sheetData>
    <row r="2" spans="2:22" x14ac:dyDescent="0.25">
      <c r="J2" s="30"/>
    </row>
    <row r="4" spans="2:22" ht="15.75" thickBot="1" x14ac:dyDescent="0.3"/>
    <row r="5" spans="2:22" ht="17.25" customHeight="1" x14ac:dyDescent="0.25">
      <c r="B5" s="691" t="s">
        <v>159</v>
      </c>
      <c r="C5" s="692"/>
      <c r="D5" s="692"/>
      <c r="E5" s="692"/>
      <c r="F5" s="692"/>
      <c r="G5" s="692"/>
      <c r="H5" s="692"/>
      <c r="I5" s="692"/>
      <c r="J5" s="692"/>
      <c r="K5" s="692"/>
      <c r="L5" s="692"/>
      <c r="M5" s="692"/>
      <c r="N5" s="692"/>
      <c r="O5" s="692"/>
      <c r="P5" s="692"/>
      <c r="Q5" s="692"/>
      <c r="R5" s="692"/>
      <c r="S5" s="692"/>
    </row>
    <row r="6" spans="2:22" x14ac:dyDescent="0.25">
      <c r="B6" s="520" t="s">
        <v>262</v>
      </c>
      <c r="C6" s="648"/>
      <c r="D6" s="648"/>
      <c r="E6" s="511" t="s">
        <v>174</v>
      </c>
      <c r="F6" s="511" t="s">
        <v>264</v>
      </c>
      <c r="G6" s="511" t="s">
        <v>265</v>
      </c>
      <c r="H6" s="511" t="s">
        <v>290</v>
      </c>
      <c r="I6" s="511" t="s">
        <v>291</v>
      </c>
      <c r="J6" s="511" t="s">
        <v>292</v>
      </c>
      <c r="K6" s="511" t="s">
        <v>293</v>
      </c>
      <c r="L6" s="511" t="s">
        <v>294</v>
      </c>
      <c r="M6" s="511" t="s">
        <v>295</v>
      </c>
      <c r="N6" s="511" t="s">
        <v>296</v>
      </c>
      <c r="O6" s="511" t="s">
        <v>297</v>
      </c>
      <c r="P6" s="511" t="s">
        <v>298</v>
      </c>
      <c r="Q6" s="511" t="s">
        <v>299</v>
      </c>
      <c r="R6" s="511" t="s">
        <v>300</v>
      </c>
      <c r="S6" s="511" t="s">
        <v>301</v>
      </c>
      <c r="T6" s="511" t="s">
        <v>159</v>
      </c>
      <c r="U6" s="511" t="s">
        <v>162</v>
      </c>
      <c r="V6" s="521" t="s">
        <v>163</v>
      </c>
    </row>
    <row r="7" spans="2:22" x14ac:dyDescent="0.25">
      <c r="B7" s="684" t="str">
        <f>EgrePlanOrgá!B7</f>
        <v>CREACIÓN PIEZAS GRÁFICAS</v>
      </c>
      <c r="C7" s="685"/>
      <c r="D7" s="685"/>
      <c r="E7" s="685"/>
      <c r="F7" s="685"/>
      <c r="G7" s="685"/>
      <c r="H7" s="685"/>
      <c r="I7" s="685"/>
      <c r="J7" s="685"/>
      <c r="K7" s="685"/>
      <c r="L7" s="685"/>
      <c r="M7" s="685"/>
      <c r="N7" s="685"/>
      <c r="O7" s="685"/>
      <c r="P7" s="685"/>
      <c r="Q7" s="685"/>
      <c r="R7" s="685"/>
      <c r="S7" s="685"/>
      <c r="T7" s="685"/>
      <c r="U7" s="685"/>
      <c r="V7" s="686"/>
    </row>
    <row r="8" spans="2:22" ht="13.9" customHeight="1" x14ac:dyDescent="0.25">
      <c r="B8" s="250">
        <v>1</v>
      </c>
      <c r="C8" s="687" t="s">
        <v>271</v>
      </c>
      <c r="D8" s="687"/>
      <c r="E8" s="245" t="str">
        <f>EgrePlanOrgá!E8</f>
        <v>Und</v>
      </c>
      <c r="F8" s="245">
        <f>EgrePlanOrgá!F8</f>
        <v>1</v>
      </c>
      <c r="G8" s="246">
        <f>EgrePlanOrgá!G8</f>
        <v>2125</v>
      </c>
      <c r="H8" s="444">
        <f>$G$8*EgreUndPlanOrgá!G8</f>
        <v>4250</v>
      </c>
      <c r="I8" s="444">
        <f>$G$8*EgreUndPlanOrgá!H8</f>
        <v>6375</v>
      </c>
      <c r="J8" s="444">
        <f>$G$8*EgreUndPlanOrgá!I8</f>
        <v>4250</v>
      </c>
      <c r="K8" s="444">
        <f>$G$8*EgreUndPlanOrgá!J8</f>
        <v>6375</v>
      </c>
      <c r="L8" s="444">
        <f>$G$8*EgreUndPlanOrgá!K8</f>
        <v>8500</v>
      </c>
      <c r="M8" s="444">
        <f>$G$8*EgreUndPlanOrgá!L8</f>
        <v>8500</v>
      </c>
      <c r="N8" s="444">
        <f>$G$8*EgreUndPlanOrgá!M8</f>
        <v>8500</v>
      </c>
      <c r="O8" s="444">
        <f>$G$8*EgreUndPlanOrgá!N8</f>
        <v>10625</v>
      </c>
      <c r="P8" s="444">
        <f>$G$8*EgreUndPlanOrgá!O8</f>
        <v>10625</v>
      </c>
      <c r="Q8" s="444">
        <f>$G$8*EgreUndPlanOrgá!P8</f>
        <v>8500</v>
      </c>
      <c r="R8" s="444">
        <f>$G$8*EgreUndPlanOrgá!Q8</f>
        <v>10625</v>
      </c>
      <c r="S8" s="444">
        <f>$G$8*EgreUndPlanOrgá!R8</f>
        <v>10625</v>
      </c>
      <c r="T8" s="455">
        <f>SUM(H8:S8)</f>
        <v>97750</v>
      </c>
      <c r="U8" s="455">
        <f>(EgreUndPlanOrgá!T8*G8)*(1+ProyecciónIPC!$E$27)</f>
        <v>131745.6225</v>
      </c>
      <c r="V8" s="456">
        <f>(EgreUndPlanOrgá!U8*G8)*(1+ProyecciónIPC!$E$28)</f>
        <v>138639.50159999999</v>
      </c>
    </row>
    <row r="9" spans="2:22" ht="13.9" customHeight="1" x14ac:dyDescent="0.25">
      <c r="B9" s="250">
        <v>2</v>
      </c>
      <c r="C9" s="671" t="s">
        <v>274</v>
      </c>
      <c r="D9" s="671"/>
      <c r="E9" s="245" t="str">
        <f>EgrePlanOrgá!E9</f>
        <v>Und</v>
      </c>
      <c r="F9" s="245">
        <f>EgrePlanOrgá!F9</f>
        <v>1</v>
      </c>
      <c r="G9" s="246">
        <f>EgrePlanOrgá!G9</f>
        <v>100000</v>
      </c>
      <c r="H9" s="444">
        <f>$G$9*EgreUndPlanOrgá!G9</f>
        <v>200000</v>
      </c>
      <c r="I9" s="444">
        <f>$G$9*EgreUndPlanOrgá!H9</f>
        <v>300000</v>
      </c>
      <c r="J9" s="444">
        <f>$G$9*EgreUndPlanOrgá!I9</f>
        <v>200000</v>
      </c>
      <c r="K9" s="444">
        <f>$G$9*EgreUndPlanOrgá!J9</f>
        <v>300000</v>
      </c>
      <c r="L9" s="444">
        <f>$G$9*EgreUndPlanOrgá!K9</f>
        <v>400000</v>
      </c>
      <c r="M9" s="444">
        <f>$G$9*EgreUndPlanOrgá!L9</f>
        <v>400000</v>
      </c>
      <c r="N9" s="444">
        <f>$G$9*EgreUndPlanOrgá!M9</f>
        <v>400000</v>
      </c>
      <c r="O9" s="444">
        <f>$G$9*EgreUndPlanOrgá!N9</f>
        <v>500000</v>
      </c>
      <c r="P9" s="444">
        <f>$G$9*EgreUndPlanOrgá!O9</f>
        <v>500000</v>
      </c>
      <c r="Q9" s="444">
        <f>$G$9*EgreUndPlanOrgá!P9</f>
        <v>400000</v>
      </c>
      <c r="R9" s="444">
        <f>$G$9*EgreUndPlanOrgá!Q9</f>
        <v>500000</v>
      </c>
      <c r="S9" s="444">
        <f>$G$9*EgreUndPlanOrgá!R9</f>
        <v>500000</v>
      </c>
      <c r="T9" s="455">
        <f>SUM(H9:S9)</f>
        <v>4600000</v>
      </c>
      <c r="U9" s="455">
        <f>(EgreUndPlanOrgá!T9*G9)*(1+ProyecciónIPC!$E$27)</f>
        <v>6199794</v>
      </c>
      <c r="V9" s="456">
        <f>(EgreUndPlanOrgá!U9*G9)*(1+ProyecciónIPC!$E$28)</f>
        <v>6524211.8399999989</v>
      </c>
    </row>
    <row r="10" spans="2:22" ht="13.9" customHeight="1" x14ac:dyDescent="0.25">
      <c r="B10" s="250">
        <v>3</v>
      </c>
      <c r="C10" s="671" t="s">
        <v>275</v>
      </c>
      <c r="D10" s="671"/>
      <c r="E10" s="245" t="str">
        <f>EgrePlanOrgá!E10</f>
        <v>Und</v>
      </c>
      <c r="F10" s="245">
        <f>EgrePlanOrgá!F10</f>
        <v>1</v>
      </c>
      <c r="G10" s="246">
        <f>EgrePlanOrgá!G10</f>
        <v>100000</v>
      </c>
      <c r="H10" s="444">
        <f>$G$10*EgreUndPlanOrgá!G10</f>
        <v>200000</v>
      </c>
      <c r="I10" s="444">
        <f>$G$10*EgreUndPlanOrgá!H10</f>
        <v>300000</v>
      </c>
      <c r="J10" s="444">
        <f>$G$10*EgreUndPlanOrgá!I10</f>
        <v>200000</v>
      </c>
      <c r="K10" s="444">
        <f>$G$10*EgreUndPlanOrgá!J10</f>
        <v>300000</v>
      </c>
      <c r="L10" s="444">
        <f>$G$10*EgreUndPlanOrgá!K10</f>
        <v>400000</v>
      </c>
      <c r="M10" s="444">
        <f>$G$10*EgreUndPlanOrgá!L10</f>
        <v>400000</v>
      </c>
      <c r="N10" s="444">
        <f>$G$10*EgreUndPlanOrgá!M10</f>
        <v>400000</v>
      </c>
      <c r="O10" s="444">
        <f>$G$10*EgreUndPlanOrgá!N10</f>
        <v>500000</v>
      </c>
      <c r="P10" s="444">
        <f>$G$10*EgreUndPlanOrgá!O10</f>
        <v>500000</v>
      </c>
      <c r="Q10" s="444">
        <f>$G$10*EgreUndPlanOrgá!P10</f>
        <v>400000</v>
      </c>
      <c r="R10" s="444">
        <f>$G$10*EgreUndPlanOrgá!Q10</f>
        <v>500000</v>
      </c>
      <c r="S10" s="444">
        <f>$G$10*EgreUndPlanOrgá!R10</f>
        <v>500000</v>
      </c>
      <c r="T10" s="455">
        <f t="shared" ref="T10:T16" si="0">SUM(H10:S10)</f>
        <v>4600000</v>
      </c>
      <c r="U10" s="455">
        <f>(EgreUndPlanOrgá!T10*G10)*(1+ProyecciónIPC!$E$27)</f>
        <v>6199794</v>
      </c>
      <c r="V10" s="456">
        <f>(EgreUndPlanOrgá!U10*G10)*(1+ProyecciónIPC!$E$28)</f>
        <v>6524211.8399999989</v>
      </c>
    </row>
    <row r="11" spans="2:22" ht="13.9" customHeight="1" x14ac:dyDescent="0.25">
      <c r="B11" s="250">
        <v>4</v>
      </c>
      <c r="C11" s="671" t="s">
        <v>277</v>
      </c>
      <c r="D11" s="671"/>
      <c r="E11" s="245" t="str">
        <f>EgrePlanOrgá!E11</f>
        <v>Und</v>
      </c>
      <c r="F11" s="245">
        <f>EgrePlanOrgá!F11</f>
        <v>1</v>
      </c>
      <c r="G11" s="246">
        <f>EgrePlanOrgá!G11</f>
        <v>50000</v>
      </c>
      <c r="H11" s="444">
        <f>$G$11*EgreUndPlanOrgá!G11</f>
        <v>100000</v>
      </c>
      <c r="I11" s="444">
        <f>$G$11*EgreUndPlanOrgá!H11</f>
        <v>150000</v>
      </c>
      <c r="J11" s="444">
        <f>$G$11*EgreUndPlanOrgá!I11</f>
        <v>100000</v>
      </c>
      <c r="K11" s="444">
        <f>$G$11*EgreUndPlanOrgá!J11</f>
        <v>150000</v>
      </c>
      <c r="L11" s="444">
        <f>$G$11*EgreUndPlanOrgá!K11</f>
        <v>200000</v>
      </c>
      <c r="M11" s="444">
        <f>$G$11*EgreUndPlanOrgá!L11</f>
        <v>200000</v>
      </c>
      <c r="N11" s="444">
        <f>$G$11*EgreUndPlanOrgá!M11</f>
        <v>200000</v>
      </c>
      <c r="O11" s="444">
        <f>$G$11*EgreUndPlanOrgá!N11</f>
        <v>250000</v>
      </c>
      <c r="P11" s="444">
        <f>$G$11*EgreUndPlanOrgá!O11</f>
        <v>250000</v>
      </c>
      <c r="Q11" s="444">
        <f>$G$11*EgreUndPlanOrgá!P11</f>
        <v>200000</v>
      </c>
      <c r="R11" s="444">
        <f>$G$11*EgreUndPlanOrgá!Q11</f>
        <v>250000</v>
      </c>
      <c r="S11" s="444">
        <f>$G$11*EgreUndPlanOrgá!R11</f>
        <v>250000</v>
      </c>
      <c r="T11" s="455">
        <f t="shared" si="0"/>
        <v>2300000</v>
      </c>
      <c r="U11" s="455">
        <f>(EgreUndPlanOrgá!T11*G11)*(1+ProyecciónIPC!$E$27)</f>
        <v>3099897</v>
      </c>
      <c r="V11" s="456">
        <f>(EgreUndPlanOrgá!U11*G11)*(1+ProyecciónIPC!$E$28)</f>
        <v>3262105.9199999995</v>
      </c>
    </row>
    <row r="12" spans="2:22" ht="13.9" customHeight="1" x14ac:dyDescent="0.25">
      <c r="B12" s="250">
        <v>5</v>
      </c>
      <c r="C12" s="671" t="s">
        <v>278</v>
      </c>
      <c r="D12" s="671"/>
      <c r="E12" s="245" t="str">
        <f>EgrePlanOrgá!E12</f>
        <v>Und</v>
      </c>
      <c r="F12" s="245">
        <f>EgrePlanOrgá!F12</f>
        <v>1</v>
      </c>
      <c r="G12" s="246">
        <f>EgrePlanOrgá!G12</f>
        <v>625</v>
      </c>
      <c r="H12" s="444">
        <f>$G$12*EgreUndPlanOrgá!G12</f>
        <v>1250</v>
      </c>
      <c r="I12" s="444">
        <f>$G$12*EgreUndPlanOrgá!H12</f>
        <v>1875</v>
      </c>
      <c r="J12" s="444">
        <f>$G$12*EgreUndPlanOrgá!I12</f>
        <v>1250</v>
      </c>
      <c r="K12" s="444">
        <f>$G$12*EgreUndPlanOrgá!J12</f>
        <v>1875</v>
      </c>
      <c r="L12" s="444">
        <f>$G$12*EgreUndPlanOrgá!K12</f>
        <v>2500</v>
      </c>
      <c r="M12" s="444">
        <f>$G$12*EgreUndPlanOrgá!L12</f>
        <v>2500</v>
      </c>
      <c r="N12" s="444">
        <f>$G$12*EgreUndPlanOrgá!M12</f>
        <v>2500</v>
      </c>
      <c r="O12" s="444">
        <f>$G$12*EgreUndPlanOrgá!N12</f>
        <v>3125</v>
      </c>
      <c r="P12" s="444">
        <f>$G$12*EgreUndPlanOrgá!O12</f>
        <v>3125</v>
      </c>
      <c r="Q12" s="444">
        <f>$G$12*EgreUndPlanOrgá!P12</f>
        <v>2500</v>
      </c>
      <c r="R12" s="444">
        <f>$G$12*EgreUndPlanOrgá!Q12</f>
        <v>3125</v>
      </c>
      <c r="S12" s="444">
        <f>$G$12*EgreUndPlanOrgá!R12</f>
        <v>3125</v>
      </c>
      <c r="T12" s="455">
        <f t="shared" si="0"/>
        <v>28750</v>
      </c>
      <c r="U12" s="455">
        <f>(EgreUndPlanOrgá!T12*G12)*(1+ProyecciónIPC!$E$27)</f>
        <v>38748.712500000001</v>
      </c>
      <c r="V12" s="456">
        <f>(EgreUndPlanOrgá!U12*G12)*(1+ProyecciónIPC!$E$28)</f>
        <v>40776.323999999993</v>
      </c>
    </row>
    <row r="13" spans="2:22" ht="13.9" customHeight="1" x14ac:dyDescent="0.25">
      <c r="B13" s="250">
        <v>6</v>
      </c>
      <c r="C13" s="671" t="s">
        <v>279</v>
      </c>
      <c r="D13" s="671"/>
      <c r="E13" s="245" t="str">
        <f>EgrePlanOrgá!E13</f>
        <v>Und</v>
      </c>
      <c r="F13" s="245">
        <f>EgrePlanOrgá!F13</f>
        <v>7</v>
      </c>
      <c r="G13" s="246">
        <f>EgrePlanOrgá!G13</f>
        <v>339.28571428571428</v>
      </c>
      <c r="H13" s="444">
        <f>$G$13*EgreUndPlanOrgá!G13</f>
        <v>4750</v>
      </c>
      <c r="I13" s="444">
        <f>$G$13*EgreUndPlanOrgá!H13</f>
        <v>7125</v>
      </c>
      <c r="J13" s="444">
        <f>$G$13*EgreUndPlanOrgá!I13</f>
        <v>4750</v>
      </c>
      <c r="K13" s="444">
        <f>$G$13*EgreUndPlanOrgá!J13</f>
        <v>7125</v>
      </c>
      <c r="L13" s="444">
        <f>$G$13*EgreUndPlanOrgá!K13</f>
        <v>9500</v>
      </c>
      <c r="M13" s="444">
        <f>$G$13*EgreUndPlanOrgá!L13</f>
        <v>9500</v>
      </c>
      <c r="N13" s="444">
        <f>$G$13*EgreUndPlanOrgá!M13</f>
        <v>9500</v>
      </c>
      <c r="O13" s="444">
        <f>$G$13*EgreUndPlanOrgá!N13</f>
        <v>11875</v>
      </c>
      <c r="P13" s="444">
        <f>$G$13*EgreUndPlanOrgá!O13</f>
        <v>11875</v>
      </c>
      <c r="Q13" s="444">
        <f>$G$13*EgreUndPlanOrgá!P13</f>
        <v>9500</v>
      </c>
      <c r="R13" s="444">
        <f>$G$13*EgreUndPlanOrgá!Q13</f>
        <v>11875</v>
      </c>
      <c r="S13" s="444">
        <f>$G$13*EgreUndPlanOrgá!R13</f>
        <v>11875</v>
      </c>
      <c r="T13" s="455">
        <f t="shared" si="0"/>
        <v>109250</v>
      </c>
      <c r="U13" s="455">
        <f>(EgreUndPlanOrgá!T13*G13)*(1+ProyecciónIPC!$E$27)</f>
        <v>147245.10749999998</v>
      </c>
      <c r="V13" s="456">
        <f>(EgreUndPlanOrgá!U13*G13)*(1+ProyecciónIPC!$E$28)</f>
        <v>154950.0312</v>
      </c>
    </row>
    <row r="14" spans="2:22" ht="13.9" customHeight="1" x14ac:dyDescent="0.25">
      <c r="B14" s="250">
        <v>7</v>
      </c>
      <c r="C14" s="671" t="s">
        <v>280</v>
      </c>
      <c r="D14" s="671"/>
      <c r="E14" s="245" t="str">
        <f>EgrePlanOrgá!E14</f>
        <v>Und</v>
      </c>
      <c r="F14" s="245">
        <f>EgrePlanOrgá!F14</f>
        <v>7</v>
      </c>
      <c r="G14" s="246">
        <f>EgrePlanOrgá!G14</f>
        <v>297.61904761904759</v>
      </c>
      <c r="H14" s="444">
        <f>$G$14*EgreUndPlanOrgá!G14</f>
        <v>4166.6666666666661</v>
      </c>
      <c r="I14" s="444">
        <f>$G$14*EgreUndPlanOrgá!H14</f>
        <v>6249.9999999999991</v>
      </c>
      <c r="J14" s="444">
        <f>$G$14*EgreUndPlanOrgá!I14</f>
        <v>4166.6666666666661</v>
      </c>
      <c r="K14" s="444">
        <f>$G$14*EgreUndPlanOrgá!J14</f>
        <v>6249.9999999999991</v>
      </c>
      <c r="L14" s="444">
        <f>$G$14*EgreUndPlanOrgá!K14</f>
        <v>8333.3333333333321</v>
      </c>
      <c r="M14" s="444">
        <f>$G$14*EgreUndPlanOrgá!L14</f>
        <v>8333.3333333333321</v>
      </c>
      <c r="N14" s="444">
        <f>$G$14*EgreUndPlanOrgá!M14</f>
        <v>8333.3333333333321</v>
      </c>
      <c r="O14" s="444">
        <f>$G$14*EgreUndPlanOrgá!N14</f>
        <v>10416.666666666666</v>
      </c>
      <c r="P14" s="444">
        <f>$G$14*EgreUndPlanOrgá!O14</f>
        <v>10416.666666666666</v>
      </c>
      <c r="Q14" s="444">
        <f>$G$14*EgreUndPlanOrgá!P14</f>
        <v>8333.3333333333321</v>
      </c>
      <c r="R14" s="444">
        <f>$G$14*EgreUndPlanOrgá!Q14</f>
        <v>10416.666666666666</v>
      </c>
      <c r="S14" s="444">
        <f>$G$14*EgreUndPlanOrgá!R14</f>
        <v>10416.666666666666</v>
      </c>
      <c r="T14" s="455">
        <f t="shared" si="0"/>
        <v>95833.333333333328</v>
      </c>
      <c r="U14" s="455">
        <f>(EgreUndPlanOrgá!T14*G14)*(1+ProyecciónIPC!$E$27)</f>
        <v>129162.37499999999</v>
      </c>
      <c r="V14" s="456">
        <f>(EgreUndPlanOrgá!U14*G14)*(1+ProyecciónIPC!$E$28)</f>
        <v>135921.07999999999</v>
      </c>
    </row>
    <row r="15" spans="2:22" ht="13.9" customHeight="1" x14ac:dyDescent="0.25">
      <c r="B15" s="250">
        <v>8</v>
      </c>
      <c r="C15" s="671" t="s">
        <v>281</v>
      </c>
      <c r="D15" s="671"/>
      <c r="E15" s="245" t="str">
        <f>EgrePlanOrgá!E15</f>
        <v>Und</v>
      </c>
      <c r="F15" s="245">
        <f>EgrePlanOrgá!F15</f>
        <v>2</v>
      </c>
      <c r="G15" s="246">
        <f>EgrePlanOrgá!G15</f>
        <v>296.875</v>
      </c>
      <c r="H15" s="444">
        <f>$G$15*EgreUndPlanOrgá!G15</f>
        <v>1187.5</v>
      </c>
      <c r="I15" s="444">
        <f>$G$15*EgreUndPlanOrgá!H15</f>
        <v>1781.25</v>
      </c>
      <c r="J15" s="444">
        <f>$G$15*EgreUndPlanOrgá!I15</f>
        <v>1187.5</v>
      </c>
      <c r="K15" s="444">
        <f>$G$15*EgreUndPlanOrgá!J15</f>
        <v>1781.25</v>
      </c>
      <c r="L15" s="444">
        <f>$G$15*EgreUndPlanOrgá!K15</f>
        <v>2375</v>
      </c>
      <c r="M15" s="444">
        <f>$G$15*EgreUndPlanOrgá!L15</f>
        <v>2375</v>
      </c>
      <c r="N15" s="444">
        <f>$G$15*EgreUndPlanOrgá!M15</f>
        <v>2375</v>
      </c>
      <c r="O15" s="444">
        <f>$G$15*EgreUndPlanOrgá!N15</f>
        <v>2968.75</v>
      </c>
      <c r="P15" s="444">
        <f>$G$15*EgreUndPlanOrgá!O15</f>
        <v>2968.75</v>
      </c>
      <c r="Q15" s="444">
        <f>$G$15*EgreUndPlanOrgá!P15</f>
        <v>2375</v>
      </c>
      <c r="R15" s="444">
        <f>$G$15*EgreUndPlanOrgá!Q15</f>
        <v>2968.75</v>
      </c>
      <c r="S15" s="444">
        <f>$G$15*EgreUndPlanOrgá!R15</f>
        <v>2968.75</v>
      </c>
      <c r="T15" s="455">
        <f t="shared" si="0"/>
        <v>27312.5</v>
      </c>
      <c r="U15" s="455">
        <f>(EgreUndPlanOrgá!T15*G15)*(1+ProyecciónIPC!$E$27)</f>
        <v>36811.276874999996</v>
      </c>
      <c r="V15" s="456">
        <f>(EgreUndPlanOrgá!U15*G15)*(1+ProyecciónIPC!$E$28)</f>
        <v>38737.507799999999</v>
      </c>
    </row>
    <row r="16" spans="2:22" ht="13.9" customHeight="1" x14ac:dyDescent="0.25">
      <c r="B16" s="250">
        <v>9</v>
      </c>
      <c r="C16" s="671" t="s">
        <v>282</v>
      </c>
      <c r="D16" s="671"/>
      <c r="E16" s="245" t="str">
        <f>EgrePlanOrgá!E16</f>
        <v>Und</v>
      </c>
      <c r="F16" s="245">
        <f>EgrePlanOrgá!F16</f>
        <v>2</v>
      </c>
      <c r="G16" s="246">
        <f>EgrePlanOrgá!G16</f>
        <v>1406.25</v>
      </c>
      <c r="H16" s="444">
        <f>$G$16*EgreUndPlanOrgá!G16</f>
        <v>5625</v>
      </c>
      <c r="I16" s="444">
        <f>$G$16*EgreUndPlanOrgá!H16</f>
        <v>8437.5</v>
      </c>
      <c r="J16" s="444">
        <f>$G$16*EgreUndPlanOrgá!I16</f>
        <v>5625</v>
      </c>
      <c r="K16" s="444">
        <f>$G$16*EgreUndPlanOrgá!J16</f>
        <v>8437.5</v>
      </c>
      <c r="L16" s="444">
        <f>$G$16*EgreUndPlanOrgá!K16</f>
        <v>11250</v>
      </c>
      <c r="M16" s="444">
        <f>$G$16*EgreUndPlanOrgá!L16</f>
        <v>11250</v>
      </c>
      <c r="N16" s="444">
        <f>$G$16*EgreUndPlanOrgá!M16</f>
        <v>11250</v>
      </c>
      <c r="O16" s="444">
        <f>$G$16*EgreUndPlanOrgá!N16</f>
        <v>14062.5</v>
      </c>
      <c r="P16" s="444">
        <f>$G$16*EgreUndPlanOrgá!O16</f>
        <v>14062.5</v>
      </c>
      <c r="Q16" s="444">
        <f>$G$16*EgreUndPlanOrgá!P16</f>
        <v>11250</v>
      </c>
      <c r="R16" s="444">
        <f>$G$16*EgreUndPlanOrgá!Q16</f>
        <v>14062.5</v>
      </c>
      <c r="S16" s="444">
        <f>$G$16*EgreUndPlanOrgá!R16</f>
        <v>14062.5</v>
      </c>
      <c r="T16" s="455">
        <f t="shared" si="0"/>
        <v>129375</v>
      </c>
      <c r="U16" s="455">
        <f>(EgreUndPlanOrgá!T16*G16)*(1+ProyecciónIPC!$E$27)</f>
        <v>174369.20624999999</v>
      </c>
      <c r="V16" s="456">
        <f>(EgreUndPlanOrgá!U16*G16)*(1+ProyecciónIPC!$E$28)</f>
        <v>183493.45799999998</v>
      </c>
    </row>
    <row r="17" spans="2:22" x14ac:dyDescent="0.25">
      <c r="B17" s="250">
        <v>10</v>
      </c>
      <c r="C17" s="693"/>
      <c r="D17" s="694"/>
      <c r="E17" s="245"/>
      <c r="F17" s="245">
        <f>EgrePlanOrgá!F17</f>
        <v>0</v>
      </c>
      <c r="G17" s="246">
        <f>EgrePlanOrgá!G17</f>
        <v>0</v>
      </c>
      <c r="H17" s="444">
        <f>$G$17*EgreUndPlanOrgá!G17</f>
        <v>0</v>
      </c>
      <c r="I17" s="444">
        <f>$G$17*EgreUndPlanOrgá!H17</f>
        <v>0</v>
      </c>
      <c r="J17" s="444">
        <f>$G$17*EgreUndPlanOrgá!I17</f>
        <v>0</v>
      </c>
      <c r="K17" s="444">
        <f>$G$17*EgreUndPlanOrgá!J17</f>
        <v>0</v>
      </c>
      <c r="L17" s="444">
        <f>$G$17*EgreUndPlanOrgá!K17</f>
        <v>0</v>
      </c>
      <c r="M17" s="444">
        <f>$G$17*EgreUndPlanOrgá!L17</f>
        <v>0</v>
      </c>
      <c r="N17" s="444">
        <f>$G$17*EgreUndPlanOrgá!M17</f>
        <v>0</v>
      </c>
      <c r="O17" s="444">
        <f>$G$17*EgreUndPlanOrgá!N17</f>
        <v>0</v>
      </c>
      <c r="P17" s="444">
        <f>$G$17*EgreUndPlanOrgá!O17</f>
        <v>0</v>
      </c>
      <c r="Q17" s="444">
        <f>$G$17*EgreUndPlanOrgá!P17</f>
        <v>0</v>
      </c>
      <c r="R17" s="444">
        <f>$G$17*EgreUndPlanOrgá!Q17</f>
        <v>0</v>
      </c>
      <c r="S17" s="444">
        <f>$G$17*EgreUndPlanOrgá!R17</f>
        <v>0</v>
      </c>
      <c r="T17" s="455">
        <f>EgrePlanOrgá!H17</f>
        <v>0</v>
      </c>
      <c r="U17" s="455">
        <f>(EgreUndPlanOrgá!T17*G17)*(1+ProyecciónIPC!$E$27)</f>
        <v>0</v>
      </c>
      <c r="V17" s="456">
        <f>(EgreUndPlanOrgá!U17*G17)*(1+ProyecciónIPC!$E$28)</f>
        <v>0</v>
      </c>
    </row>
    <row r="18" spans="2:22" x14ac:dyDescent="0.25">
      <c r="B18" s="250"/>
      <c r="C18" s="693"/>
      <c r="D18" s="694"/>
      <c r="E18" s="245"/>
      <c r="F18" s="245"/>
      <c r="G18" s="246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455">
        <f>SUM(T8:T17)</f>
        <v>11988270.833333334</v>
      </c>
      <c r="U18" s="455">
        <f>SUM(U8:U17)</f>
        <v>16157567.300625</v>
      </c>
      <c r="V18" s="455">
        <f>SUM(V8:V17)</f>
        <v>17003047.502599996</v>
      </c>
    </row>
    <row r="19" spans="2:22" ht="18" customHeight="1" x14ac:dyDescent="0.25">
      <c r="B19" s="672" t="str">
        <f>EgreUndPlanOrgá!B18</f>
        <v>ANÁLISIS DE MÉTRICAS</v>
      </c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U19" s="673"/>
      <c r="V19" s="674"/>
    </row>
    <row r="20" spans="2:22" x14ac:dyDescent="0.25">
      <c r="B20" s="250">
        <v>11</v>
      </c>
      <c r="C20" s="671" t="str">
        <f>EgreUndPlanOrgá!C19:D19</f>
        <v>Hootsuite</v>
      </c>
      <c r="D20" s="671"/>
      <c r="E20" s="245" t="str">
        <f>EgrePlanOrgá!E20</f>
        <v>Und</v>
      </c>
      <c r="F20" s="245">
        <f>EgrePlanOrgá!F20</f>
        <v>1</v>
      </c>
      <c r="G20" s="246">
        <f>EgrePlanOrgá!G20</f>
        <v>1041.6666666666667</v>
      </c>
      <c r="H20" s="248">
        <f>$G$20*EgreUndPlanOrgá!G19</f>
        <v>2083.3333333333335</v>
      </c>
      <c r="I20" s="248">
        <f>$G$20*EgreUndPlanOrgá!H19</f>
        <v>3125</v>
      </c>
      <c r="J20" s="248">
        <f>$G$20*EgreUndPlanOrgá!I19</f>
        <v>2083.3333333333335</v>
      </c>
      <c r="K20" s="248">
        <f>$G$20*EgreUndPlanOrgá!J19</f>
        <v>3125</v>
      </c>
      <c r="L20" s="248">
        <f>$G$20*EgreUndPlanOrgá!K19</f>
        <v>4166.666666666667</v>
      </c>
      <c r="M20" s="248">
        <f>$G$20*EgreUndPlanOrgá!L19</f>
        <v>4166.666666666667</v>
      </c>
      <c r="N20" s="248">
        <f>$G$20*EgreUndPlanOrgá!M19</f>
        <v>4166.666666666667</v>
      </c>
      <c r="O20" s="248">
        <f>$G$20*EgreUndPlanOrgá!N19</f>
        <v>5208.3333333333339</v>
      </c>
      <c r="P20" s="248">
        <f>$G$20*EgreUndPlanOrgá!O19</f>
        <v>5208.3333333333339</v>
      </c>
      <c r="Q20" s="248">
        <f>$G$20*EgreUndPlanOrgá!P19</f>
        <v>4166.666666666667</v>
      </c>
      <c r="R20" s="248">
        <f>$G$20*EgreUndPlanOrgá!Q19</f>
        <v>5208.3333333333339</v>
      </c>
      <c r="S20" s="248">
        <f>$G$20*EgreUndPlanOrgá!R19</f>
        <v>5208.3333333333339</v>
      </c>
      <c r="T20" s="455">
        <f>SUM(G20:S20)</f>
        <v>48958.333333333343</v>
      </c>
      <c r="U20" s="455">
        <f>(EgreUndPlanOrgá!T19*G20)*(1+ProyecciónIPC!$E$27)</f>
        <v>64581.187500000007</v>
      </c>
      <c r="V20" s="455">
        <f>(EgreUndPlanOrgá!U19*G20)*(1+ProyecciónIPC!$E$28)</f>
        <v>67960.540000000008</v>
      </c>
    </row>
    <row r="21" spans="2:22" x14ac:dyDescent="0.25">
      <c r="B21" s="250">
        <v>12</v>
      </c>
      <c r="C21" s="671" t="str">
        <f>EgreUndPlanOrgá!C20:D20</f>
        <v>Google Analitics</v>
      </c>
      <c r="D21" s="671"/>
      <c r="E21" s="245" t="str">
        <f>EgrePlanOrgá!E21</f>
        <v>Und</v>
      </c>
      <c r="F21" s="245">
        <f>EgrePlanOrgá!F21</f>
        <v>1</v>
      </c>
      <c r="G21" s="246">
        <f>EgrePlanOrgá!G21</f>
        <v>520.83333333333337</v>
      </c>
      <c r="H21" s="248">
        <f>$G$21*EgreUndPlanOrgá!G20</f>
        <v>1041.6666666666667</v>
      </c>
      <c r="I21" s="248">
        <f>$G$21*EgreUndPlanOrgá!H20</f>
        <v>1562.5</v>
      </c>
      <c r="J21" s="248">
        <f>$G$21*EgreUndPlanOrgá!I20</f>
        <v>1041.6666666666667</v>
      </c>
      <c r="K21" s="248">
        <f>$G$21*EgreUndPlanOrgá!J20</f>
        <v>1562.5</v>
      </c>
      <c r="L21" s="248">
        <f>$G$21*EgreUndPlanOrgá!K20</f>
        <v>2083.3333333333335</v>
      </c>
      <c r="M21" s="248">
        <f>$G$21*EgreUndPlanOrgá!L20</f>
        <v>2083.3333333333335</v>
      </c>
      <c r="N21" s="248">
        <f>$G$21*EgreUndPlanOrgá!M20</f>
        <v>2083.3333333333335</v>
      </c>
      <c r="O21" s="248">
        <f>$G$21*EgreUndPlanOrgá!N20</f>
        <v>2604.166666666667</v>
      </c>
      <c r="P21" s="248">
        <f>$G$21*EgreUndPlanOrgá!O20</f>
        <v>2604.166666666667</v>
      </c>
      <c r="Q21" s="248">
        <f>$G$21*EgreUndPlanOrgá!P20</f>
        <v>2083.3333333333335</v>
      </c>
      <c r="R21" s="248">
        <f>$G$21*EgreUndPlanOrgá!Q20</f>
        <v>2604.166666666667</v>
      </c>
      <c r="S21" s="248">
        <f>$G$21*EgreUndPlanOrgá!R20</f>
        <v>2604.166666666667</v>
      </c>
      <c r="T21" s="455">
        <f>SUM(G21:S21)</f>
        <v>24479.166666666672</v>
      </c>
      <c r="U21" s="455">
        <f>(EgreUndPlanOrgá!T20*G21)*(1+ProyecciónIPC!$E$27)</f>
        <v>32290.593750000004</v>
      </c>
      <c r="V21" s="455">
        <f>(EgreUndPlanOrgá!U20*G21)*(1+ProyecciónIPC!$E$28)</f>
        <v>33980.270000000004</v>
      </c>
    </row>
    <row r="22" spans="2:22" ht="13.9" customHeight="1" x14ac:dyDescent="0.25">
      <c r="B22" s="250">
        <v>13</v>
      </c>
      <c r="C22" s="671"/>
      <c r="D22" s="671"/>
      <c r="E22" s="245"/>
      <c r="F22" s="245">
        <f>EgrePlanOrgá!F22</f>
        <v>0</v>
      </c>
      <c r="G22" s="246">
        <f>EgrePlanOrgá!G22</f>
        <v>0</v>
      </c>
      <c r="H22" s="248">
        <f>$G$22*EgreUndPlanOrgá!G21</f>
        <v>0</v>
      </c>
      <c r="I22" s="248">
        <f>$G$22*EgreUndPlanOrgá!H21</f>
        <v>0</v>
      </c>
      <c r="J22" s="248">
        <f>$G$22*EgreUndPlanOrgá!I21</f>
        <v>0</v>
      </c>
      <c r="K22" s="248">
        <f>$G$22*EgreUndPlanOrgá!J21</f>
        <v>0</v>
      </c>
      <c r="L22" s="248">
        <f>$G$22*EgreUndPlanOrgá!K21</f>
        <v>0</v>
      </c>
      <c r="M22" s="248">
        <f>$G$22*EgreUndPlanOrgá!L21</f>
        <v>0</v>
      </c>
      <c r="N22" s="248">
        <f>$G$22*EgreUndPlanOrgá!M21</f>
        <v>0</v>
      </c>
      <c r="O22" s="248">
        <f>$G$22*EgreUndPlanOrgá!N21</f>
        <v>0</v>
      </c>
      <c r="P22" s="248">
        <f>$G$22*EgreUndPlanOrgá!O21</f>
        <v>0</v>
      </c>
      <c r="Q22" s="248">
        <f>$G$22*EgreUndPlanOrgá!P21</f>
        <v>0</v>
      </c>
      <c r="R22" s="248">
        <f>$G$22*EgreUndPlanOrgá!Q21</f>
        <v>0</v>
      </c>
      <c r="S22" s="248">
        <f>$G$22*EgreUndPlanOrgá!R21</f>
        <v>0</v>
      </c>
      <c r="T22" s="455">
        <f>EgrePlanOrgá!H22</f>
        <v>0</v>
      </c>
      <c r="U22" s="455">
        <f>EgrePlanOrgá!I22</f>
        <v>0</v>
      </c>
      <c r="V22" s="456">
        <f>EgrePlanOrgá!J22</f>
        <v>0</v>
      </c>
    </row>
    <row r="23" spans="2:22" x14ac:dyDescent="0.25">
      <c r="B23" s="250"/>
      <c r="C23" s="671"/>
      <c r="D23" s="671"/>
      <c r="E23" s="247"/>
      <c r="F23" s="247"/>
      <c r="G23" s="246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457">
        <f>SUM(T20:T22)</f>
        <v>73437.500000000015</v>
      </c>
      <c r="U23" s="457">
        <f>SUM(U20:U22)</f>
        <v>96871.781250000015</v>
      </c>
      <c r="V23" s="458">
        <f>SUM(V20:V22)</f>
        <v>101940.81000000001</v>
      </c>
    </row>
    <row r="24" spans="2:22" ht="18" customHeight="1" x14ac:dyDescent="0.25">
      <c r="B24" s="672" t="str">
        <f>EgreUndPlanOrgá!B22</f>
        <v>ESTRATEGIA EN REDES</v>
      </c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4"/>
    </row>
    <row r="25" spans="2:22" x14ac:dyDescent="0.25">
      <c r="B25" s="250">
        <v>14</v>
      </c>
      <c r="C25" s="671"/>
      <c r="D25" s="671"/>
      <c r="E25" s="245" t="str">
        <f>EgrePlanOrgá!E25</f>
        <v>Und</v>
      </c>
      <c r="F25" s="245">
        <v>0</v>
      </c>
      <c r="G25" s="246">
        <f>EgrePlanOrgá!G25*(1+ProyecciónIPC!$E$26)</f>
        <v>0</v>
      </c>
      <c r="H25" s="248">
        <f>$G$25*EgreUndPlanOrgá!G23</f>
        <v>0</v>
      </c>
      <c r="I25" s="248">
        <f>$G$25*EgreUndPlanOrgá!H23</f>
        <v>0</v>
      </c>
      <c r="J25" s="248">
        <f>$G$25*EgreUndPlanOrgá!I23</f>
        <v>0</v>
      </c>
      <c r="K25" s="248">
        <f>$G$25*EgreUndPlanOrgá!J23</f>
        <v>0</v>
      </c>
      <c r="L25" s="248">
        <f>$G$25*EgreUndPlanOrgá!K23</f>
        <v>0</v>
      </c>
      <c r="M25" s="248">
        <f>$G$25*EgreUndPlanOrgá!L23</f>
        <v>0</v>
      </c>
      <c r="N25" s="248">
        <f>$G$25*EgreUndPlanOrgá!M23</f>
        <v>0</v>
      </c>
      <c r="O25" s="248">
        <f>$G$25*EgreUndPlanOrgá!N23</f>
        <v>0</v>
      </c>
      <c r="P25" s="248">
        <f>$G$25*EgreUndPlanOrgá!O23</f>
        <v>0</v>
      </c>
      <c r="Q25" s="248">
        <f>$G$25*EgreUndPlanOrgá!P23</f>
        <v>0</v>
      </c>
      <c r="R25" s="248">
        <f>$G$25*EgreUndPlanOrgá!Q23</f>
        <v>0</v>
      </c>
      <c r="S25" s="248">
        <f>$G$25*EgreUndPlanOrgá!R23</f>
        <v>0</v>
      </c>
      <c r="T25" s="455">
        <f>EgrePlanOrgá!H25</f>
        <v>0</v>
      </c>
      <c r="U25" s="455">
        <f>EgrePlanOrgá!I25</f>
        <v>0</v>
      </c>
      <c r="V25" s="456">
        <f>EgrePlanOrgá!J25</f>
        <v>0</v>
      </c>
    </row>
    <row r="26" spans="2:22" x14ac:dyDescent="0.25">
      <c r="B26" s="250"/>
      <c r="C26" s="671"/>
      <c r="D26" s="671"/>
      <c r="E26" s="247"/>
      <c r="F26" s="247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455">
        <f>SUM(T25:T25)</f>
        <v>0</v>
      </c>
      <c r="U26" s="455">
        <f>SUM(U25:U25)</f>
        <v>0</v>
      </c>
      <c r="V26" s="456">
        <f>SUM(V25:V25)</f>
        <v>0</v>
      </c>
    </row>
    <row r="27" spans="2:22" ht="15.75" customHeight="1" thickBot="1" x14ac:dyDescent="0.3">
      <c r="B27" s="689" t="s">
        <v>83</v>
      </c>
      <c r="C27" s="690"/>
      <c r="D27" s="690"/>
      <c r="E27" s="690"/>
      <c r="F27" s="690"/>
      <c r="G27" s="690"/>
      <c r="H27" s="254">
        <f t="shared" ref="H27:S27" si="1">SUM(H8:H26)</f>
        <v>524354.16666666663</v>
      </c>
      <c r="I27" s="254">
        <f t="shared" si="1"/>
        <v>786531.25</v>
      </c>
      <c r="J27" s="254">
        <f t="shared" si="1"/>
        <v>524354.16666666663</v>
      </c>
      <c r="K27" s="254">
        <f t="shared" si="1"/>
        <v>786531.25</v>
      </c>
      <c r="L27" s="254">
        <f t="shared" si="1"/>
        <v>1048708.3333333333</v>
      </c>
      <c r="M27" s="254">
        <f t="shared" si="1"/>
        <v>1048708.3333333333</v>
      </c>
      <c r="N27" s="254">
        <f t="shared" si="1"/>
        <v>1048708.3333333333</v>
      </c>
      <c r="O27" s="254">
        <f t="shared" si="1"/>
        <v>1310885.4166666667</v>
      </c>
      <c r="P27" s="254">
        <f t="shared" si="1"/>
        <v>1310885.4166666667</v>
      </c>
      <c r="Q27" s="254">
        <f t="shared" si="1"/>
        <v>1048708.3333333333</v>
      </c>
      <c r="R27" s="254">
        <f t="shared" si="1"/>
        <v>1310885.4166666667</v>
      </c>
      <c r="S27" s="254">
        <f t="shared" si="1"/>
        <v>1310885.4166666667</v>
      </c>
      <c r="T27" s="453">
        <f>T18+T23+T26</f>
        <v>12061708.333333334</v>
      </c>
      <c r="U27" s="453">
        <f t="shared" ref="U27:V27" si="2">U18+U23+U26</f>
        <v>16254439.081875</v>
      </c>
      <c r="V27" s="453">
        <f t="shared" si="2"/>
        <v>17104988.312599994</v>
      </c>
    </row>
  </sheetData>
  <mergeCells count="23">
    <mergeCell ref="B7:V7"/>
    <mergeCell ref="B5:S5"/>
    <mergeCell ref="C26:D26"/>
    <mergeCell ref="C21:D21"/>
    <mergeCell ref="C22:D22"/>
    <mergeCell ref="C23:D23"/>
    <mergeCell ref="C25:D25"/>
    <mergeCell ref="B19:V19"/>
    <mergeCell ref="C12:D12"/>
    <mergeCell ref="C6:D6"/>
    <mergeCell ref="C14:D14"/>
    <mergeCell ref="C15:D15"/>
    <mergeCell ref="C16:D16"/>
    <mergeCell ref="C17:D17"/>
    <mergeCell ref="C18:D18"/>
    <mergeCell ref="B27:G27"/>
    <mergeCell ref="B24:V24"/>
    <mergeCell ref="C8:D8"/>
    <mergeCell ref="C9:D9"/>
    <mergeCell ref="C10:D10"/>
    <mergeCell ref="C11:D11"/>
    <mergeCell ref="C20:D20"/>
    <mergeCell ref="C13:D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4:L29"/>
  <sheetViews>
    <sheetView zoomScale="90" zoomScaleNormal="90" workbookViewId="0">
      <selection activeCell="M19" sqref="M19"/>
    </sheetView>
  </sheetViews>
  <sheetFormatPr baseColWidth="10" defaultColWidth="11.5" defaultRowHeight="15" x14ac:dyDescent="0.25"/>
  <cols>
    <col min="1" max="1" width="11.5" style="6"/>
    <col min="2" max="2" width="8" style="6" customWidth="1"/>
    <col min="3" max="4" width="13.625" style="6" customWidth="1"/>
    <col min="5" max="5" width="11.5" style="6" customWidth="1"/>
    <col min="6" max="6" width="8" style="6" customWidth="1"/>
    <col min="7" max="11" width="14.625" style="6" customWidth="1"/>
    <col min="12" max="12" width="15.875" style="6" customWidth="1"/>
    <col min="13" max="16384" width="11.5" style="6"/>
  </cols>
  <sheetData>
    <row r="4" spans="2:12" ht="15.75" thickBot="1" x14ac:dyDescent="0.3"/>
    <row r="5" spans="2:12" x14ac:dyDescent="0.25">
      <c r="B5" s="259" t="s">
        <v>262</v>
      </c>
      <c r="C5" s="680" t="s">
        <v>263</v>
      </c>
      <c r="D5" s="680"/>
      <c r="E5" s="517" t="s">
        <v>174</v>
      </c>
      <c r="F5" s="517" t="s">
        <v>264</v>
      </c>
      <c r="G5" s="517" t="s">
        <v>265</v>
      </c>
      <c r="H5" s="517" t="s">
        <v>266</v>
      </c>
      <c r="I5" s="517" t="s">
        <v>267</v>
      </c>
      <c r="J5" s="517" t="s">
        <v>268</v>
      </c>
      <c r="K5" s="260" t="s">
        <v>269</v>
      </c>
    </row>
    <row r="6" spans="2:12" x14ac:dyDescent="0.25">
      <c r="B6" s="700" t="str">
        <f>'Egre$PlanOrgá'!B7</f>
        <v>CREACIÓN PIEZAS GRÁFICAS</v>
      </c>
      <c r="C6" s="648"/>
      <c r="D6" s="648"/>
      <c r="E6" s="648"/>
      <c r="F6" s="648"/>
      <c r="G6" s="648"/>
      <c r="H6" s="648"/>
      <c r="I6" s="648"/>
      <c r="J6" s="648"/>
      <c r="K6" s="701"/>
    </row>
    <row r="7" spans="2:12" ht="15" customHeight="1" x14ac:dyDescent="0.25">
      <c r="B7" s="250">
        <v>1</v>
      </c>
      <c r="C7" s="671" t="s">
        <v>271</v>
      </c>
      <c r="D7" s="671"/>
      <c r="E7" s="245" t="str">
        <f>EgrePlanOrgá!E8</f>
        <v>Und</v>
      </c>
      <c r="F7" s="261">
        <v>1</v>
      </c>
      <c r="G7" s="246">
        <f>K7/(L8*L10)</f>
        <v>2615.3846153846152</v>
      </c>
      <c r="H7" s="246">
        <f>G7*F7*PronósticoDmda!$N$18*(1+ProyecciónIPC!$E$26)</f>
        <v>170418.50861538461</v>
      </c>
      <c r="I7" s="246">
        <f>G7*F7*PronósticoDmda!$N$19*(1+ProyecciónIPC!$E$27)</f>
        <v>243222.68769230766</v>
      </c>
      <c r="J7" s="246">
        <f>G7*F7*PronósticoDmda!$N$20*(1+ProyecciónIPC!$E$28)</f>
        <v>255949.84910769228</v>
      </c>
      <c r="K7" s="328">
        <v>408000</v>
      </c>
      <c r="L7" s="327" t="s">
        <v>302</v>
      </c>
    </row>
    <row r="8" spans="2:12" ht="15" customHeight="1" x14ac:dyDescent="0.25">
      <c r="B8" s="250">
        <v>2</v>
      </c>
      <c r="C8" s="671" t="s">
        <v>274</v>
      </c>
      <c r="D8" s="671"/>
      <c r="E8" s="245" t="str">
        <f>EgrePlanOrgá!E9</f>
        <v>Und</v>
      </c>
      <c r="F8" s="261">
        <v>1</v>
      </c>
      <c r="G8" s="246">
        <f>K8</f>
        <v>100000</v>
      </c>
      <c r="H8" s="246">
        <f>G8*F8*PronósticoDmda!$N$18*(1+ProyecciónIPC!$E$26)</f>
        <v>6516001.7999999998</v>
      </c>
      <c r="I8" s="246">
        <f>G8*F8*PronósticoDmda!$N$19*(1+ProyecciónIPC!$E$27)</f>
        <v>9299691</v>
      </c>
      <c r="J8" s="246">
        <f>G8*F8*PronósticoDmda!$N$20*(1+ProyecciónIPC!$E$28)</f>
        <v>9786317.7599999998</v>
      </c>
      <c r="K8" s="328">
        <v>100000</v>
      </c>
      <c r="L8" s="327">
        <v>13</v>
      </c>
    </row>
    <row r="9" spans="2:12" ht="15" customHeight="1" x14ac:dyDescent="0.25">
      <c r="B9" s="250">
        <v>3</v>
      </c>
      <c r="C9" s="671" t="s">
        <v>275</v>
      </c>
      <c r="D9" s="671"/>
      <c r="E9" s="245" t="str">
        <f>EgrePlanOrgá!E10</f>
        <v>Und</v>
      </c>
      <c r="F9" s="261">
        <v>1</v>
      </c>
      <c r="G9" s="246">
        <f t="shared" ref="G9:G10" si="0">K9</f>
        <v>100000</v>
      </c>
      <c r="H9" s="246">
        <f>G9*F9*PronósticoDmda!$N$18*(1+ProyecciónIPC!$E$26)</f>
        <v>6516001.7999999998</v>
      </c>
      <c r="I9" s="246">
        <f>G9*F9*PronósticoDmda!$N$19*(1+ProyecciónIPC!$E$27)</f>
        <v>9299691</v>
      </c>
      <c r="J9" s="246">
        <f>G9*F9*PronósticoDmda!$N$20*(1+ProyecciónIPC!$E$28)</f>
        <v>9786317.7599999998</v>
      </c>
      <c r="K9" s="328">
        <v>100000</v>
      </c>
      <c r="L9" s="327" t="s">
        <v>276</v>
      </c>
    </row>
    <row r="10" spans="2:12" ht="15" customHeight="1" x14ac:dyDescent="0.25">
      <c r="B10" s="250">
        <v>4</v>
      </c>
      <c r="C10" s="671" t="s">
        <v>277</v>
      </c>
      <c r="D10" s="671"/>
      <c r="E10" s="245" t="str">
        <f>EgrePlanOrgá!E11</f>
        <v>Und</v>
      </c>
      <c r="F10" s="261">
        <v>1</v>
      </c>
      <c r="G10" s="246">
        <f t="shared" si="0"/>
        <v>50000</v>
      </c>
      <c r="H10" s="246">
        <f>G10*F10*PronósticoDmda!$N$18*(1+ProyecciónIPC!$E$26)</f>
        <v>3258000.9</v>
      </c>
      <c r="I10" s="246">
        <f>G10*F10*PronósticoDmda!$N$19*(1+ProyecciónIPC!$E$27)</f>
        <v>4649845.5</v>
      </c>
      <c r="J10" s="246">
        <f>G10*F10*PronósticoDmda!$N$20*(1+ProyecciónIPC!$E$28)</f>
        <v>4893158.88</v>
      </c>
      <c r="K10" s="328">
        <v>50000</v>
      </c>
      <c r="L10" s="327">
        <v>12</v>
      </c>
    </row>
    <row r="11" spans="2:12" ht="15" customHeight="1" x14ac:dyDescent="0.25">
      <c r="B11" s="250">
        <v>5</v>
      </c>
      <c r="C11" s="671" t="s">
        <v>278</v>
      </c>
      <c r="D11" s="671"/>
      <c r="E11" s="245" t="str">
        <f>EgrePlanOrgá!E12</f>
        <v>Und</v>
      </c>
      <c r="F11" s="261">
        <v>1</v>
      </c>
      <c r="G11" s="246">
        <f>K11/(L8*L10)</f>
        <v>769.23076923076928</v>
      </c>
      <c r="H11" s="246">
        <f>G11*F11*PronósticoDmda!$N$18*(1+ProyecciónIPC!$E$26)</f>
        <v>50123.090769230781</v>
      </c>
      <c r="I11" s="246">
        <f>G11*F11*PronósticoDmda!$N$19*(1+ProyecciónIPC!$E$27)</f>
        <v>71536.084615384621</v>
      </c>
      <c r="J11" s="246">
        <f>G11*F11*PronósticoDmda!$N$20*(1+ProyecciónIPC!$E$28)</f>
        <v>75279.367384615369</v>
      </c>
      <c r="K11" s="328">
        <v>120000</v>
      </c>
    </row>
    <row r="12" spans="2:12" ht="15" customHeight="1" x14ac:dyDescent="0.25">
      <c r="B12" s="250">
        <v>6</v>
      </c>
      <c r="C12" s="671" t="s">
        <v>279</v>
      </c>
      <c r="D12" s="671"/>
      <c r="E12" s="245" t="str">
        <f>EgrePlanOrgá!E13</f>
        <v>Und</v>
      </c>
      <c r="F12" s="261">
        <v>7</v>
      </c>
      <c r="G12" s="246">
        <f>K12/(L8*L10*(F12+F24))</f>
        <v>85.972850678733025</v>
      </c>
      <c r="H12" s="246">
        <f>G12*F12*PronósticoDmda!$N$18*(1+ProyecciónIPC!$E$26)</f>
        <v>39213.947484162891</v>
      </c>
      <c r="I12" s="246">
        <f>G12*F12*PronósticoDmda!$N$19*(1+ProyecciónIPC!$E$27)</f>
        <v>55966.466199095019</v>
      </c>
      <c r="J12" s="246">
        <f>G12*F12*PronósticoDmda!$N$20*(1+ProyecciónIPC!$E$28)</f>
        <v>58895.034483257907</v>
      </c>
      <c r="K12" s="328">
        <v>456000</v>
      </c>
    </row>
    <row r="13" spans="2:12" ht="13.9" customHeight="1" x14ac:dyDescent="0.25">
      <c r="B13" s="250">
        <v>7</v>
      </c>
      <c r="C13" s="671" t="s">
        <v>280</v>
      </c>
      <c r="D13" s="671"/>
      <c r="E13" s="245" t="str">
        <f>EgrePlanOrgá!E14</f>
        <v>Und</v>
      </c>
      <c r="F13" s="261">
        <v>7</v>
      </c>
      <c r="G13" s="246">
        <f>K13/(L8*L10*(F13))</f>
        <v>366.30036630036631</v>
      </c>
      <c r="H13" s="246">
        <f>G13*F13*PronósticoDmda!$N$18*(1+ProyecciónIPC!$E$26)</f>
        <v>167076.96923076923</v>
      </c>
      <c r="I13" s="246">
        <f>G13*F13*PronósticoDmda!$N$19*(1+ProyecciónIPC!$E$27)</f>
        <v>238453.61538461535</v>
      </c>
      <c r="J13" s="246">
        <f>G13*F13*PronósticoDmda!$N$20*(1+ProyecciónIPC!$E$28)</f>
        <v>250931.22461538456</v>
      </c>
      <c r="K13" s="328">
        <v>400000</v>
      </c>
    </row>
    <row r="14" spans="2:12" ht="13.9" customHeight="1" x14ac:dyDescent="0.25">
      <c r="B14" s="250">
        <v>8</v>
      </c>
      <c r="C14" s="671" t="s">
        <v>281</v>
      </c>
      <c r="D14" s="671"/>
      <c r="E14" s="245" t="str">
        <f>EgrePlanOrgá!E15</f>
        <v>Und</v>
      </c>
      <c r="F14" s="261">
        <v>2</v>
      </c>
      <c r="G14" s="246">
        <f>K14/(L8*L10*(F14+F25))</f>
        <v>146.15384615384616</v>
      </c>
      <c r="H14" s="246">
        <f>G14*F14*PronósticoDmda!$N$18*(1+ProyecciónIPC!$E$26)</f>
        <v>19046.774492307693</v>
      </c>
      <c r="I14" s="246">
        <f>G14*F14*PronósticoDmda!$N$19*(1+ProyecciónIPC!$E$27)</f>
        <v>27183.712153846154</v>
      </c>
      <c r="J14" s="246">
        <f>G14*F14*PronósticoDmda!$N$20*(1+ProyecciónIPC!$E$28)</f>
        <v>28606.159606153844</v>
      </c>
      <c r="K14" s="328">
        <v>114000</v>
      </c>
    </row>
    <row r="15" spans="2:12" ht="13.9" customHeight="1" x14ac:dyDescent="0.25">
      <c r="B15" s="250">
        <v>9</v>
      </c>
      <c r="C15" s="671" t="s">
        <v>282</v>
      </c>
      <c r="D15" s="671"/>
      <c r="E15" s="245" t="str">
        <f>EgrePlanOrgá!E16</f>
        <v>Und</v>
      </c>
      <c r="F15" s="261">
        <v>2</v>
      </c>
      <c r="G15" s="246">
        <f>K15/(L8*L10*F15)</f>
        <v>1730.7692307692307</v>
      </c>
      <c r="H15" s="246">
        <f>G15*F15*PronósticoDmda!$N$18*(1+ProyecciónIPC!$E$26)</f>
        <v>225553.90846153846</v>
      </c>
      <c r="I15" s="246">
        <f>G15*F15*PronósticoDmda!$N$19*(1+ProyecciónIPC!$E$27)</f>
        <v>321912.38076923072</v>
      </c>
      <c r="J15" s="246">
        <f>G15*F15*PronósticoDmda!$N$20*(1+ProyecciónIPC!$E$28)</f>
        <v>338757.15323076915</v>
      </c>
      <c r="K15" s="328">
        <v>540000</v>
      </c>
    </row>
    <row r="16" spans="2:12" x14ac:dyDescent="0.25">
      <c r="B16" s="250">
        <v>10</v>
      </c>
      <c r="C16" s="671"/>
      <c r="D16" s="671"/>
      <c r="E16" s="245"/>
      <c r="F16" s="261">
        <f>EgrePlanOrgá!F17</f>
        <v>0</v>
      </c>
      <c r="G16" s="246">
        <f t="shared" ref="G16" si="1">K16/120</f>
        <v>0</v>
      </c>
      <c r="H16" s="246">
        <f>G16*F16*PronósticoDmda!$N$18*(1+ProyecciónIPC!$E$26)</f>
        <v>0</v>
      </c>
      <c r="I16" s="246">
        <f>((G16*F16)+(G16*ProyecciónIPC!$E$27))*PronósticoDmda!$N$19</f>
        <v>0</v>
      </c>
      <c r="J16" s="246">
        <f>(G16*F16+(G16*ProyecciónIPC!$E$28))*PronósticoDmda!$N$20</f>
        <v>0</v>
      </c>
      <c r="K16" s="328"/>
    </row>
    <row r="17" spans="2:11" x14ac:dyDescent="0.25">
      <c r="B17" s="250"/>
      <c r="C17" s="671" t="s">
        <v>303</v>
      </c>
      <c r="D17" s="671"/>
      <c r="E17" s="247"/>
      <c r="F17" s="247"/>
      <c r="G17" s="248">
        <f>SUM(G8:G16)</f>
        <v>253098.42706313293</v>
      </c>
      <c r="H17" s="249">
        <f>SUM(H7:H16)</f>
        <v>16961437.699053396</v>
      </c>
      <c r="I17" s="249">
        <f>SUM(I7:I16)</f>
        <v>24207502.446814477</v>
      </c>
      <c r="J17" s="249">
        <f>SUM(J7:J16)</f>
        <v>25474213.188427873</v>
      </c>
      <c r="K17" s="251"/>
    </row>
    <row r="18" spans="2:11" x14ac:dyDescent="0.25">
      <c r="B18" s="700" t="str">
        <f>EgrePlanOrgá!B19:H19</f>
        <v>ANÁLISIS DE MÉTRICAS</v>
      </c>
      <c r="C18" s="648"/>
      <c r="D18" s="648"/>
      <c r="E18" s="648"/>
      <c r="F18" s="648"/>
      <c r="G18" s="648"/>
      <c r="H18" s="648"/>
      <c r="I18" s="648"/>
      <c r="J18" s="648"/>
      <c r="K18" s="701"/>
    </row>
    <row r="19" spans="2:11" x14ac:dyDescent="0.25">
      <c r="B19" s="250">
        <v>11</v>
      </c>
      <c r="C19" s="671" t="s">
        <v>196</v>
      </c>
      <c r="D19" s="671"/>
      <c r="E19" s="245" t="str">
        <f>EgrePlanOrgá!E20</f>
        <v>Und</v>
      </c>
      <c r="F19" s="245">
        <f>EgrePlanOrgá!F20</f>
        <v>1</v>
      </c>
      <c r="G19" s="248">
        <f>K19/(L8*L10)</f>
        <v>1282.051282051282</v>
      </c>
      <c r="H19" s="246">
        <f>G19*F19*PronósticoDmda!$N$18*(1+ProyecciónIPC!$E$26)</f>
        <v>83538.484615384616</v>
      </c>
      <c r="I19" s="246">
        <f>G19*F19*PronósticoDmda!$N$19*(1+ProyecciónIPC!$E$27)</f>
        <v>119226.80769230767</v>
      </c>
      <c r="J19" s="246">
        <f>G19*F19*PronósticoDmda!$N$20*(1+ProyecciónIPC!$E$28)</f>
        <v>125465.61230769228</v>
      </c>
      <c r="K19" s="328">
        <v>200000</v>
      </c>
    </row>
    <row r="20" spans="2:11" x14ac:dyDescent="0.25">
      <c r="B20" s="250">
        <v>12</v>
      </c>
      <c r="C20" s="671" t="s">
        <v>304</v>
      </c>
      <c r="D20" s="671"/>
      <c r="E20" s="245" t="str">
        <f>EgrePlanOrgá!E21</f>
        <v>Und</v>
      </c>
      <c r="F20" s="245">
        <f>EgrePlanOrgá!F21</f>
        <v>1</v>
      </c>
      <c r="G20" s="248">
        <f>K20/(L8*L10)</f>
        <v>641.02564102564099</v>
      </c>
      <c r="H20" s="246">
        <f>G20*F20*PronósticoDmda!$N$18*(1+ProyecciónIPC!$E$26)</f>
        <v>41769.242307692308</v>
      </c>
      <c r="I20" s="246">
        <f>G20*F20*PronósticoDmda!$N$19*(1+ProyecciónIPC!$E$27)</f>
        <v>59613.403846153837</v>
      </c>
      <c r="J20" s="246">
        <f>G20*F20*PronósticoDmda!$N$20*(1+ProyecciónIPC!$E$28)</f>
        <v>62732.806153846141</v>
      </c>
      <c r="K20" s="328">
        <v>100000</v>
      </c>
    </row>
    <row r="21" spans="2:11" hidden="1" x14ac:dyDescent="0.25">
      <c r="B21" s="250">
        <v>13</v>
      </c>
      <c r="C21" s="671"/>
      <c r="D21" s="671"/>
      <c r="E21" s="245">
        <f>EgrePlanOrgá!E22</f>
        <v>0</v>
      </c>
      <c r="F21" s="245">
        <f>EgrePlanOrgá!F22</f>
        <v>0</v>
      </c>
      <c r="G21" s="248">
        <v>0</v>
      </c>
      <c r="H21" s="246">
        <f>G21*F21*PronósticoDmda!$N$18*(1+ProyecciónIPC!$E$26)</f>
        <v>0</v>
      </c>
      <c r="I21" s="246">
        <f>((G21*F21)+(G21*ProyecciónIPC!$E$27))*PronósticoDmda!$N$19</f>
        <v>0</v>
      </c>
      <c r="J21" s="246">
        <f>(G21*F21+(G21*ProyecciónIPC!$E$28))*PronósticoDmda!$N$20</f>
        <v>0</v>
      </c>
      <c r="K21" s="328"/>
    </row>
    <row r="22" spans="2:11" x14ac:dyDescent="0.25">
      <c r="B22" s="250"/>
      <c r="C22" s="671" t="s">
        <v>286</v>
      </c>
      <c r="D22" s="671"/>
      <c r="E22" s="247"/>
      <c r="F22" s="247"/>
      <c r="G22" s="248">
        <f>SUM(G19:G21)</f>
        <v>1923.0769230769229</v>
      </c>
      <c r="H22" s="249">
        <f>SUM(H19:H21)</f>
        <v>125307.72692307693</v>
      </c>
      <c r="I22" s="249">
        <f>SUM(I19:I21)</f>
        <v>178840.2115384615</v>
      </c>
      <c r="J22" s="249">
        <f>SUM(J19:J21)</f>
        <v>188198.41846153841</v>
      </c>
      <c r="K22" s="251"/>
    </row>
    <row r="23" spans="2:11" x14ac:dyDescent="0.25">
      <c r="B23" s="695" t="str">
        <f>EgrePlanOrgá!B24:H24</f>
        <v>ESTRATEGIA EN REDES</v>
      </c>
      <c r="C23" s="696"/>
      <c r="D23" s="696"/>
      <c r="E23" s="696"/>
      <c r="F23" s="696"/>
      <c r="G23" s="696"/>
      <c r="H23" s="696"/>
      <c r="I23" s="696"/>
      <c r="J23" s="696"/>
      <c r="K23" s="697"/>
    </row>
    <row r="24" spans="2:11" x14ac:dyDescent="0.25">
      <c r="B24" s="250">
        <v>14</v>
      </c>
      <c r="C24" s="671" t="s">
        <v>305</v>
      </c>
      <c r="D24" s="671"/>
      <c r="E24" s="245" t="str">
        <f>EgrePlanOrgá!E25</f>
        <v>Und</v>
      </c>
      <c r="F24" s="245">
        <v>27</v>
      </c>
      <c r="G24" s="246">
        <f>K24/(L8*L10*(F12+F24))</f>
        <v>85.972850678733025</v>
      </c>
      <c r="H24" s="246">
        <f>G24*F24*PronósticoDmda!$N$18*(1+ProyecciónIPC!$E$26)</f>
        <v>151253.79743891401</v>
      </c>
      <c r="I24" s="246">
        <f>G24*F24*PronósticoDmda!$N$19*(1+ProyecciónIPC!$E$27)</f>
        <v>215870.65533936652</v>
      </c>
      <c r="J24" s="246">
        <f>G24*F24*PronósticoDmda!$N$20*(1+ProyecciónIPC!$E$28)</f>
        <v>227166.5615782805</v>
      </c>
      <c r="K24" s="328">
        <v>456000</v>
      </c>
    </row>
    <row r="25" spans="2:11" x14ac:dyDescent="0.25">
      <c r="B25" s="250">
        <v>15</v>
      </c>
      <c r="C25" s="671" t="s">
        <v>306</v>
      </c>
      <c r="D25" s="671"/>
      <c r="E25" s="245" t="s">
        <v>272</v>
      </c>
      <c r="F25" s="245">
        <v>3</v>
      </c>
      <c r="G25" s="246">
        <f>K25/(L8*L10+(F14+F25))</f>
        <v>708.07453416149065</v>
      </c>
      <c r="H25" s="246">
        <f>G25*F25*PronósticoDmda!$N$18*(1+ProyecciónIPC!$E$26)</f>
        <v>138414.44817391303</v>
      </c>
      <c r="I25" s="246">
        <f>G25*F25*PronósticoDmda!$N$19*(1+ProyecciónIPC!$E$27)</f>
        <v>197546.23118012419</v>
      </c>
      <c r="J25" s="246">
        <f>G25*F25*PronósticoDmda!$N$20*(1+ProyecciónIPC!$E$28)</f>
        <v>207883.27167204965</v>
      </c>
      <c r="K25" s="328">
        <v>114000</v>
      </c>
    </row>
    <row r="26" spans="2:11" x14ac:dyDescent="0.25">
      <c r="B26" s="250">
        <v>16</v>
      </c>
      <c r="C26" s="671" t="s">
        <v>307</v>
      </c>
      <c r="D26" s="671"/>
      <c r="E26" s="245" t="s">
        <v>272</v>
      </c>
      <c r="F26" s="245">
        <v>1</v>
      </c>
      <c r="G26" s="248">
        <v>30000</v>
      </c>
      <c r="H26" s="246">
        <f>G26*F26*PronósticoDmda!$N$18*(1+ProyecciónIPC!$E$26)</f>
        <v>1954800.54</v>
      </c>
      <c r="I26" s="246">
        <f>G26*F26*PronósticoDmda!$N$19*(1+ProyecciónIPC!$E$27)</f>
        <v>2789907.3</v>
      </c>
      <c r="J26" s="246">
        <f>G26*F26*PronósticoDmda!$N$20*(1+ProyecciónIPC!$E$28)</f>
        <v>2935895.3279999997</v>
      </c>
      <c r="K26" s="328"/>
    </row>
    <row r="27" spans="2:11" hidden="1" x14ac:dyDescent="0.25">
      <c r="B27" s="250">
        <v>17</v>
      </c>
      <c r="C27" s="671"/>
      <c r="D27" s="671"/>
      <c r="E27" s="245" t="s">
        <v>272</v>
      </c>
      <c r="F27" s="245">
        <v>1</v>
      </c>
      <c r="G27" s="248"/>
      <c r="H27" s="246">
        <f>G27*F27*PronósticoDmda!$N$18*(1+ProyecciónIPC!$E$26)</f>
        <v>0</v>
      </c>
      <c r="I27" s="246">
        <f>((G27*F27)+(G27*ProyecciónIPC!$E$27))*PronósticoDmda!$N$19</f>
        <v>0</v>
      </c>
      <c r="J27" s="246">
        <f>(G27*F27+(G27*ProyecciónIPC!$E$28))*PronósticoDmda!$N$20</f>
        <v>0</v>
      </c>
      <c r="K27" s="328"/>
    </row>
    <row r="28" spans="2:11" x14ac:dyDescent="0.25">
      <c r="B28" s="250"/>
      <c r="C28" s="671" t="s">
        <v>308</v>
      </c>
      <c r="D28" s="671"/>
      <c r="E28" s="247"/>
      <c r="F28" s="247"/>
      <c r="G28" s="248">
        <f>SUM(G24:G27)</f>
        <v>30794.047384840225</v>
      </c>
      <c r="H28" s="249">
        <f>SUM(H24:H27)</f>
        <v>2244468.7856128272</v>
      </c>
      <c r="I28" s="249">
        <f>SUM(I24:I27)</f>
        <v>3203324.1865194906</v>
      </c>
      <c r="J28" s="249">
        <f>SUM(J24:J27)</f>
        <v>3370945.16125033</v>
      </c>
      <c r="K28" s="251"/>
    </row>
    <row r="29" spans="2:11" ht="18" customHeight="1" thickBot="1" x14ac:dyDescent="0.3">
      <c r="B29" s="252"/>
      <c r="C29" s="698"/>
      <c r="D29" s="699"/>
      <c r="E29" s="253"/>
      <c r="F29" s="676" t="s">
        <v>289</v>
      </c>
      <c r="G29" s="676"/>
      <c r="H29" s="254">
        <f>H17+H22+H28</f>
        <v>19331214.211589299</v>
      </c>
      <c r="I29" s="254">
        <f>I17+I22+I28</f>
        <v>27589666.84487243</v>
      </c>
      <c r="J29" s="254">
        <f>J17+J22+J28</f>
        <v>29033356.768139742</v>
      </c>
      <c r="K29" s="262"/>
    </row>
  </sheetData>
  <mergeCells count="26">
    <mergeCell ref="C16:D16"/>
    <mergeCell ref="C15:D15"/>
    <mergeCell ref="C5:D5"/>
    <mergeCell ref="C7:D7"/>
    <mergeCell ref="C8:D8"/>
    <mergeCell ref="C9:D9"/>
    <mergeCell ref="C10:D10"/>
    <mergeCell ref="C11:D11"/>
    <mergeCell ref="C12:D12"/>
    <mergeCell ref="C13:D13"/>
    <mergeCell ref="C14:D14"/>
    <mergeCell ref="B6:K6"/>
    <mergeCell ref="C17:D17"/>
    <mergeCell ref="C19:D19"/>
    <mergeCell ref="C20:D20"/>
    <mergeCell ref="C21:D21"/>
    <mergeCell ref="B18:K18"/>
    <mergeCell ref="F29:G29"/>
    <mergeCell ref="C22:D22"/>
    <mergeCell ref="C24:D24"/>
    <mergeCell ref="C25:D25"/>
    <mergeCell ref="C26:D26"/>
    <mergeCell ref="C27:D27"/>
    <mergeCell ref="C28:D28"/>
    <mergeCell ref="B23:K23"/>
    <mergeCell ref="C29:D2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U29"/>
  <sheetViews>
    <sheetView topLeftCell="E1" zoomScale="90" zoomScaleNormal="90" workbookViewId="0">
      <selection activeCell="J16" sqref="J16"/>
    </sheetView>
  </sheetViews>
  <sheetFormatPr baseColWidth="10" defaultColWidth="11.5" defaultRowHeight="15" x14ac:dyDescent="0.25"/>
  <cols>
    <col min="1" max="1" width="11.5" style="6"/>
    <col min="2" max="2" width="11.5" style="6" customWidth="1"/>
    <col min="3" max="3" width="13.625" style="6" customWidth="1"/>
    <col min="4" max="4" width="20" style="6" customWidth="1"/>
    <col min="5" max="5" width="11.5" style="6" customWidth="1"/>
    <col min="6" max="21" width="7.625" style="6" customWidth="1"/>
    <col min="22" max="16384" width="11.5" style="6"/>
  </cols>
  <sheetData>
    <row r="2" spans="2:21" x14ac:dyDescent="0.25">
      <c r="I2" s="30"/>
    </row>
    <row r="5" spans="2:21" ht="15.75" thickBot="1" x14ac:dyDescent="0.3"/>
    <row r="6" spans="2:21" x14ac:dyDescent="0.25">
      <c r="B6" s="259" t="s">
        <v>262</v>
      </c>
      <c r="C6" s="680" t="s">
        <v>263</v>
      </c>
      <c r="D6" s="680"/>
      <c r="E6" s="517" t="s">
        <v>174</v>
      </c>
      <c r="F6" s="517" t="s">
        <v>264</v>
      </c>
      <c r="G6" s="517" t="s">
        <v>290</v>
      </c>
      <c r="H6" s="517" t="s">
        <v>291</v>
      </c>
      <c r="I6" s="517" t="s">
        <v>292</v>
      </c>
      <c r="J6" s="517" t="s">
        <v>293</v>
      </c>
      <c r="K6" s="517" t="s">
        <v>294</v>
      </c>
      <c r="L6" s="517" t="s">
        <v>295</v>
      </c>
      <c r="M6" s="517" t="s">
        <v>296</v>
      </c>
      <c r="N6" s="517" t="s">
        <v>297</v>
      </c>
      <c r="O6" s="517" t="s">
        <v>298</v>
      </c>
      <c r="P6" s="517" t="s">
        <v>299</v>
      </c>
      <c r="Q6" s="517" t="s">
        <v>300</v>
      </c>
      <c r="R6" s="517" t="s">
        <v>301</v>
      </c>
      <c r="S6" s="517" t="s">
        <v>159</v>
      </c>
      <c r="T6" s="517" t="s">
        <v>162</v>
      </c>
      <c r="U6" s="260" t="s">
        <v>163</v>
      </c>
    </row>
    <row r="7" spans="2:21" x14ac:dyDescent="0.25">
      <c r="B7" s="700" t="str">
        <f>EgrePlanMix!B6</f>
        <v>CREACIÓN PIEZAS GRÁFICAS</v>
      </c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  <c r="T7" s="648"/>
      <c r="U7" s="701"/>
    </row>
    <row r="8" spans="2:21" ht="14.25" customHeight="1" x14ac:dyDescent="0.25">
      <c r="B8" s="250">
        <v>1</v>
      </c>
      <c r="C8" s="687" t="s">
        <v>271</v>
      </c>
      <c r="D8" s="687"/>
      <c r="E8" s="245" t="str">
        <f>EgrePlanMix!E7</f>
        <v>Und</v>
      </c>
      <c r="F8" s="245">
        <f>EgrePlanMix!F7</f>
        <v>1</v>
      </c>
      <c r="G8" s="256">
        <f>PronósticoDmda!C11</f>
        <v>3</v>
      </c>
      <c r="H8" s="256">
        <f>PronósticoDmda!D11</f>
        <v>4</v>
      </c>
      <c r="I8" s="256">
        <f>PronósticoDmda!E11</f>
        <v>3</v>
      </c>
      <c r="J8" s="256">
        <f>PronósticoDmda!F11</f>
        <v>5</v>
      </c>
      <c r="K8" s="256">
        <f>PronósticoDmda!G11</f>
        <v>5</v>
      </c>
      <c r="L8" s="256">
        <f>PronósticoDmda!H11</f>
        <v>6</v>
      </c>
      <c r="M8" s="256">
        <f>PronósticoDmda!I11</f>
        <v>6</v>
      </c>
      <c r="N8" s="256">
        <f>PronósticoDmda!J11</f>
        <v>8</v>
      </c>
      <c r="O8" s="256">
        <f>PronósticoDmda!K11</f>
        <v>7</v>
      </c>
      <c r="P8" s="256">
        <f>PronósticoDmda!L11</f>
        <v>6</v>
      </c>
      <c r="Q8" s="256">
        <f>PronósticoDmda!M11</f>
        <v>7</v>
      </c>
      <c r="R8" s="256">
        <f>PronósticoDmda!N11</f>
        <v>8</v>
      </c>
      <c r="S8" s="451">
        <f>PronósticoDmda!N18</f>
        <v>63</v>
      </c>
      <c r="T8" s="451">
        <f>PronósticoDmda!N19</f>
        <v>90</v>
      </c>
      <c r="U8" s="452">
        <f>PronósticoDmda!N20</f>
        <v>94.8</v>
      </c>
    </row>
    <row r="9" spans="2:21" ht="14.25" customHeight="1" x14ac:dyDescent="0.25">
      <c r="B9" s="250">
        <v>2</v>
      </c>
      <c r="C9" s="671" t="s">
        <v>274</v>
      </c>
      <c r="D9" s="671"/>
      <c r="E9" s="245" t="str">
        <f>EgrePlanMix!E8</f>
        <v>Und</v>
      </c>
      <c r="F9" s="245">
        <f>EgrePlanMix!F8</f>
        <v>1</v>
      </c>
      <c r="G9" s="257">
        <f>$G$8*F9</f>
        <v>3</v>
      </c>
      <c r="H9" s="257">
        <f t="shared" ref="H9:H17" si="0">$H$8*F9</f>
        <v>4</v>
      </c>
      <c r="I9" s="257">
        <f t="shared" ref="I9:I17" si="1">$I$8*F9</f>
        <v>3</v>
      </c>
      <c r="J9" s="257">
        <f t="shared" ref="J9:J17" si="2">$J$8*F9</f>
        <v>5</v>
      </c>
      <c r="K9" s="257">
        <f t="shared" ref="K9:K17" si="3">$K$8*F9</f>
        <v>5</v>
      </c>
      <c r="L9" s="257">
        <f t="shared" ref="L9:L17" si="4">$L$8*F9</f>
        <v>6</v>
      </c>
      <c r="M9" s="257">
        <f t="shared" ref="M9:M17" si="5">$M$8*F9</f>
        <v>6</v>
      </c>
      <c r="N9" s="257">
        <f t="shared" ref="N9:N17" si="6">$N$8*F9</f>
        <v>8</v>
      </c>
      <c r="O9" s="257">
        <f t="shared" ref="O9:O17" si="7">F9*$O$8</f>
        <v>7</v>
      </c>
      <c r="P9" s="257">
        <f t="shared" ref="P9:P17" si="8">$P$8*F9</f>
        <v>6</v>
      </c>
      <c r="Q9" s="257">
        <f t="shared" ref="Q9:Q17" si="9">$Q$8*F9</f>
        <v>7</v>
      </c>
      <c r="R9" s="257">
        <f t="shared" ref="R9:R17" si="10">$R$8*F9</f>
        <v>8</v>
      </c>
      <c r="S9" s="451">
        <f>S$8*F9</f>
        <v>63</v>
      </c>
      <c r="T9" s="451">
        <f>$T$8*F9</f>
        <v>90</v>
      </c>
      <c r="U9" s="452">
        <f>$U$8*F9</f>
        <v>94.8</v>
      </c>
    </row>
    <row r="10" spans="2:21" ht="14.25" customHeight="1" x14ac:dyDescent="0.25">
      <c r="B10" s="250">
        <v>3</v>
      </c>
      <c r="C10" s="671" t="s">
        <v>275</v>
      </c>
      <c r="D10" s="671"/>
      <c r="E10" s="245" t="str">
        <f>EgrePlanMix!E9</f>
        <v>Und</v>
      </c>
      <c r="F10" s="245">
        <f>EgrePlanMix!F9</f>
        <v>1</v>
      </c>
      <c r="G10" s="257">
        <f>$G$8*F10</f>
        <v>3</v>
      </c>
      <c r="H10" s="257">
        <f t="shared" si="0"/>
        <v>4</v>
      </c>
      <c r="I10" s="257">
        <f t="shared" si="1"/>
        <v>3</v>
      </c>
      <c r="J10" s="257">
        <f t="shared" si="2"/>
        <v>5</v>
      </c>
      <c r="K10" s="257">
        <f t="shared" si="3"/>
        <v>5</v>
      </c>
      <c r="L10" s="257">
        <f t="shared" si="4"/>
        <v>6</v>
      </c>
      <c r="M10" s="257">
        <f t="shared" si="5"/>
        <v>6</v>
      </c>
      <c r="N10" s="257">
        <f t="shared" si="6"/>
        <v>8</v>
      </c>
      <c r="O10" s="257">
        <f t="shared" si="7"/>
        <v>7</v>
      </c>
      <c r="P10" s="257">
        <f t="shared" si="8"/>
        <v>6</v>
      </c>
      <c r="Q10" s="257">
        <f t="shared" si="9"/>
        <v>7</v>
      </c>
      <c r="R10" s="257">
        <f t="shared" si="10"/>
        <v>8</v>
      </c>
      <c r="S10" s="451">
        <f t="shared" ref="S10:S17" si="11">S$8*F10</f>
        <v>63</v>
      </c>
      <c r="T10" s="451">
        <f>$T$8*F10</f>
        <v>90</v>
      </c>
      <c r="U10" s="452">
        <f t="shared" ref="U10:U17" si="12">$U$8*F10</f>
        <v>94.8</v>
      </c>
    </row>
    <row r="11" spans="2:21" ht="14.25" customHeight="1" x14ac:dyDescent="0.25">
      <c r="B11" s="250">
        <v>4</v>
      </c>
      <c r="C11" s="671" t="s">
        <v>277</v>
      </c>
      <c r="D11" s="671"/>
      <c r="E11" s="245" t="str">
        <f>EgrePlanMix!E10</f>
        <v>Und</v>
      </c>
      <c r="F11" s="245">
        <f>EgrePlanMix!F10</f>
        <v>1</v>
      </c>
      <c r="G11" s="257">
        <f t="shared" ref="G11:G17" si="13">$G$8*F11</f>
        <v>3</v>
      </c>
      <c r="H11" s="257">
        <f t="shared" si="0"/>
        <v>4</v>
      </c>
      <c r="I11" s="257">
        <f t="shared" si="1"/>
        <v>3</v>
      </c>
      <c r="J11" s="257">
        <f t="shared" si="2"/>
        <v>5</v>
      </c>
      <c r="K11" s="257">
        <f t="shared" si="3"/>
        <v>5</v>
      </c>
      <c r="L11" s="257">
        <f t="shared" si="4"/>
        <v>6</v>
      </c>
      <c r="M11" s="257">
        <f t="shared" si="5"/>
        <v>6</v>
      </c>
      <c r="N11" s="257">
        <f t="shared" si="6"/>
        <v>8</v>
      </c>
      <c r="O11" s="257">
        <f t="shared" si="7"/>
        <v>7</v>
      </c>
      <c r="P11" s="257">
        <f t="shared" si="8"/>
        <v>6</v>
      </c>
      <c r="Q11" s="257">
        <f t="shared" si="9"/>
        <v>7</v>
      </c>
      <c r="R11" s="257">
        <f t="shared" si="10"/>
        <v>8</v>
      </c>
      <c r="S11" s="451">
        <f t="shared" si="11"/>
        <v>63</v>
      </c>
      <c r="T11" s="451">
        <f t="shared" ref="T11:T17" si="14">$T$8*F11</f>
        <v>90</v>
      </c>
      <c r="U11" s="452">
        <f t="shared" si="12"/>
        <v>94.8</v>
      </c>
    </row>
    <row r="12" spans="2:21" ht="14.25" customHeight="1" x14ac:dyDescent="0.25">
      <c r="B12" s="250">
        <v>5</v>
      </c>
      <c r="C12" s="671" t="s">
        <v>278</v>
      </c>
      <c r="D12" s="671"/>
      <c r="E12" s="245" t="str">
        <f>EgrePlanMix!E11</f>
        <v>Und</v>
      </c>
      <c r="F12" s="245">
        <f>EgrePlanMix!F11</f>
        <v>1</v>
      </c>
      <c r="G12" s="257">
        <f t="shared" si="13"/>
        <v>3</v>
      </c>
      <c r="H12" s="257">
        <f>$H$8*F12</f>
        <v>4</v>
      </c>
      <c r="I12" s="257">
        <f t="shared" si="1"/>
        <v>3</v>
      </c>
      <c r="J12" s="257">
        <f t="shared" si="2"/>
        <v>5</v>
      </c>
      <c r="K12" s="257">
        <f t="shared" si="3"/>
        <v>5</v>
      </c>
      <c r="L12" s="257">
        <f t="shared" si="4"/>
        <v>6</v>
      </c>
      <c r="M12" s="257">
        <f t="shared" si="5"/>
        <v>6</v>
      </c>
      <c r="N12" s="257">
        <f t="shared" si="6"/>
        <v>8</v>
      </c>
      <c r="O12" s="257">
        <f t="shared" si="7"/>
        <v>7</v>
      </c>
      <c r="P12" s="257">
        <f t="shared" si="8"/>
        <v>6</v>
      </c>
      <c r="Q12" s="257">
        <f t="shared" si="9"/>
        <v>7</v>
      </c>
      <c r="R12" s="257">
        <f t="shared" si="10"/>
        <v>8</v>
      </c>
      <c r="S12" s="451">
        <f t="shared" si="11"/>
        <v>63</v>
      </c>
      <c r="T12" s="451">
        <f t="shared" si="14"/>
        <v>90</v>
      </c>
      <c r="U12" s="452">
        <f t="shared" si="12"/>
        <v>94.8</v>
      </c>
    </row>
    <row r="13" spans="2:21" ht="14.25" customHeight="1" x14ac:dyDescent="0.25">
      <c r="B13" s="250">
        <v>6</v>
      </c>
      <c r="C13" s="671" t="s">
        <v>279</v>
      </c>
      <c r="D13" s="671"/>
      <c r="E13" s="245" t="str">
        <f>EgrePlanMix!E12</f>
        <v>Und</v>
      </c>
      <c r="F13" s="245">
        <f>EgrePlanMix!F12</f>
        <v>7</v>
      </c>
      <c r="G13" s="257">
        <f>$G$8*F13</f>
        <v>21</v>
      </c>
      <c r="H13" s="257">
        <f>$H$8*F13</f>
        <v>28</v>
      </c>
      <c r="I13" s="257">
        <f>$I$8*F13</f>
        <v>21</v>
      </c>
      <c r="J13" s="257">
        <f>$J$8*F13</f>
        <v>35</v>
      </c>
      <c r="K13" s="257">
        <f>$K$8*F13</f>
        <v>35</v>
      </c>
      <c r="L13" s="257">
        <f t="shared" si="4"/>
        <v>42</v>
      </c>
      <c r="M13" s="257">
        <f t="shared" si="5"/>
        <v>42</v>
      </c>
      <c r="N13" s="257">
        <f t="shared" si="6"/>
        <v>56</v>
      </c>
      <c r="O13" s="257">
        <f t="shared" si="7"/>
        <v>49</v>
      </c>
      <c r="P13" s="257">
        <f t="shared" si="8"/>
        <v>42</v>
      </c>
      <c r="Q13" s="257">
        <f t="shared" si="9"/>
        <v>49</v>
      </c>
      <c r="R13" s="257">
        <f t="shared" si="10"/>
        <v>56</v>
      </c>
      <c r="S13" s="451">
        <f t="shared" si="11"/>
        <v>441</v>
      </c>
      <c r="T13" s="451">
        <f t="shared" si="14"/>
        <v>630</v>
      </c>
      <c r="U13" s="452">
        <f t="shared" si="12"/>
        <v>663.6</v>
      </c>
    </row>
    <row r="14" spans="2:21" ht="14.25" customHeight="1" x14ac:dyDescent="0.25">
      <c r="B14" s="250">
        <v>7</v>
      </c>
      <c r="C14" s="671" t="s">
        <v>280</v>
      </c>
      <c r="D14" s="671"/>
      <c r="E14" s="245" t="str">
        <f>EgrePlanMix!E13</f>
        <v>Und</v>
      </c>
      <c r="F14" s="245">
        <f>EgrePlanMix!F13</f>
        <v>7</v>
      </c>
      <c r="G14" s="257">
        <f>$G$8*F14</f>
        <v>21</v>
      </c>
      <c r="H14" s="257">
        <f t="shared" si="0"/>
        <v>28</v>
      </c>
      <c r="I14" s="257">
        <f t="shared" si="1"/>
        <v>21</v>
      </c>
      <c r="J14" s="257">
        <f t="shared" si="2"/>
        <v>35</v>
      </c>
      <c r="K14" s="257">
        <f t="shared" si="3"/>
        <v>35</v>
      </c>
      <c r="L14" s="257">
        <f t="shared" si="4"/>
        <v>42</v>
      </c>
      <c r="M14" s="257">
        <f t="shared" si="5"/>
        <v>42</v>
      </c>
      <c r="N14" s="257">
        <f t="shared" si="6"/>
        <v>56</v>
      </c>
      <c r="O14" s="257">
        <f t="shared" si="7"/>
        <v>49</v>
      </c>
      <c r="P14" s="257">
        <f t="shared" si="8"/>
        <v>42</v>
      </c>
      <c r="Q14" s="257">
        <f t="shared" si="9"/>
        <v>49</v>
      </c>
      <c r="R14" s="257">
        <f t="shared" si="10"/>
        <v>56</v>
      </c>
      <c r="S14" s="451">
        <f t="shared" si="11"/>
        <v>441</v>
      </c>
      <c r="T14" s="451">
        <f t="shared" si="14"/>
        <v>630</v>
      </c>
      <c r="U14" s="452">
        <f t="shared" si="12"/>
        <v>663.6</v>
      </c>
    </row>
    <row r="15" spans="2:21" x14ac:dyDescent="0.25">
      <c r="B15" s="250">
        <v>8</v>
      </c>
      <c r="C15" s="671" t="s">
        <v>281</v>
      </c>
      <c r="D15" s="671"/>
      <c r="E15" s="245" t="str">
        <f>EgrePlanMix!E14</f>
        <v>Und</v>
      </c>
      <c r="F15" s="245">
        <f>EgrePlanMix!F14</f>
        <v>2</v>
      </c>
      <c r="G15" s="257">
        <f>$G$8*F15</f>
        <v>6</v>
      </c>
      <c r="H15" s="257">
        <f t="shared" si="0"/>
        <v>8</v>
      </c>
      <c r="I15" s="257">
        <f t="shared" si="1"/>
        <v>6</v>
      </c>
      <c r="J15" s="257">
        <f t="shared" si="2"/>
        <v>10</v>
      </c>
      <c r="K15" s="257">
        <f t="shared" si="3"/>
        <v>10</v>
      </c>
      <c r="L15" s="257">
        <f t="shared" si="4"/>
        <v>12</v>
      </c>
      <c r="M15" s="257">
        <f t="shared" si="5"/>
        <v>12</v>
      </c>
      <c r="N15" s="257">
        <f t="shared" si="6"/>
        <v>16</v>
      </c>
      <c r="O15" s="257">
        <f t="shared" si="7"/>
        <v>14</v>
      </c>
      <c r="P15" s="257">
        <f t="shared" si="8"/>
        <v>12</v>
      </c>
      <c r="Q15" s="257">
        <f t="shared" si="9"/>
        <v>14</v>
      </c>
      <c r="R15" s="257">
        <f t="shared" si="10"/>
        <v>16</v>
      </c>
      <c r="S15" s="451">
        <f t="shared" si="11"/>
        <v>126</v>
      </c>
      <c r="T15" s="451">
        <f t="shared" si="14"/>
        <v>180</v>
      </c>
      <c r="U15" s="452">
        <f t="shared" si="12"/>
        <v>189.6</v>
      </c>
    </row>
    <row r="16" spans="2:21" ht="14.25" customHeight="1" x14ac:dyDescent="0.25">
      <c r="B16" s="250">
        <v>9</v>
      </c>
      <c r="C16" s="671" t="s">
        <v>282</v>
      </c>
      <c r="D16" s="671"/>
      <c r="E16" s="245" t="str">
        <f>EgrePlanMix!E15</f>
        <v>Und</v>
      </c>
      <c r="F16" s="245">
        <f>EgrePlanMix!F15</f>
        <v>2</v>
      </c>
      <c r="G16" s="257">
        <f>$G$8*F16</f>
        <v>6</v>
      </c>
      <c r="H16" s="257">
        <f t="shared" si="0"/>
        <v>8</v>
      </c>
      <c r="I16" s="257">
        <f t="shared" si="1"/>
        <v>6</v>
      </c>
      <c r="J16" s="257">
        <f t="shared" si="2"/>
        <v>10</v>
      </c>
      <c r="K16" s="257">
        <f t="shared" si="3"/>
        <v>10</v>
      </c>
      <c r="L16" s="257">
        <f t="shared" si="4"/>
        <v>12</v>
      </c>
      <c r="M16" s="257">
        <f t="shared" si="5"/>
        <v>12</v>
      </c>
      <c r="N16" s="257">
        <f t="shared" si="6"/>
        <v>16</v>
      </c>
      <c r="O16" s="257">
        <f t="shared" si="7"/>
        <v>14</v>
      </c>
      <c r="P16" s="257">
        <f t="shared" si="8"/>
        <v>12</v>
      </c>
      <c r="Q16" s="257">
        <f t="shared" si="9"/>
        <v>14</v>
      </c>
      <c r="R16" s="257">
        <f t="shared" si="10"/>
        <v>16</v>
      </c>
      <c r="S16" s="451">
        <f t="shared" si="11"/>
        <v>126</v>
      </c>
      <c r="T16" s="451">
        <f t="shared" si="14"/>
        <v>180</v>
      </c>
      <c r="U16" s="452">
        <f t="shared" si="12"/>
        <v>189.6</v>
      </c>
    </row>
    <row r="17" spans="2:21" x14ac:dyDescent="0.25">
      <c r="B17" s="250">
        <v>10</v>
      </c>
      <c r="C17" s="671"/>
      <c r="D17" s="671"/>
      <c r="E17" s="245">
        <f>EgrePlanMix!E16</f>
        <v>0</v>
      </c>
      <c r="F17" s="245">
        <f>EgrePlanMix!F16</f>
        <v>0</v>
      </c>
      <c r="G17" s="257">
        <f t="shared" si="13"/>
        <v>0</v>
      </c>
      <c r="H17" s="257">
        <f t="shared" si="0"/>
        <v>0</v>
      </c>
      <c r="I17" s="257">
        <f t="shared" si="1"/>
        <v>0</v>
      </c>
      <c r="J17" s="257">
        <f t="shared" si="2"/>
        <v>0</v>
      </c>
      <c r="K17" s="257">
        <f t="shared" si="3"/>
        <v>0</v>
      </c>
      <c r="L17" s="257">
        <f t="shared" si="4"/>
        <v>0</v>
      </c>
      <c r="M17" s="257">
        <f t="shared" si="5"/>
        <v>0</v>
      </c>
      <c r="N17" s="257">
        <f t="shared" si="6"/>
        <v>0</v>
      </c>
      <c r="O17" s="257">
        <f t="shared" si="7"/>
        <v>0</v>
      </c>
      <c r="P17" s="257">
        <f t="shared" si="8"/>
        <v>0</v>
      </c>
      <c r="Q17" s="257">
        <f t="shared" si="9"/>
        <v>0</v>
      </c>
      <c r="R17" s="257">
        <f t="shared" si="10"/>
        <v>0</v>
      </c>
      <c r="S17" s="451">
        <f t="shared" si="11"/>
        <v>0</v>
      </c>
      <c r="T17" s="451">
        <f t="shared" si="14"/>
        <v>0</v>
      </c>
      <c r="U17" s="452">
        <f t="shared" si="12"/>
        <v>0</v>
      </c>
    </row>
    <row r="18" spans="2:21" x14ac:dyDescent="0.25">
      <c r="B18" s="250"/>
      <c r="C18" s="671"/>
      <c r="D18" s="671"/>
      <c r="E18" s="247"/>
      <c r="F18" s="247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457"/>
      <c r="T18" s="457"/>
      <c r="U18" s="458"/>
    </row>
    <row r="19" spans="2:21" x14ac:dyDescent="0.25">
      <c r="B19" s="700" t="str">
        <f>EgrePlanMix!B18:J18</f>
        <v>ANÁLISIS DE MÉTRICAS</v>
      </c>
      <c r="C19" s="648"/>
      <c r="D19" s="648"/>
      <c r="E19" s="648"/>
      <c r="F19" s="648"/>
      <c r="G19" s="648"/>
      <c r="H19" s="648"/>
      <c r="I19" s="648"/>
      <c r="J19" s="648"/>
      <c r="K19" s="648"/>
      <c r="L19" s="648"/>
      <c r="M19" s="648"/>
      <c r="N19" s="648"/>
      <c r="O19" s="648"/>
      <c r="P19" s="648"/>
      <c r="Q19" s="648"/>
      <c r="R19" s="648"/>
      <c r="S19" s="648"/>
      <c r="T19" s="648"/>
      <c r="U19" s="701"/>
    </row>
    <row r="20" spans="2:21" ht="14.25" customHeight="1" x14ac:dyDescent="0.25">
      <c r="B20" s="250">
        <v>11</v>
      </c>
      <c r="C20" s="671" t="str">
        <f>EgrePlanMix!C19:D19</f>
        <v>Hootsuite</v>
      </c>
      <c r="D20" s="671"/>
      <c r="E20" s="245" t="s">
        <v>272</v>
      </c>
      <c r="F20" s="245">
        <f>EgrePlanMix!F19</f>
        <v>1</v>
      </c>
      <c r="G20" s="257">
        <f t="shared" ref="G20:G22" si="15">$G$8*F20</f>
        <v>3</v>
      </c>
      <c r="H20" s="257">
        <f t="shared" ref="H20:H22" si="16">$H$8*F20</f>
        <v>4</v>
      </c>
      <c r="I20" s="257">
        <f t="shared" ref="I20:I22" si="17">$I$8*F20</f>
        <v>3</v>
      </c>
      <c r="J20" s="257">
        <f t="shared" ref="J20:J22" si="18">$J$8*F20</f>
        <v>5</v>
      </c>
      <c r="K20" s="257">
        <f t="shared" ref="K20:K22" si="19">$K$8*F20</f>
        <v>5</v>
      </c>
      <c r="L20" s="257">
        <f t="shared" ref="L20:L22" si="20">$L$8*F20</f>
        <v>6</v>
      </c>
      <c r="M20" s="257">
        <f t="shared" ref="M20:M22" si="21">$M$8*F20</f>
        <v>6</v>
      </c>
      <c r="N20" s="257">
        <f t="shared" ref="N20:N22" si="22">$N$8*F20</f>
        <v>8</v>
      </c>
      <c r="O20" s="257">
        <f t="shared" ref="O20:O22" si="23">F20*$O$8</f>
        <v>7</v>
      </c>
      <c r="P20" s="257">
        <f t="shared" ref="P20:P22" si="24">$P$8*F20</f>
        <v>6</v>
      </c>
      <c r="Q20" s="257">
        <f t="shared" ref="Q20:Q22" si="25">$Q$8*F20</f>
        <v>7</v>
      </c>
      <c r="R20" s="257">
        <f t="shared" ref="R20:R22" si="26">$R$8*F20</f>
        <v>8</v>
      </c>
      <c r="S20" s="451">
        <f t="shared" ref="S20:S22" si="27">S$8*F20</f>
        <v>63</v>
      </c>
      <c r="T20" s="451">
        <f t="shared" ref="T20:T22" si="28">$T$8*F20</f>
        <v>90</v>
      </c>
      <c r="U20" s="452">
        <f t="shared" ref="U20:U22" si="29">$U$8*F20</f>
        <v>94.8</v>
      </c>
    </row>
    <row r="21" spans="2:21" x14ac:dyDescent="0.25">
      <c r="B21" s="250">
        <v>12</v>
      </c>
      <c r="C21" s="671" t="str">
        <f>EgrePlanMix!C20:D20</f>
        <v>Google Data Studio</v>
      </c>
      <c r="D21" s="671"/>
      <c r="E21" s="245" t="s">
        <v>272</v>
      </c>
      <c r="F21" s="245">
        <f>EgrePlanMix!F20</f>
        <v>1</v>
      </c>
      <c r="G21" s="257">
        <f t="shared" si="15"/>
        <v>3</v>
      </c>
      <c r="H21" s="257">
        <f t="shared" si="16"/>
        <v>4</v>
      </c>
      <c r="I21" s="257">
        <f t="shared" si="17"/>
        <v>3</v>
      </c>
      <c r="J21" s="257">
        <f t="shared" si="18"/>
        <v>5</v>
      </c>
      <c r="K21" s="257">
        <f t="shared" si="19"/>
        <v>5</v>
      </c>
      <c r="L21" s="257">
        <f t="shared" si="20"/>
        <v>6</v>
      </c>
      <c r="M21" s="257">
        <f t="shared" si="21"/>
        <v>6</v>
      </c>
      <c r="N21" s="257">
        <f t="shared" si="22"/>
        <v>8</v>
      </c>
      <c r="O21" s="257">
        <f t="shared" si="23"/>
        <v>7</v>
      </c>
      <c r="P21" s="257">
        <f t="shared" si="24"/>
        <v>6</v>
      </c>
      <c r="Q21" s="257">
        <f t="shared" si="25"/>
        <v>7</v>
      </c>
      <c r="R21" s="257">
        <f t="shared" si="26"/>
        <v>8</v>
      </c>
      <c r="S21" s="451">
        <f t="shared" si="27"/>
        <v>63</v>
      </c>
      <c r="T21" s="451">
        <f t="shared" si="28"/>
        <v>90</v>
      </c>
      <c r="U21" s="452">
        <f t="shared" si="29"/>
        <v>94.8</v>
      </c>
    </row>
    <row r="22" spans="2:21" ht="14.25" customHeight="1" x14ac:dyDescent="0.25">
      <c r="B22" s="250">
        <v>13</v>
      </c>
      <c r="C22" s="671"/>
      <c r="D22" s="671"/>
      <c r="E22" s="245" t="s">
        <v>272</v>
      </c>
      <c r="F22" s="245">
        <f>EgrePlanMix!F21</f>
        <v>0</v>
      </c>
      <c r="G22" s="257">
        <f t="shared" si="15"/>
        <v>0</v>
      </c>
      <c r="H22" s="257">
        <f t="shared" si="16"/>
        <v>0</v>
      </c>
      <c r="I22" s="257">
        <f t="shared" si="17"/>
        <v>0</v>
      </c>
      <c r="J22" s="257">
        <f t="shared" si="18"/>
        <v>0</v>
      </c>
      <c r="K22" s="257">
        <f t="shared" si="19"/>
        <v>0</v>
      </c>
      <c r="L22" s="257">
        <f t="shared" si="20"/>
        <v>0</v>
      </c>
      <c r="M22" s="257">
        <f t="shared" si="21"/>
        <v>0</v>
      </c>
      <c r="N22" s="257">
        <f t="shared" si="22"/>
        <v>0</v>
      </c>
      <c r="O22" s="257">
        <f t="shared" si="23"/>
        <v>0</v>
      </c>
      <c r="P22" s="257">
        <f t="shared" si="24"/>
        <v>0</v>
      </c>
      <c r="Q22" s="257">
        <f t="shared" si="25"/>
        <v>0</v>
      </c>
      <c r="R22" s="257">
        <f t="shared" si="26"/>
        <v>0</v>
      </c>
      <c r="S22" s="451">
        <f t="shared" si="27"/>
        <v>0</v>
      </c>
      <c r="T22" s="451">
        <f t="shared" si="28"/>
        <v>0</v>
      </c>
      <c r="U22" s="452">
        <f t="shared" si="29"/>
        <v>0</v>
      </c>
    </row>
    <row r="23" spans="2:21" x14ac:dyDescent="0.25">
      <c r="B23" s="250"/>
      <c r="C23" s="671"/>
      <c r="D23" s="671"/>
      <c r="E23" s="247"/>
      <c r="F23" s="247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457"/>
      <c r="T23" s="457"/>
      <c r="U23" s="458"/>
    </row>
    <row r="24" spans="2:21" x14ac:dyDescent="0.25">
      <c r="B24" s="700" t="str">
        <f>EgrePlanOrgá!B24:H24</f>
        <v>ESTRATEGIA EN REDES</v>
      </c>
      <c r="C24" s="648"/>
      <c r="D24" s="648"/>
      <c r="E24" s="648"/>
      <c r="F24" s="648"/>
      <c r="G24" s="648"/>
      <c r="H24" s="648"/>
      <c r="I24" s="648"/>
      <c r="J24" s="648"/>
      <c r="K24" s="648"/>
      <c r="L24" s="648"/>
      <c r="M24" s="648"/>
      <c r="N24" s="648"/>
      <c r="O24" s="648"/>
      <c r="P24" s="648"/>
      <c r="Q24" s="648"/>
      <c r="R24" s="648"/>
      <c r="S24" s="648"/>
      <c r="T24" s="648"/>
      <c r="U24" s="701"/>
    </row>
    <row r="25" spans="2:21" x14ac:dyDescent="0.25">
      <c r="B25" s="250">
        <v>14</v>
      </c>
      <c r="C25" s="671" t="s">
        <v>305</v>
      </c>
      <c r="D25" s="671"/>
      <c r="E25" s="245" t="s">
        <v>272</v>
      </c>
      <c r="F25" s="245">
        <f>EgrePlanMix!F24</f>
        <v>27</v>
      </c>
      <c r="G25" s="257">
        <f>$G$8*F25</f>
        <v>81</v>
      </c>
      <c r="H25" s="257">
        <f>$H$8*F25</f>
        <v>108</v>
      </c>
      <c r="I25" s="257">
        <f>$I$8*F25</f>
        <v>81</v>
      </c>
      <c r="J25" s="257">
        <f>$J$8*F25</f>
        <v>135</v>
      </c>
      <c r="K25" s="257">
        <f>$K$8*F25</f>
        <v>135</v>
      </c>
      <c r="L25" s="257">
        <f>$L$8*F25</f>
        <v>162</v>
      </c>
      <c r="M25" s="257">
        <f>$M$8*F25</f>
        <v>162</v>
      </c>
      <c r="N25" s="257">
        <f>$N$8*F25</f>
        <v>216</v>
      </c>
      <c r="O25" s="257">
        <f>F25*$O$8</f>
        <v>189</v>
      </c>
      <c r="P25" s="257">
        <f>$P$8*F25</f>
        <v>162</v>
      </c>
      <c r="Q25" s="257">
        <f>$Q$8*F25</f>
        <v>189</v>
      </c>
      <c r="R25" s="257">
        <f>$R$8*F25</f>
        <v>216</v>
      </c>
      <c r="S25" s="451">
        <f>S$8*F25</f>
        <v>1701</v>
      </c>
      <c r="T25" s="451">
        <f>$T$8*F25</f>
        <v>2430</v>
      </c>
      <c r="U25" s="452">
        <f>$U$8*F25</f>
        <v>2559.6</v>
      </c>
    </row>
    <row r="26" spans="2:21" x14ac:dyDescent="0.25">
      <c r="B26" s="250">
        <v>15</v>
      </c>
      <c r="C26" s="671" t="s">
        <v>306</v>
      </c>
      <c r="D26" s="671"/>
      <c r="E26" s="245" t="s">
        <v>272</v>
      </c>
      <c r="F26" s="245">
        <f>EgrePlanMix!F25</f>
        <v>3</v>
      </c>
      <c r="G26" s="257">
        <f>$G$8*F26</f>
        <v>9</v>
      </c>
      <c r="H26" s="257">
        <f>$H$8*F26</f>
        <v>12</v>
      </c>
      <c r="I26" s="257">
        <f>$I$8*F26</f>
        <v>9</v>
      </c>
      <c r="J26" s="257">
        <f>$J$8*F26</f>
        <v>15</v>
      </c>
      <c r="K26" s="257">
        <f>$K$8*F26</f>
        <v>15</v>
      </c>
      <c r="L26" s="257">
        <f>$L$8*F26</f>
        <v>18</v>
      </c>
      <c r="M26" s="257">
        <f>$M$8*F26</f>
        <v>18</v>
      </c>
      <c r="N26" s="257">
        <f>$N$8*F26</f>
        <v>24</v>
      </c>
      <c r="O26" s="257">
        <f>F26*$O$8</f>
        <v>21</v>
      </c>
      <c r="P26" s="257">
        <f>$P$8*F26</f>
        <v>18</v>
      </c>
      <c r="Q26" s="257">
        <f>$Q$8*F26</f>
        <v>21</v>
      </c>
      <c r="R26" s="257">
        <f>$R$8*F26</f>
        <v>24</v>
      </c>
      <c r="S26" s="451">
        <f>S$8*F26</f>
        <v>189</v>
      </c>
      <c r="T26" s="451">
        <f>$T$8*F26</f>
        <v>270</v>
      </c>
      <c r="U26" s="452">
        <f>$U$8*F26</f>
        <v>284.39999999999998</v>
      </c>
    </row>
    <row r="27" spans="2:21" ht="15" customHeight="1" x14ac:dyDescent="0.25">
      <c r="B27" s="250">
        <v>16</v>
      </c>
      <c r="C27" s="671" t="s">
        <v>307</v>
      </c>
      <c r="D27" s="671"/>
      <c r="E27" s="245" t="s">
        <v>272</v>
      </c>
      <c r="F27" s="245">
        <f>EgrePlanMix!F26</f>
        <v>1</v>
      </c>
      <c r="G27" s="257">
        <f>$G$8*F27</f>
        <v>3</v>
      </c>
      <c r="H27" s="257">
        <f>$H$8*F27</f>
        <v>4</v>
      </c>
      <c r="I27" s="257">
        <f>$I$8*F27</f>
        <v>3</v>
      </c>
      <c r="J27" s="257">
        <f>$J$8*F27</f>
        <v>5</v>
      </c>
      <c r="K27" s="257">
        <f>$K$8*F27</f>
        <v>5</v>
      </c>
      <c r="L27" s="257">
        <f>$L$8*F27</f>
        <v>6</v>
      </c>
      <c r="M27" s="257">
        <f>$M$8*F27</f>
        <v>6</v>
      </c>
      <c r="N27" s="257">
        <f>$N$8*F27</f>
        <v>8</v>
      </c>
      <c r="O27" s="257">
        <f>F27*$O$8</f>
        <v>7</v>
      </c>
      <c r="P27" s="257">
        <f>$P$8*F27</f>
        <v>6</v>
      </c>
      <c r="Q27" s="257">
        <f>$Q$8*F27</f>
        <v>7</v>
      </c>
      <c r="R27" s="257">
        <f>$R$8*F27</f>
        <v>8</v>
      </c>
      <c r="S27" s="451">
        <f>S$8*F27</f>
        <v>63</v>
      </c>
      <c r="T27" s="451">
        <f>$T$8*F27</f>
        <v>90</v>
      </c>
      <c r="U27" s="452">
        <f>$U$8*F27</f>
        <v>94.8</v>
      </c>
    </row>
    <row r="28" spans="2:21" x14ac:dyDescent="0.25">
      <c r="B28" s="250">
        <v>17</v>
      </c>
      <c r="C28" s="671"/>
      <c r="D28" s="671"/>
      <c r="E28" s="245" t="s">
        <v>272</v>
      </c>
      <c r="F28" s="245">
        <v>0</v>
      </c>
      <c r="G28" s="257">
        <f>$G$8*F28</f>
        <v>0</v>
      </c>
      <c r="H28" s="257">
        <f>$H$8*F28</f>
        <v>0</v>
      </c>
      <c r="I28" s="257">
        <f>$I$8*F28</f>
        <v>0</v>
      </c>
      <c r="J28" s="257">
        <f>$J$8*F28</f>
        <v>0</v>
      </c>
      <c r="K28" s="257">
        <f>$K$8*F28</f>
        <v>0</v>
      </c>
      <c r="L28" s="257">
        <f>$L$8*F28</f>
        <v>0</v>
      </c>
      <c r="M28" s="257">
        <f>$M$8*F28</f>
        <v>0</v>
      </c>
      <c r="N28" s="257">
        <f>$N$8*F28</f>
        <v>0</v>
      </c>
      <c r="O28" s="257">
        <f>F28*$O$8</f>
        <v>0</v>
      </c>
      <c r="P28" s="257">
        <f>$P$8*F28</f>
        <v>0</v>
      </c>
      <c r="Q28" s="257">
        <f>$Q$8*F28</f>
        <v>0</v>
      </c>
      <c r="R28" s="257">
        <f>$R$8*F28</f>
        <v>0</v>
      </c>
      <c r="S28" s="451">
        <f>S$8*F28</f>
        <v>0</v>
      </c>
      <c r="T28" s="451">
        <f>$T$8*F28</f>
        <v>0</v>
      </c>
      <c r="U28" s="452">
        <f>$U$8*F28</f>
        <v>0</v>
      </c>
    </row>
    <row r="29" spans="2:21" ht="15.75" customHeight="1" thickBot="1" x14ac:dyDescent="0.3">
      <c r="B29" s="258"/>
      <c r="C29" s="688"/>
      <c r="D29" s="688"/>
      <c r="E29" s="518"/>
      <c r="F29" s="518"/>
      <c r="G29" s="518"/>
      <c r="H29" s="518"/>
      <c r="I29" s="518"/>
      <c r="J29" s="518"/>
      <c r="K29" s="518"/>
      <c r="L29" s="518"/>
      <c r="M29" s="518"/>
      <c r="N29" s="518"/>
      <c r="O29" s="518"/>
      <c r="P29" s="518"/>
      <c r="Q29" s="518"/>
      <c r="R29" s="518"/>
      <c r="S29" s="453"/>
      <c r="T29" s="453"/>
      <c r="U29" s="454"/>
    </row>
  </sheetData>
  <mergeCells count="24">
    <mergeCell ref="C12:D12"/>
    <mergeCell ref="C6:D6"/>
    <mergeCell ref="C8:D8"/>
    <mergeCell ref="C9:D9"/>
    <mergeCell ref="C10:D10"/>
    <mergeCell ref="C11:D11"/>
    <mergeCell ref="B7:U7"/>
    <mergeCell ref="C20:D20"/>
    <mergeCell ref="C13:D13"/>
    <mergeCell ref="C14:D14"/>
    <mergeCell ref="C15:D15"/>
    <mergeCell ref="C16:D16"/>
    <mergeCell ref="C17:D17"/>
    <mergeCell ref="C18:D18"/>
    <mergeCell ref="B19:U19"/>
    <mergeCell ref="C29:D29"/>
    <mergeCell ref="C21:D21"/>
    <mergeCell ref="C22:D22"/>
    <mergeCell ref="C23:D23"/>
    <mergeCell ref="C25:D25"/>
    <mergeCell ref="C26:D26"/>
    <mergeCell ref="C27:D27"/>
    <mergeCell ref="C28:D28"/>
    <mergeCell ref="B24:U2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V30"/>
  <sheetViews>
    <sheetView zoomScale="90" zoomScaleNormal="90" workbookViewId="0">
      <selection activeCell="X28" sqref="X28"/>
    </sheetView>
  </sheetViews>
  <sheetFormatPr baseColWidth="10" defaultColWidth="11.5" defaultRowHeight="15" x14ac:dyDescent="0.25"/>
  <cols>
    <col min="1" max="1" width="11.5" style="6"/>
    <col min="2" max="2" width="8.125" style="6" customWidth="1"/>
    <col min="3" max="3" width="16.625" style="6" customWidth="1"/>
    <col min="4" max="4" width="6.625" style="6" customWidth="1"/>
    <col min="5" max="5" width="9.875" style="6" customWidth="1"/>
    <col min="6" max="6" width="10" style="6" customWidth="1"/>
    <col min="7" max="7" width="11.25" style="6" customWidth="1"/>
    <col min="8" max="22" width="11.625" style="6" customWidth="1"/>
    <col min="23" max="16384" width="11.5" style="6"/>
  </cols>
  <sheetData>
    <row r="2" spans="2:22" x14ac:dyDescent="0.25">
      <c r="J2" s="30"/>
    </row>
    <row r="5" spans="2:22" ht="15.75" thickBot="1" x14ac:dyDescent="0.3"/>
    <row r="6" spans="2:22" x14ac:dyDescent="0.25">
      <c r="B6" s="264" t="s">
        <v>262</v>
      </c>
      <c r="C6" s="704" t="s">
        <v>263</v>
      </c>
      <c r="D6" s="704"/>
      <c r="E6" s="522" t="s">
        <v>174</v>
      </c>
      <c r="F6" s="522" t="s">
        <v>264</v>
      </c>
      <c r="G6" s="522" t="s">
        <v>265</v>
      </c>
      <c r="H6" s="522" t="s">
        <v>290</v>
      </c>
      <c r="I6" s="522" t="s">
        <v>291</v>
      </c>
      <c r="J6" s="522" t="s">
        <v>292</v>
      </c>
      <c r="K6" s="522" t="s">
        <v>293</v>
      </c>
      <c r="L6" s="522" t="s">
        <v>294</v>
      </c>
      <c r="M6" s="522" t="s">
        <v>295</v>
      </c>
      <c r="N6" s="522" t="s">
        <v>296</v>
      </c>
      <c r="O6" s="522" t="s">
        <v>297</v>
      </c>
      <c r="P6" s="522" t="s">
        <v>298</v>
      </c>
      <c r="Q6" s="522" t="s">
        <v>299</v>
      </c>
      <c r="R6" s="522" t="s">
        <v>300</v>
      </c>
      <c r="S6" s="522" t="s">
        <v>301</v>
      </c>
      <c r="T6" s="522" t="s">
        <v>159</v>
      </c>
      <c r="U6" s="522" t="s">
        <v>162</v>
      </c>
      <c r="V6" s="265" t="s">
        <v>163</v>
      </c>
    </row>
    <row r="7" spans="2:22" x14ac:dyDescent="0.25">
      <c r="B7" s="695" t="str">
        <f>EgreUndPlanMix!B7</f>
        <v>CREACIÓN PIEZAS GRÁFICAS</v>
      </c>
      <c r="C7" s="696"/>
      <c r="D7" s="696"/>
      <c r="E7" s="696"/>
      <c r="F7" s="696"/>
      <c r="G7" s="696"/>
      <c r="H7" s="696"/>
      <c r="I7" s="696"/>
      <c r="J7" s="696"/>
      <c r="K7" s="696"/>
      <c r="L7" s="696"/>
      <c r="M7" s="696"/>
      <c r="N7" s="696"/>
      <c r="O7" s="696"/>
      <c r="P7" s="696"/>
      <c r="Q7" s="696"/>
      <c r="R7" s="696"/>
      <c r="S7" s="696"/>
      <c r="T7" s="696"/>
      <c r="U7" s="696"/>
      <c r="V7" s="697"/>
    </row>
    <row r="8" spans="2:22" ht="14.25" customHeight="1" x14ac:dyDescent="0.25">
      <c r="B8" s="250">
        <v>1</v>
      </c>
      <c r="C8" s="671" t="s">
        <v>271</v>
      </c>
      <c r="D8" s="671"/>
      <c r="E8" s="245" t="s">
        <v>272</v>
      </c>
      <c r="F8" s="245">
        <v>1</v>
      </c>
      <c r="G8" s="246">
        <f>EgrePlanMix!G7</f>
        <v>2615.3846153846152</v>
      </c>
      <c r="H8" s="444">
        <f>$G$8*EgreUndPlanMix!G8</f>
        <v>7846.1538461538457</v>
      </c>
      <c r="I8" s="444">
        <f>$G$8*EgreUndPlanMix!H8</f>
        <v>10461.538461538461</v>
      </c>
      <c r="J8" s="444">
        <f>$G$8*EgreUndPlanMix!I8</f>
        <v>7846.1538461538457</v>
      </c>
      <c r="K8" s="444">
        <f>$G$8*EgreUndPlanMix!J8</f>
        <v>13076.923076923076</v>
      </c>
      <c r="L8" s="444">
        <f>$G$8*EgreUndPlanMix!K8</f>
        <v>13076.923076923076</v>
      </c>
      <c r="M8" s="444">
        <f>$G$8*EgreUndPlanMix!L8</f>
        <v>15692.307692307691</v>
      </c>
      <c r="N8" s="444">
        <f>$G$8*EgreUndPlanMix!M8</f>
        <v>15692.307692307691</v>
      </c>
      <c r="O8" s="444">
        <f>$G$8*EgreUndPlanMix!N8</f>
        <v>20923.076923076922</v>
      </c>
      <c r="P8" s="444">
        <f>$G$8*EgreUndPlanMix!O8</f>
        <v>18307.692307692305</v>
      </c>
      <c r="Q8" s="444">
        <f>$G$8*EgreUndPlanMix!P8</f>
        <v>15692.307692307691</v>
      </c>
      <c r="R8" s="444">
        <f>$G$8*EgreUndPlanMix!Q8</f>
        <v>18307.692307692305</v>
      </c>
      <c r="S8" s="444">
        <f>$G$8*EgreUndPlanMix!R8</f>
        <v>20923.076923076922</v>
      </c>
      <c r="T8" s="455">
        <f>SUM(H8:S8)</f>
        <v>177846.15384615381</v>
      </c>
      <c r="U8" s="455">
        <f>(EgreUndPlanMix!T8*G8)*(1+ProyecciónIPC!$E$27)</f>
        <v>243222.68769230766</v>
      </c>
      <c r="V8" s="456">
        <f>(EgreUndPlanMix!U8*G8)*(1+ProyecciónIPC!$E$28)</f>
        <v>255949.84910769228</v>
      </c>
    </row>
    <row r="9" spans="2:22" ht="14.25" customHeight="1" x14ac:dyDescent="0.25">
      <c r="B9" s="250">
        <v>2</v>
      </c>
      <c r="C9" s="671" t="s">
        <v>274</v>
      </c>
      <c r="D9" s="671"/>
      <c r="E9" s="245" t="s">
        <v>272</v>
      </c>
      <c r="F9" s="245">
        <v>1</v>
      </c>
      <c r="G9" s="246">
        <f>EgrePlanMix!G8</f>
        <v>100000</v>
      </c>
      <c r="H9" s="444">
        <f>$G$9*EgreUndPlanMix!G9</f>
        <v>300000</v>
      </c>
      <c r="I9" s="444">
        <f>$G$9*EgreUndPlanMix!H9</f>
        <v>400000</v>
      </c>
      <c r="J9" s="444">
        <f>$G$9*EgreUndPlanMix!I9</f>
        <v>300000</v>
      </c>
      <c r="K9" s="444">
        <f>$G$9*EgreUndPlanMix!J9</f>
        <v>500000</v>
      </c>
      <c r="L9" s="444">
        <f>$G$9*EgreUndPlanMix!K9</f>
        <v>500000</v>
      </c>
      <c r="M9" s="444">
        <f>$G$9*EgreUndPlanMix!L9</f>
        <v>600000</v>
      </c>
      <c r="N9" s="444">
        <f>$G$9*EgreUndPlanMix!M9</f>
        <v>600000</v>
      </c>
      <c r="O9" s="444">
        <f>$G$9*EgreUndPlanMix!N9</f>
        <v>800000</v>
      </c>
      <c r="P9" s="444">
        <f>$G$9*EgreUndPlanMix!O9</f>
        <v>700000</v>
      </c>
      <c r="Q9" s="444">
        <f>$G$9*EgreUndPlanMix!P9</f>
        <v>600000</v>
      </c>
      <c r="R9" s="444">
        <f>$G$9*EgreUndPlanMix!Q9</f>
        <v>700000</v>
      </c>
      <c r="S9" s="444">
        <f>$G$9*EgreUndPlanMix!R9</f>
        <v>800000</v>
      </c>
      <c r="T9" s="455">
        <f t="shared" ref="T9:T16" si="0">SUM(H9:S9)</f>
        <v>6800000</v>
      </c>
      <c r="U9" s="455">
        <f>(EgreUndPlanMix!T9*G9)*(1+ProyecciónIPC!$E$27)</f>
        <v>9299691</v>
      </c>
      <c r="V9" s="456">
        <f>(EgreUndPlanMix!U9*G9)*(1+ProyecciónIPC!$E$28)</f>
        <v>9786317.7599999998</v>
      </c>
    </row>
    <row r="10" spans="2:22" ht="14.25" customHeight="1" x14ac:dyDescent="0.25">
      <c r="B10" s="250">
        <v>3</v>
      </c>
      <c r="C10" s="671" t="s">
        <v>275</v>
      </c>
      <c r="D10" s="671"/>
      <c r="E10" s="245" t="s">
        <v>272</v>
      </c>
      <c r="F10" s="245">
        <v>1</v>
      </c>
      <c r="G10" s="246">
        <f>EgrePlanMix!G9</f>
        <v>100000</v>
      </c>
      <c r="H10" s="444">
        <f>$G$10*EgreUndPlanMix!G10</f>
        <v>300000</v>
      </c>
      <c r="I10" s="444">
        <f>$G$10*EgreUndPlanMix!H10</f>
        <v>400000</v>
      </c>
      <c r="J10" s="444">
        <f>$G$10*EgreUndPlanMix!I10</f>
        <v>300000</v>
      </c>
      <c r="K10" s="444">
        <f>$G$10*EgreUndPlanMix!J10</f>
        <v>500000</v>
      </c>
      <c r="L10" s="444">
        <f>$G$10*EgreUndPlanMix!K10</f>
        <v>500000</v>
      </c>
      <c r="M10" s="444">
        <f>$G$10*EgreUndPlanMix!L10</f>
        <v>600000</v>
      </c>
      <c r="N10" s="444">
        <f>$G$10*EgreUndPlanMix!M10</f>
        <v>600000</v>
      </c>
      <c r="O10" s="444">
        <f>$G$10*EgreUndPlanMix!N10</f>
        <v>800000</v>
      </c>
      <c r="P10" s="444">
        <f>$G$10*EgreUndPlanMix!O10</f>
        <v>700000</v>
      </c>
      <c r="Q10" s="444">
        <f>$G$10*EgreUndPlanMix!P10</f>
        <v>600000</v>
      </c>
      <c r="R10" s="444">
        <f>$G$10*EgreUndPlanMix!Q10</f>
        <v>700000</v>
      </c>
      <c r="S10" s="444">
        <f>$G$10*EgreUndPlanMix!R10</f>
        <v>800000</v>
      </c>
      <c r="T10" s="455">
        <f t="shared" si="0"/>
        <v>6800000</v>
      </c>
      <c r="U10" s="455">
        <f>(EgreUndPlanMix!T10*G10)*(1+ProyecciónIPC!$E$27)</f>
        <v>9299691</v>
      </c>
      <c r="V10" s="456">
        <f>(EgreUndPlanMix!U10*G10)*(1+ProyecciónIPC!$E$28)</f>
        <v>9786317.7599999998</v>
      </c>
    </row>
    <row r="11" spans="2:22" ht="14.25" customHeight="1" x14ac:dyDescent="0.25">
      <c r="B11" s="250">
        <v>4</v>
      </c>
      <c r="C11" s="671" t="s">
        <v>277</v>
      </c>
      <c r="D11" s="671"/>
      <c r="E11" s="245" t="s">
        <v>272</v>
      </c>
      <c r="F11" s="245">
        <v>1</v>
      </c>
      <c r="G11" s="246">
        <f>EgrePlanMix!G10</f>
        <v>50000</v>
      </c>
      <c r="H11" s="444">
        <f>$G$11*EgreUndPlanMix!G11</f>
        <v>150000</v>
      </c>
      <c r="I11" s="444">
        <f>$G$11*EgreUndPlanMix!H11</f>
        <v>200000</v>
      </c>
      <c r="J11" s="444">
        <f>$G$11*EgreUndPlanMix!I11</f>
        <v>150000</v>
      </c>
      <c r="K11" s="444">
        <f>$G$11*EgreUndPlanMix!J11</f>
        <v>250000</v>
      </c>
      <c r="L11" s="444">
        <f>$G$11*EgreUndPlanMix!K11</f>
        <v>250000</v>
      </c>
      <c r="M11" s="444">
        <f>$G$11*EgreUndPlanMix!L11</f>
        <v>300000</v>
      </c>
      <c r="N11" s="444">
        <f>$G$11*EgreUndPlanMix!M11</f>
        <v>300000</v>
      </c>
      <c r="O11" s="444">
        <f>$G$11*EgreUndPlanMix!N11</f>
        <v>400000</v>
      </c>
      <c r="P11" s="444">
        <f>$G$11*EgreUndPlanMix!O11</f>
        <v>350000</v>
      </c>
      <c r="Q11" s="444">
        <f>$G$11*EgreUndPlanMix!P11</f>
        <v>300000</v>
      </c>
      <c r="R11" s="444">
        <f>$G$11*EgreUndPlanMix!Q11</f>
        <v>350000</v>
      </c>
      <c r="S11" s="444">
        <f>$G$11*EgreUndPlanMix!R11</f>
        <v>400000</v>
      </c>
      <c r="T11" s="455">
        <f t="shared" si="0"/>
        <v>3400000</v>
      </c>
      <c r="U11" s="455">
        <f>(EgreUndPlanMix!T11*G11)*(1+ProyecciónIPC!$E$27)</f>
        <v>4649845.5</v>
      </c>
      <c r="V11" s="456">
        <f>(EgreUndPlanMix!U11*G11)*(1+ProyecciónIPC!$E$28)</f>
        <v>4893158.88</v>
      </c>
    </row>
    <row r="12" spans="2:22" ht="14.25" customHeight="1" x14ac:dyDescent="0.25">
      <c r="B12" s="250">
        <v>5</v>
      </c>
      <c r="C12" s="671" t="s">
        <v>278</v>
      </c>
      <c r="D12" s="671"/>
      <c r="E12" s="245" t="s">
        <v>272</v>
      </c>
      <c r="F12" s="245">
        <v>1</v>
      </c>
      <c r="G12" s="246">
        <f>EgrePlanMix!G11</f>
        <v>769.23076923076928</v>
      </c>
      <c r="H12" s="444">
        <f>$G$12*EgreUndPlanMix!G12</f>
        <v>2307.6923076923076</v>
      </c>
      <c r="I12" s="444">
        <f>$G$12*EgreUndPlanMix!H12</f>
        <v>3076.9230769230771</v>
      </c>
      <c r="J12" s="444">
        <f>$G$12*EgreUndPlanMix!I12</f>
        <v>2307.6923076923076</v>
      </c>
      <c r="K12" s="444">
        <f>$G$12*EgreUndPlanMix!J12</f>
        <v>3846.1538461538466</v>
      </c>
      <c r="L12" s="444">
        <f>$G$12*EgreUndPlanMix!K12</f>
        <v>3846.1538461538466</v>
      </c>
      <c r="M12" s="444">
        <f>$G$12*EgreUndPlanMix!L12</f>
        <v>4615.3846153846152</v>
      </c>
      <c r="N12" s="444">
        <f>$G$12*EgreUndPlanMix!M12</f>
        <v>4615.3846153846152</v>
      </c>
      <c r="O12" s="444">
        <f>$G$12*EgreUndPlanMix!N12</f>
        <v>6153.8461538461543</v>
      </c>
      <c r="P12" s="444">
        <f>$G$12*EgreUndPlanMix!O12</f>
        <v>5384.6153846153848</v>
      </c>
      <c r="Q12" s="444">
        <f>$G$12*EgreUndPlanMix!P12</f>
        <v>4615.3846153846152</v>
      </c>
      <c r="R12" s="444">
        <f>$G$12*EgreUndPlanMix!Q12</f>
        <v>5384.6153846153848</v>
      </c>
      <c r="S12" s="444">
        <f>$G$12*EgreUndPlanMix!R12</f>
        <v>6153.8461538461543</v>
      </c>
      <c r="T12" s="455">
        <f t="shared" si="0"/>
        <v>52307.692307692312</v>
      </c>
      <c r="U12" s="455">
        <f>(EgreUndPlanMix!T12*G12)*(1+ProyecciónIPC!$E$27)</f>
        <v>71536.084615384621</v>
      </c>
      <c r="V12" s="456">
        <f>(EgreUndPlanMix!U12*G12)*(1+ProyecciónIPC!$E$28)</f>
        <v>75279.367384615369</v>
      </c>
    </row>
    <row r="13" spans="2:22" ht="14.25" customHeight="1" x14ac:dyDescent="0.25">
      <c r="B13" s="250">
        <v>6</v>
      </c>
      <c r="C13" s="671" t="s">
        <v>279</v>
      </c>
      <c r="D13" s="671"/>
      <c r="E13" s="245" t="s">
        <v>272</v>
      </c>
      <c r="F13" s="245">
        <v>7</v>
      </c>
      <c r="G13" s="246">
        <f>EgrePlanMix!G12</f>
        <v>85.972850678733025</v>
      </c>
      <c r="H13" s="444">
        <f>$G$13*EgreUndPlanMix!G13</f>
        <v>1805.4298642533936</v>
      </c>
      <c r="I13" s="444">
        <f>$G$13*EgreUndPlanMix!H13</f>
        <v>2407.2398190045246</v>
      </c>
      <c r="J13" s="444">
        <f>$G$13*EgreUndPlanMix!I13</f>
        <v>1805.4298642533936</v>
      </c>
      <c r="K13" s="444">
        <f>$G$13*EgreUndPlanMix!J13</f>
        <v>3009.0497737556557</v>
      </c>
      <c r="L13" s="444">
        <f>$G$13*EgreUndPlanMix!K13</f>
        <v>3009.0497737556557</v>
      </c>
      <c r="M13" s="444">
        <f>$G$13*EgreUndPlanMix!L13</f>
        <v>3610.8597285067872</v>
      </c>
      <c r="N13" s="444">
        <f>$G$13*EgreUndPlanMix!M13</f>
        <v>3610.8597285067872</v>
      </c>
      <c r="O13" s="444">
        <f>$G$13*EgreUndPlanMix!N13</f>
        <v>4814.4796380090493</v>
      </c>
      <c r="P13" s="444">
        <f>$G$13*EgreUndPlanMix!O13</f>
        <v>4212.6696832579182</v>
      </c>
      <c r="Q13" s="444">
        <f>$G$13*EgreUndPlanMix!P13</f>
        <v>3610.8597285067872</v>
      </c>
      <c r="R13" s="444">
        <f>$G$13*EgreUndPlanMix!Q13</f>
        <v>4212.6696832579182</v>
      </c>
      <c r="S13" s="444">
        <f>$G$13*EgreUndPlanMix!R13</f>
        <v>4814.4796380090493</v>
      </c>
      <c r="T13" s="455">
        <f t="shared" si="0"/>
        <v>40923.076923076922</v>
      </c>
      <c r="U13" s="455">
        <f>(EgreUndPlanMix!T13*G13)*(1+ProyecciónIPC!$E$27)</f>
        <v>55966.466199095019</v>
      </c>
      <c r="V13" s="456">
        <f>(EgreUndPlanMix!U13*G13)*(1+ProyecciónIPC!$E$28)</f>
        <v>58895.034483257907</v>
      </c>
    </row>
    <row r="14" spans="2:22" ht="14.25" customHeight="1" x14ac:dyDescent="0.25">
      <c r="B14" s="250">
        <v>7</v>
      </c>
      <c r="C14" s="671" t="s">
        <v>280</v>
      </c>
      <c r="D14" s="671"/>
      <c r="E14" s="245" t="s">
        <v>272</v>
      </c>
      <c r="F14" s="245">
        <v>7</v>
      </c>
      <c r="G14" s="246">
        <f>EgrePlanMix!G13</f>
        <v>366.30036630036631</v>
      </c>
      <c r="H14" s="444">
        <f>$G$14*EgreUndPlanMix!G14</f>
        <v>7692.3076923076924</v>
      </c>
      <c r="I14" s="444">
        <f>$G$14*EgreUndPlanMix!H14</f>
        <v>10256.410256410256</v>
      </c>
      <c r="J14" s="444">
        <f>$G$14*EgreUndPlanMix!I14</f>
        <v>7692.3076923076924</v>
      </c>
      <c r="K14" s="444">
        <f>$G$14*EgreUndPlanMix!J14</f>
        <v>12820.51282051282</v>
      </c>
      <c r="L14" s="444">
        <f>$G$14*EgreUndPlanMix!K14</f>
        <v>12820.51282051282</v>
      </c>
      <c r="M14" s="444">
        <f>$G$14*EgreUndPlanMix!L14</f>
        <v>15384.615384615385</v>
      </c>
      <c r="N14" s="444">
        <f>$G$14*EgreUndPlanMix!M14</f>
        <v>15384.615384615385</v>
      </c>
      <c r="O14" s="444">
        <f>$G$14*EgreUndPlanMix!N14</f>
        <v>20512.820512820512</v>
      </c>
      <c r="P14" s="444">
        <f>$G$14*EgreUndPlanMix!O14</f>
        <v>17948.717948717949</v>
      </c>
      <c r="Q14" s="444">
        <f>$G$14*EgreUndPlanMix!P14</f>
        <v>15384.615384615385</v>
      </c>
      <c r="R14" s="444">
        <f>$G$14*EgreUndPlanMix!Q14</f>
        <v>17948.717948717949</v>
      </c>
      <c r="S14" s="444">
        <f>$G$14*EgreUndPlanMix!R14</f>
        <v>20512.820512820512</v>
      </c>
      <c r="T14" s="455">
        <f t="shared" si="0"/>
        <v>174358.97435897434</v>
      </c>
      <c r="U14" s="455">
        <f>(EgreUndPlanMix!T14*G14)*(1+ProyecciónIPC!$E$27)</f>
        <v>238453.61538461538</v>
      </c>
      <c r="V14" s="456">
        <f>(EgreUndPlanMix!U14*G14)*(1+ProyecciónIPC!$E$28)</f>
        <v>250931.22461538462</v>
      </c>
    </row>
    <row r="15" spans="2:22" x14ac:dyDescent="0.25">
      <c r="B15" s="250">
        <v>8</v>
      </c>
      <c r="C15" s="671" t="s">
        <v>281</v>
      </c>
      <c r="D15" s="671"/>
      <c r="E15" s="245" t="s">
        <v>272</v>
      </c>
      <c r="F15" s="245">
        <v>2</v>
      </c>
      <c r="G15" s="246">
        <f>EgrePlanMix!G14</f>
        <v>146.15384615384616</v>
      </c>
      <c r="H15" s="444">
        <f>$G$15*EgreUndPlanMix!G15</f>
        <v>876.92307692307691</v>
      </c>
      <c r="I15" s="444">
        <f>$G$15*EgreUndPlanMix!H15</f>
        <v>1169.2307692307693</v>
      </c>
      <c r="J15" s="444">
        <f>$G$15*EgreUndPlanMix!I15</f>
        <v>876.92307692307691</v>
      </c>
      <c r="K15" s="444">
        <f>$G$15*EgreUndPlanMix!J15</f>
        <v>1461.5384615384617</v>
      </c>
      <c r="L15" s="444">
        <f>$G$15*EgreUndPlanMix!K15</f>
        <v>1461.5384615384617</v>
      </c>
      <c r="M15" s="444">
        <f>$G$15*EgreUndPlanMix!L15</f>
        <v>1753.8461538461538</v>
      </c>
      <c r="N15" s="444">
        <f>$G$15*EgreUndPlanMix!M15</f>
        <v>1753.8461538461538</v>
      </c>
      <c r="O15" s="444">
        <f>$G$15*EgreUndPlanMix!N15</f>
        <v>2338.4615384615386</v>
      </c>
      <c r="P15" s="444">
        <f>$G$15*EgreUndPlanMix!O15</f>
        <v>2046.1538461538462</v>
      </c>
      <c r="Q15" s="444">
        <f>$G$15*EgreUndPlanMix!P15</f>
        <v>1753.8461538461538</v>
      </c>
      <c r="R15" s="444">
        <f>$G$15*EgreUndPlanMix!Q15</f>
        <v>2046.1538461538462</v>
      </c>
      <c r="S15" s="444">
        <f>$G$15*EgreUndPlanMix!R15</f>
        <v>2338.4615384615386</v>
      </c>
      <c r="T15" s="455">
        <f t="shared" si="0"/>
        <v>19876.923076923078</v>
      </c>
      <c r="U15" s="455">
        <f>(EgreUndPlanMix!T15*G15)*(1+ProyecciónIPC!$E$27)</f>
        <v>27183.712153846154</v>
      </c>
      <c r="V15" s="456">
        <f>(EgreUndPlanMix!U15*G15)*(1+ProyecciónIPC!$E$28)</f>
        <v>28606.159606153844</v>
      </c>
    </row>
    <row r="16" spans="2:22" ht="14.25" customHeight="1" x14ac:dyDescent="0.25">
      <c r="B16" s="250">
        <v>9</v>
      </c>
      <c r="C16" s="671" t="s">
        <v>282</v>
      </c>
      <c r="D16" s="671"/>
      <c r="E16" s="245" t="s">
        <v>272</v>
      </c>
      <c r="F16" s="245">
        <v>2</v>
      </c>
      <c r="G16" s="246">
        <f>EgrePlanMix!G15</f>
        <v>1730.7692307692307</v>
      </c>
      <c r="H16" s="444">
        <f>$G$16*EgreUndPlanMix!G16</f>
        <v>10384.615384615385</v>
      </c>
      <c r="I16" s="444">
        <f>$G$16*EgreUndPlanMix!H16</f>
        <v>13846.153846153846</v>
      </c>
      <c r="J16" s="444">
        <f>$G$16*EgreUndPlanMix!I16</f>
        <v>10384.615384615385</v>
      </c>
      <c r="K16" s="444">
        <f>$G$16*EgreUndPlanMix!J16</f>
        <v>17307.692307692309</v>
      </c>
      <c r="L16" s="444">
        <f>$G$16*EgreUndPlanMix!K16</f>
        <v>17307.692307692309</v>
      </c>
      <c r="M16" s="444">
        <f>$G$16*EgreUndPlanMix!L16</f>
        <v>20769.23076923077</v>
      </c>
      <c r="N16" s="444">
        <f>$G$16*EgreUndPlanMix!M16</f>
        <v>20769.23076923077</v>
      </c>
      <c r="O16" s="444">
        <f>$G$16*EgreUndPlanMix!N16</f>
        <v>27692.307692307691</v>
      </c>
      <c r="P16" s="444">
        <f>$G$16*EgreUndPlanMix!O16</f>
        <v>24230.76923076923</v>
      </c>
      <c r="Q16" s="444">
        <f>$G$16*EgreUndPlanMix!P16</f>
        <v>20769.23076923077</v>
      </c>
      <c r="R16" s="444">
        <f>$G$16*EgreUndPlanMix!Q16</f>
        <v>24230.76923076923</v>
      </c>
      <c r="S16" s="444">
        <f>$G$16*EgreUndPlanMix!R16</f>
        <v>27692.307692307691</v>
      </c>
      <c r="T16" s="455">
        <f t="shared" si="0"/>
        <v>235384.61538461538</v>
      </c>
      <c r="U16" s="455">
        <f>(EgreUndPlanMix!T16*G16)*(1+ProyecciónIPC!$E$27)</f>
        <v>321912.38076923072</v>
      </c>
      <c r="V16" s="456">
        <f>(EgreUndPlanMix!U16*G16)*(1+ProyecciónIPC!$E$28)</f>
        <v>338757.15323076915</v>
      </c>
    </row>
    <row r="17" spans="2:22" x14ac:dyDescent="0.25">
      <c r="B17" s="250">
        <v>10</v>
      </c>
      <c r="C17" s="671"/>
      <c r="D17" s="671"/>
      <c r="E17" s="245" t="s">
        <v>272</v>
      </c>
      <c r="F17" s="245">
        <v>0</v>
      </c>
      <c r="G17" s="246">
        <f>EgrePlanMix!G16*(1+ProyecciónIPC!$E$26)</f>
        <v>0</v>
      </c>
      <c r="H17" s="444">
        <f>$G$17*EgreUndPlanMix!G17</f>
        <v>0</v>
      </c>
      <c r="I17" s="444">
        <f>$G$17*EgreUndPlanMix!H17</f>
        <v>0</v>
      </c>
      <c r="J17" s="444">
        <f>$G$17*EgreUndPlanMix!I17</f>
        <v>0</v>
      </c>
      <c r="K17" s="444">
        <f>$G$17*EgreUndPlanMix!J17</f>
        <v>0</v>
      </c>
      <c r="L17" s="444">
        <f>$G$17*EgreUndPlanMix!K17</f>
        <v>0</v>
      </c>
      <c r="M17" s="444">
        <f>$G$17*EgreUndPlanMix!L17</f>
        <v>0</v>
      </c>
      <c r="N17" s="444">
        <f>$G$17*EgreUndPlanMix!M17</f>
        <v>0</v>
      </c>
      <c r="O17" s="444">
        <f>$G$17*EgreUndPlanMix!N17</f>
        <v>0</v>
      </c>
      <c r="P17" s="444">
        <f>$G$17*EgreUndPlanMix!O17</f>
        <v>0</v>
      </c>
      <c r="Q17" s="444">
        <f>$G$17*EgreUndPlanMix!P17</f>
        <v>0</v>
      </c>
      <c r="R17" s="444">
        <f>$G$17*EgreUndPlanMix!Q17</f>
        <v>0</v>
      </c>
      <c r="S17" s="444">
        <f>$G$17*EgreUndPlanMix!R17</f>
        <v>0</v>
      </c>
      <c r="T17" s="455">
        <f t="shared" ref="T17" si="1">SUM(H17:S17)</f>
        <v>0</v>
      </c>
      <c r="U17" s="455">
        <f>(EgreUndPlanMix!T17*G17)*(1+ProyecciónIPC!$E$27)</f>
        <v>0</v>
      </c>
      <c r="V17" s="456">
        <f>(EgreUndPlanMix!U17*G17)*(1+ProyecciónIPC!$E$28)</f>
        <v>0</v>
      </c>
    </row>
    <row r="18" spans="2:22" x14ac:dyDescent="0.25">
      <c r="B18" s="250"/>
      <c r="C18" s="671"/>
      <c r="D18" s="671"/>
      <c r="E18" s="247"/>
      <c r="F18" s="247"/>
      <c r="G18" s="246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457">
        <f>SUM(T8:T17)</f>
        <v>17700697.435897436</v>
      </c>
      <c r="U18" s="457">
        <f>SUM(U8:U17)</f>
        <v>24207502.446814477</v>
      </c>
      <c r="V18" s="458">
        <f>SUM(V8:V17)</f>
        <v>25474213.188427873</v>
      </c>
    </row>
    <row r="19" spans="2:22" x14ac:dyDescent="0.25">
      <c r="B19" s="695" t="str">
        <f>EgrePlanMix!B18:J18</f>
        <v>ANÁLISIS DE MÉTRICAS</v>
      </c>
      <c r="C19" s="696"/>
      <c r="D19" s="696"/>
      <c r="E19" s="696"/>
      <c r="F19" s="696"/>
      <c r="G19" s="696"/>
      <c r="H19" s="696"/>
      <c r="I19" s="696"/>
      <c r="J19" s="696"/>
      <c r="K19" s="696"/>
      <c r="L19" s="696"/>
      <c r="M19" s="696"/>
      <c r="N19" s="696"/>
      <c r="O19" s="696"/>
      <c r="P19" s="696"/>
      <c r="Q19" s="696"/>
      <c r="R19" s="696"/>
      <c r="S19" s="696"/>
      <c r="T19" s="696"/>
      <c r="U19" s="696"/>
      <c r="V19" s="697"/>
    </row>
    <row r="20" spans="2:22" ht="14.25" customHeight="1" x14ac:dyDescent="0.25">
      <c r="B20" s="250">
        <v>11</v>
      </c>
      <c r="C20" s="671" t="str">
        <f>EgrePlanMix!C19:D19</f>
        <v>Hootsuite</v>
      </c>
      <c r="D20" s="671"/>
      <c r="E20" s="245" t="s">
        <v>272</v>
      </c>
      <c r="F20" s="245">
        <v>1</v>
      </c>
      <c r="G20" s="246">
        <f>EgrePlanMix!G19</f>
        <v>1282.051282051282</v>
      </c>
      <c r="H20" s="248">
        <f>$G$20*EgreUndPlanMix!G20</f>
        <v>3846.1538461538457</v>
      </c>
      <c r="I20" s="248">
        <f>$G$20*EgreUndPlanMix!H20</f>
        <v>5128.2051282051279</v>
      </c>
      <c r="J20" s="248">
        <f>$G$20*EgreUndPlanMix!I20</f>
        <v>3846.1538461538457</v>
      </c>
      <c r="K20" s="248">
        <f>$G$20*EgreUndPlanMix!J20</f>
        <v>6410.2564102564102</v>
      </c>
      <c r="L20" s="248">
        <f>$G$20*EgreUndPlanMix!K20</f>
        <v>6410.2564102564102</v>
      </c>
      <c r="M20" s="248">
        <f>$G$20*EgreUndPlanMix!L20</f>
        <v>7692.3076923076915</v>
      </c>
      <c r="N20" s="248">
        <f>$G$20*EgreUndPlanMix!M20</f>
        <v>7692.3076923076915</v>
      </c>
      <c r="O20" s="248">
        <f>$G$20*EgreUndPlanMix!N20</f>
        <v>10256.410256410256</v>
      </c>
      <c r="P20" s="248">
        <f>$G$20*EgreUndPlanMix!O20</f>
        <v>8974.3589743589746</v>
      </c>
      <c r="Q20" s="248">
        <f>$G$20*EgreUndPlanMix!P20</f>
        <v>7692.3076923076915</v>
      </c>
      <c r="R20" s="248">
        <f>$G$20*EgreUndPlanMix!Q20</f>
        <v>8974.3589743589746</v>
      </c>
      <c r="S20" s="248">
        <f>$G$20*EgreUndPlanMix!R20</f>
        <v>10256.410256410256</v>
      </c>
      <c r="T20" s="455">
        <f t="shared" ref="T20:T21" si="2">SUM(H20:S20)</f>
        <v>87179.487179487158</v>
      </c>
      <c r="U20" s="455">
        <f>(EgreUndPlanMix!T20*G20)*(1+ProyecciónIPC!$E$27)</f>
        <v>119226.80769230767</v>
      </c>
      <c r="V20" s="456">
        <f>(EgreUndPlanMix!U20*G20)*(1+ProyecciónIPC!$E$28)</f>
        <v>125465.61230769228</v>
      </c>
    </row>
    <row r="21" spans="2:22" x14ac:dyDescent="0.25">
      <c r="B21" s="250">
        <v>12</v>
      </c>
      <c r="C21" s="671" t="str">
        <f>EgrePlanMix!C20:D20</f>
        <v>Google Data Studio</v>
      </c>
      <c r="D21" s="671"/>
      <c r="E21" s="245" t="s">
        <v>272</v>
      </c>
      <c r="F21" s="245">
        <v>1</v>
      </c>
      <c r="G21" s="246">
        <f>EgrePlanMix!G20</f>
        <v>641.02564102564099</v>
      </c>
      <c r="H21" s="248">
        <f>$G$21*EgreUndPlanMix!G21</f>
        <v>1923.0769230769229</v>
      </c>
      <c r="I21" s="248">
        <f>$G$21*EgreUndPlanMix!H21</f>
        <v>2564.102564102564</v>
      </c>
      <c r="J21" s="248">
        <f>$G$21*EgreUndPlanMix!I21</f>
        <v>1923.0769230769229</v>
      </c>
      <c r="K21" s="248">
        <f>$G$21*EgreUndPlanMix!J21</f>
        <v>3205.1282051282051</v>
      </c>
      <c r="L21" s="248">
        <f>$G$21*EgreUndPlanMix!K21</f>
        <v>3205.1282051282051</v>
      </c>
      <c r="M21" s="248">
        <f>$G$21*EgreUndPlanMix!L21</f>
        <v>3846.1538461538457</v>
      </c>
      <c r="N21" s="248">
        <f>$G$21*EgreUndPlanMix!M21</f>
        <v>3846.1538461538457</v>
      </c>
      <c r="O21" s="248">
        <f>$G$21*EgreUndPlanMix!N21</f>
        <v>5128.2051282051279</v>
      </c>
      <c r="P21" s="248">
        <f>$G$21*EgreUndPlanMix!O21</f>
        <v>4487.1794871794873</v>
      </c>
      <c r="Q21" s="248">
        <f>$G$21*EgreUndPlanMix!P21</f>
        <v>3846.1538461538457</v>
      </c>
      <c r="R21" s="248">
        <f>$G$21*EgreUndPlanMix!Q21</f>
        <v>4487.1794871794873</v>
      </c>
      <c r="S21" s="248">
        <f>$G$21*EgreUndPlanMix!R21</f>
        <v>5128.2051282051279</v>
      </c>
      <c r="T21" s="455">
        <f t="shared" si="2"/>
        <v>43589.743589743579</v>
      </c>
      <c r="U21" s="455">
        <f>(EgreUndPlanMix!T21*G21)*(1+ProyecciónIPC!$E$27)</f>
        <v>59613.403846153837</v>
      </c>
      <c r="V21" s="456">
        <f>(EgreUndPlanMix!U21*G21)*(1+ProyecciónIPC!$E$28)</f>
        <v>62732.806153846141</v>
      </c>
    </row>
    <row r="22" spans="2:22" ht="14.25" customHeight="1" x14ac:dyDescent="0.25">
      <c r="B22" s="250">
        <v>13</v>
      </c>
      <c r="C22" s="671"/>
      <c r="D22" s="671"/>
      <c r="E22" s="245" t="s">
        <v>272</v>
      </c>
      <c r="F22" s="245">
        <v>0</v>
      </c>
      <c r="G22" s="246">
        <f>EgrePlanMix!G21*(1+ProyecciónIPC!$E$26)</f>
        <v>0</v>
      </c>
      <c r="H22" s="248">
        <f>$G$22*EgreUndPlanMix!G22</f>
        <v>0</v>
      </c>
      <c r="I22" s="248">
        <f>$G$22*EgreUndPlanMix!H22</f>
        <v>0</v>
      </c>
      <c r="J22" s="248">
        <f>$G$22*EgreUndPlanMix!I22</f>
        <v>0</v>
      </c>
      <c r="K22" s="248">
        <f>$G$22*EgreUndPlanMix!J22</f>
        <v>0</v>
      </c>
      <c r="L22" s="248">
        <f>$G$22*EgreUndPlanMix!K22</f>
        <v>0</v>
      </c>
      <c r="M22" s="248">
        <f>$G$22*EgreUndPlanMix!L22</f>
        <v>0</v>
      </c>
      <c r="N22" s="248">
        <f>$G$22*EgreUndPlanMix!M22</f>
        <v>0</v>
      </c>
      <c r="O22" s="248">
        <f>$G$22*EgreUndPlanMix!N22</f>
        <v>0</v>
      </c>
      <c r="P22" s="248">
        <f>$G$22*EgreUndPlanMix!O22</f>
        <v>0</v>
      </c>
      <c r="Q22" s="248">
        <f>$G$22*EgreUndPlanMix!P22</f>
        <v>0</v>
      </c>
      <c r="R22" s="248">
        <f>$G$22*EgreUndPlanMix!Q22</f>
        <v>0</v>
      </c>
      <c r="S22" s="248">
        <f>$G$22*EgreUndPlanMix!R22</f>
        <v>0</v>
      </c>
      <c r="T22" s="455">
        <f t="shared" ref="T22" si="3">SUM(H22:S22)</f>
        <v>0</v>
      </c>
      <c r="U22" s="455">
        <f>(EgreUndPlanMix!T22*G22)*(1+ProyecciónIPC!$E$27)</f>
        <v>0</v>
      </c>
      <c r="V22" s="456">
        <f>(EgreUndPlanMix!U22*G22)*(1+ProyecciónIPC!$E$28)</f>
        <v>0</v>
      </c>
    </row>
    <row r="23" spans="2:22" x14ac:dyDescent="0.25">
      <c r="B23" s="250"/>
      <c r="C23" s="671"/>
      <c r="D23" s="671"/>
      <c r="E23" s="247"/>
      <c r="F23" s="247"/>
      <c r="G23" s="246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457">
        <f>SUM(T20:T22)</f>
        <v>130769.23076923074</v>
      </c>
      <c r="U23" s="457">
        <f>SUM(U20:U22)</f>
        <v>178840.2115384615</v>
      </c>
      <c r="V23" s="458">
        <f>SUM(V20:V22)</f>
        <v>188198.41846153841</v>
      </c>
    </row>
    <row r="24" spans="2:22" x14ac:dyDescent="0.25">
      <c r="B24" s="695" t="str">
        <f>EgrePlanMix!B23:J23</f>
        <v>ESTRATEGIA EN REDES</v>
      </c>
      <c r="C24" s="696"/>
      <c r="D24" s="696"/>
      <c r="E24" s="696"/>
      <c r="F24" s="696"/>
      <c r="G24" s="696"/>
      <c r="H24" s="696"/>
      <c r="I24" s="696"/>
      <c r="J24" s="696"/>
      <c r="K24" s="696"/>
      <c r="L24" s="696"/>
      <c r="M24" s="696"/>
      <c r="N24" s="696"/>
      <c r="O24" s="696"/>
      <c r="P24" s="696"/>
      <c r="Q24" s="696"/>
      <c r="R24" s="696"/>
      <c r="S24" s="696"/>
      <c r="T24" s="696"/>
      <c r="U24" s="696"/>
      <c r="V24" s="697"/>
    </row>
    <row r="25" spans="2:22" x14ac:dyDescent="0.25">
      <c r="B25" s="250">
        <v>14</v>
      </c>
      <c r="C25" s="671" t="s">
        <v>305</v>
      </c>
      <c r="D25" s="671"/>
      <c r="E25" s="245" t="s">
        <v>272</v>
      </c>
      <c r="F25" s="245">
        <v>27</v>
      </c>
      <c r="G25" s="246">
        <f>EgrePlanMix!G24</f>
        <v>85.972850678733025</v>
      </c>
      <c r="H25" s="248">
        <f>$G$25*EgreUndPlanMix!G25</f>
        <v>6963.8009049773746</v>
      </c>
      <c r="I25" s="248">
        <f>$G$25*EgreUndPlanMix!H25</f>
        <v>9285.0678733031673</v>
      </c>
      <c r="J25" s="248">
        <f>$G$25*EgreUndPlanMix!I25</f>
        <v>6963.8009049773746</v>
      </c>
      <c r="K25" s="248">
        <f>$G$25*EgreUndPlanMix!J25</f>
        <v>11606.334841628959</v>
      </c>
      <c r="L25" s="248">
        <f>$G$25*EgreUndPlanMix!K25</f>
        <v>11606.334841628959</v>
      </c>
      <c r="M25" s="248">
        <f>$G$25*EgreUndPlanMix!L25</f>
        <v>13927.601809954749</v>
      </c>
      <c r="N25" s="248">
        <f>$G$25*EgreUndPlanMix!M25</f>
        <v>13927.601809954749</v>
      </c>
      <c r="O25" s="248">
        <f>$G$25*EgreUndPlanMix!N25</f>
        <v>18570.135746606335</v>
      </c>
      <c r="P25" s="248">
        <f>$G$25*EgreUndPlanMix!O25</f>
        <v>16248.868778280541</v>
      </c>
      <c r="Q25" s="248">
        <f>$G$25*EgreUndPlanMix!P25</f>
        <v>13927.601809954749</v>
      </c>
      <c r="R25" s="248">
        <f>$G$25*EgreUndPlanMix!Q25</f>
        <v>16248.868778280541</v>
      </c>
      <c r="S25" s="248">
        <f>$G$25*EgreUndPlanMix!R25</f>
        <v>18570.135746606335</v>
      </c>
      <c r="T25" s="455">
        <f t="shared" ref="T25:T27" si="4">SUM(H25:S25)</f>
        <v>157846.15384615384</v>
      </c>
      <c r="U25" s="455">
        <f>(EgreUndPlanMix!T25*G25)*(1+ProyecciónIPC!$E$27)</f>
        <v>215870.65533936649</v>
      </c>
      <c r="V25" s="456">
        <f>(EgreUndPlanMix!U25*G25)*(1+ProyecciónIPC!$E$28)</f>
        <v>227166.5615782805</v>
      </c>
    </row>
    <row r="26" spans="2:22" x14ac:dyDescent="0.25">
      <c r="B26" s="250">
        <v>15</v>
      </c>
      <c r="C26" s="671" t="s">
        <v>306</v>
      </c>
      <c r="D26" s="671"/>
      <c r="E26" s="245" t="s">
        <v>272</v>
      </c>
      <c r="F26" s="245">
        <v>3</v>
      </c>
      <c r="G26" s="246">
        <f>EgrePlanMix!G25</f>
        <v>708.07453416149065</v>
      </c>
      <c r="H26" s="248">
        <f>$G$26*EgreUndPlanMix!G26</f>
        <v>6372.6708074534163</v>
      </c>
      <c r="I26" s="248">
        <f>$G$26*EgreUndPlanMix!H26</f>
        <v>8496.8944099378878</v>
      </c>
      <c r="J26" s="248">
        <f>$G$26*EgreUndPlanMix!I26</f>
        <v>6372.6708074534163</v>
      </c>
      <c r="K26" s="248">
        <f>$G$26*EgreUndPlanMix!J26</f>
        <v>10621.118012422359</v>
      </c>
      <c r="L26" s="248">
        <f>$G$26*EgreUndPlanMix!K26</f>
        <v>10621.118012422359</v>
      </c>
      <c r="M26" s="248">
        <f>$G$26*EgreUndPlanMix!L26</f>
        <v>12745.341614906833</v>
      </c>
      <c r="N26" s="248">
        <f>$G$26*EgreUndPlanMix!M26</f>
        <v>12745.341614906833</v>
      </c>
      <c r="O26" s="248">
        <f>$G$26*EgreUndPlanMix!N26</f>
        <v>16993.788819875776</v>
      </c>
      <c r="P26" s="248">
        <f>$G$26*EgreUndPlanMix!O26</f>
        <v>14869.565217391304</v>
      </c>
      <c r="Q26" s="248">
        <f>$G$26*EgreUndPlanMix!P26</f>
        <v>12745.341614906833</v>
      </c>
      <c r="R26" s="248">
        <f>$G$26*EgreUndPlanMix!Q26</f>
        <v>14869.565217391304</v>
      </c>
      <c r="S26" s="248">
        <f>$G$26*EgreUndPlanMix!R26</f>
        <v>16993.788819875776</v>
      </c>
      <c r="T26" s="455">
        <f t="shared" si="4"/>
        <v>144447.2049689441</v>
      </c>
      <c r="U26" s="455">
        <f>(EgreUndPlanMix!T26*G26)*(1+ProyecciónIPC!$E$27)</f>
        <v>197546.23118012419</v>
      </c>
      <c r="V26" s="456">
        <f>(EgreUndPlanMix!U26*G26)*(1+ProyecciónIPC!$E$28)</f>
        <v>207883.27167204965</v>
      </c>
    </row>
    <row r="27" spans="2:22" ht="24.75" customHeight="1" x14ac:dyDescent="0.25">
      <c r="B27" s="250">
        <v>16</v>
      </c>
      <c r="C27" s="671" t="s">
        <v>307</v>
      </c>
      <c r="D27" s="671"/>
      <c r="E27" s="245" t="s">
        <v>272</v>
      </c>
      <c r="F27" s="245">
        <v>1</v>
      </c>
      <c r="G27" s="246">
        <f>EgrePlanMix!G26</f>
        <v>30000</v>
      </c>
      <c r="H27" s="248">
        <f>$G$27*EgreUndPlanMix!G27</f>
        <v>90000</v>
      </c>
      <c r="I27" s="248">
        <f>$G$27*EgreUndPlanMix!H27</f>
        <v>120000</v>
      </c>
      <c r="J27" s="248">
        <f>$G$27*EgreUndPlanMix!I27</f>
        <v>90000</v>
      </c>
      <c r="K27" s="248">
        <f>$G$27*EgreUndPlanMix!J27</f>
        <v>150000</v>
      </c>
      <c r="L27" s="248">
        <f>$G$27*EgreUndPlanMix!K27</f>
        <v>150000</v>
      </c>
      <c r="M27" s="248">
        <f>$G$27*EgreUndPlanMix!L27</f>
        <v>180000</v>
      </c>
      <c r="N27" s="248">
        <f>$G$27*EgreUndPlanMix!M27</f>
        <v>180000</v>
      </c>
      <c r="O27" s="248">
        <f>$G$27*EgreUndPlanMix!N27</f>
        <v>240000</v>
      </c>
      <c r="P27" s="248">
        <f>$G$27*EgreUndPlanMix!O27</f>
        <v>210000</v>
      </c>
      <c r="Q27" s="248">
        <f>$G$27*EgreUndPlanMix!P27</f>
        <v>180000</v>
      </c>
      <c r="R27" s="248">
        <f>$G$27*EgreUndPlanMix!Q27</f>
        <v>210000</v>
      </c>
      <c r="S27" s="248">
        <f>$G$27*EgreUndPlanMix!R27</f>
        <v>240000</v>
      </c>
      <c r="T27" s="455">
        <f t="shared" si="4"/>
        <v>2040000</v>
      </c>
      <c r="U27" s="455">
        <f>(EgreUndPlanMix!T27*G27)*(1+ProyecciónIPC!$E$27)</f>
        <v>2789907.3</v>
      </c>
      <c r="V27" s="456">
        <f>(EgreUndPlanMix!U27*G27)*(1+ProyecciónIPC!$E$28)</f>
        <v>2935895.3279999997</v>
      </c>
    </row>
    <row r="28" spans="2:22" x14ac:dyDescent="0.25">
      <c r="B28" s="250">
        <v>17</v>
      </c>
      <c r="C28" s="671"/>
      <c r="D28" s="671"/>
      <c r="E28" s="245" t="s">
        <v>272</v>
      </c>
      <c r="F28" s="245">
        <v>0</v>
      </c>
      <c r="G28" s="246">
        <f>EgrePlanMix!G27</f>
        <v>0</v>
      </c>
      <c r="H28" s="248">
        <f>$G$28*EgreUndPlanMix!G28</f>
        <v>0</v>
      </c>
      <c r="I28" s="248">
        <f>$G$28*EgreUndPlanMix!H28</f>
        <v>0</v>
      </c>
      <c r="J28" s="248">
        <f>$G$28*EgreUndPlanMix!I28</f>
        <v>0</v>
      </c>
      <c r="K28" s="248">
        <f>$G$28*EgreUndPlanMix!J28</f>
        <v>0</v>
      </c>
      <c r="L28" s="248">
        <f>$G$28*EgreUndPlanMix!K28</f>
        <v>0</v>
      </c>
      <c r="M28" s="248">
        <f>$G$28*EgreUndPlanMix!L28</f>
        <v>0</v>
      </c>
      <c r="N28" s="248">
        <f>$G$28*EgreUndPlanMix!M28</f>
        <v>0</v>
      </c>
      <c r="O28" s="248">
        <f>$G$28*EgreUndPlanMix!N28</f>
        <v>0</v>
      </c>
      <c r="P28" s="248">
        <f>$G$28*EgreUndPlanMix!O28</f>
        <v>0</v>
      </c>
      <c r="Q28" s="248">
        <f>$G$28*EgreUndPlanMix!P28</f>
        <v>0</v>
      </c>
      <c r="R28" s="248">
        <f>$G$28*EgreUndPlanMix!Q28</f>
        <v>0</v>
      </c>
      <c r="S28" s="248">
        <f>$G$28*EgreUndPlanMix!R28</f>
        <v>0</v>
      </c>
      <c r="T28" s="455">
        <f t="shared" ref="T28" si="5">SUM(H28:S28)</f>
        <v>0</v>
      </c>
      <c r="U28" s="455">
        <f>T28*(1+ProyecciónIPC!$E$27)</f>
        <v>0</v>
      </c>
      <c r="V28" s="456">
        <f>U28*(1+ProyecciónIPC!$E$28)</f>
        <v>0</v>
      </c>
    </row>
    <row r="29" spans="2:22" x14ac:dyDescent="0.25">
      <c r="B29" s="250"/>
      <c r="C29" s="671"/>
      <c r="D29" s="671"/>
      <c r="E29" s="247"/>
      <c r="F29" s="247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455">
        <f>SUM(T25:T28)</f>
        <v>2342293.3588150982</v>
      </c>
      <c r="U29" s="455">
        <f>SUM(U25:U28)</f>
        <v>3203324.1865194906</v>
      </c>
      <c r="V29" s="456">
        <f>SUM(V25:V28)</f>
        <v>3370945.16125033</v>
      </c>
    </row>
    <row r="30" spans="2:22" ht="15" customHeight="1" thickBot="1" x14ac:dyDescent="0.3">
      <c r="B30" s="702" t="s">
        <v>83</v>
      </c>
      <c r="C30" s="703"/>
      <c r="D30" s="703"/>
      <c r="E30" s="703"/>
      <c r="F30" s="703"/>
      <c r="G30" s="703"/>
      <c r="H30" s="263">
        <f t="shared" ref="H30:S30" si="6">SUM(H8:H29)</f>
        <v>890018.82465360733</v>
      </c>
      <c r="I30" s="263">
        <f t="shared" si="6"/>
        <v>1186691.7662048095</v>
      </c>
      <c r="J30" s="263">
        <f t="shared" si="6"/>
        <v>890018.82465360733</v>
      </c>
      <c r="K30" s="263">
        <f t="shared" si="6"/>
        <v>1483364.7077560122</v>
      </c>
      <c r="L30" s="263">
        <f t="shared" si="6"/>
        <v>1483364.7077560122</v>
      </c>
      <c r="M30" s="263">
        <f t="shared" si="6"/>
        <v>1780037.6493072147</v>
      </c>
      <c r="N30" s="263">
        <f t="shared" si="6"/>
        <v>1780037.6493072147</v>
      </c>
      <c r="O30" s="263">
        <f t="shared" si="6"/>
        <v>2373383.5324096191</v>
      </c>
      <c r="P30" s="263">
        <f t="shared" si="6"/>
        <v>2076710.5908584169</v>
      </c>
      <c r="Q30" s="263">
        <f t="shared" si="6"/>
        <v>1780037.6493072147</v>
      </c>
      <c r="R30" s="263">
        <f t="shared" si="6"/>
        <v>2076710.5908584169</v>
      </c>
      <c r="S30" s="263">
        <f t="shared" si="6"/>
        <v>2373383.5324096191</v>
      </c>
      <c r="T30" s="459">
        <f>T18+T23+T29</f>
        <v>20173760.025481768</v>
      </c>
      <c r="U30" s="459">
        <f>U18+U23+U29</f>
        <v>27589666.84487243</v>
      </c>
      <c r="V30" s="460">
        <f>V18+V23+V29</f>
        <v>29033356.768139742</v>
      </c>
    </row>
  </sheetData>
  <mergeCells count="25">
    <mergeCell ref="C6:D6"/>
    <mergeCell ref="C8:D8"/>
    <mergeCell ref="C9:D9"/>
    <mergeCell ref="C10:D10"/>
    <mergeCell ref="C11:D11"/>
    <mergeCell ref="B7:V7"/>
    <mergeCell ref="C23:D23"/>
    <mergeCell ref="C12:D12"/>
    <mergeCell ref="C13:D13"/>
    <mergeCell ref="C14:D14"/>
    <mergeCell ref="C15:D15"/>
    <mergeCell ref="C16:D16"/>
    <mergeCell ref="C17:D17"/>
    <mergeCell ref="C20:D20"/>
    <mergeCell ref="C21:D21"/>
    <mergeCell ref="C22:D22"/>
    <mergeCell ref="B19:V19"/>
    <mergeCell ref="C18:D18"/>
    <mergeCell ref="B30:G30"/>
    <mergeCell ref="C29:D29"/>
    <mergeCell ref="C27:D27"/>
    <mergeCell ref="C28:D28"/>
    <mergeCell ref="B24:V24"/>
    <mergeCell ref="C25:D25"/>
    <mergeCell ref="C26:D26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4:H22"/>
  <sheetViews>
    <sheetView zoomScale="99" zoomScaleNormal="115" workbookViewId="0">
      <selection activeCell="I12" sqref="I12"/>
    </sheetView>
  </sheetViews>
  <sheetFormatPr baseColWidth="10" defaultColWidth="11.5" defaultRowHeight="15" x14ac:dyDescent="0.25"/>
  <cols>
    <col min="1" max="1" width="13.5" style="1" customWidth="1"/>
    <col min="2" max="2" width="21.375" style="1" customWidth="1"/>
    <col min="3" max="3" width="11.5" style="1"/>
    <col min="4" max="4" width="13.375" style="1" customWidth="1"/>
    <col min="5" max="5" width="17.625" style="1" customWidth="1"/>
    <col min="6" max="6" width="16.625" style="1" customWidth="1"/>
    <col min="7" max="7" width="19.375" style="1" customWidth="1"/>
    <col min="8" max="8" width="19.625" style="1" customWidth="1"/>
    <col min="9" max="9" width="11.5" style="1"/>
    <col min="10" max="10" width="13" style="1" customWidth="1"/>
    <col min="11" max="16384" width="11.5" style="1"/>
  </cols>
  <sheetData>
    <row r="4" spans="1:8" x14ac:dyDescent="0.25">
      <c r="B4" s="648" t="s">
        <v>903</v>
      </c>
      <c r="C4" s="648"/>
      <c r="D4" s="648"/>
      <c r="E4" s="648"/>
      <c r="F4" s="648"/>
      <c r="G4" s="648"/>
    </row>
    <row r="5" spans="1:8" x14ac:dyDescent="0.25">
      <c r="A5" s="705"/>
      <c r="B5" s="706" t="s">
        <v>309</v>
      </c>
      <c r="C5" s="706" t="s">
        <v>310</v>
      </c>
      <c r="D5" s="706" t="s">
        <v>311</v>
      </c>
      <c r="F5" s="653" t="s">
        <v>312</v>
      </c>
      <c r="G5" s="655"/>
      <c r="H5" s="186" t="s">
        <v>315</v>
      </c>
    </row>
    <row r="6" spans="1:8" x14ac:dyDescent="0.25">
      <c r="A6" s="705"/>
      <c r="B6" s="706"/>
      <c r="C6" s="706"/>
      <c r="D6" s="706"/>
      <c r="F6" s="511" t="s">
        <v>313</v>
      </c>
      <c r="G6" s="511" t="s">
        <v>314</v>
      </c>
      <c r="H6" s="186" t="s">
        <v>316</v>
      </c>
    </row>
    <row r="7" spans="1:8" x14ac:dyDescent="0.25">
      <c r="A7" s="182"/>
      <c r="B7" s="347" t="s">
        <v>152</v>
      </c>
      <c r="C7" s="27">
        <v>4</v>
      </c>
      <c r="D7" s="27">
        <v>4</v>
      </c>
      <c r="F7" s="27">
        <f>8*6*60</f>
        <v>2880</v>
      </c>
      <c r="G7" s="31">
        <f>ROUNDUP(F7/60,0)</f>
        <v>48</v>
      </c>
      <c r="H7" s="186" t="s">
        <v>317</v>
      </c>
    </row>
    <row r="8" spans="1:8" x14ac:dyDescent="0.25">
      <c r="A8" s="182"/>
      <c r="B8" s="347" t="s">
        <v>153</v>
      </c>
      <c r="C8" s="27">
        <v>4</v>
      </c>
      <c r="D8" s="27">
        <v>4</v>
      </c>
      <c r="F8" s="27">
        <f>8*7*60</f>
        <v>3360</v>
      </c>
      <c r="G8" s="31">
        <f>ROUNDUP(F8/60,0)</f>
        <v>56</v>
      </c>
      <c r="H8" s="186" t="s">
        <v>320</v>
      </c>
    </row>
    <row r="9" spans="1:8" x14ac:dyDescent="0.25">
      <c r="B9" s="32"/>
      <c r="C9" s="15"/>
      <c r="D9" s="15"/>
      <c r="E9" s="15"/>
      <c r="F9" s="33"/>
    </row>
    <row r="10" spans="1:8" x14ac:dyDescent="0.25">
      <c r="B10" s="648" t="s">
        <v>318</v>
      </c>
      <c r="C10" s="648"/>
      <c r="D10" s="648"/>
      <c r="F10" s="648" t="s">
        <v>319</v>
      </c>
      <c r="G10" s="648"/>
    </row>
    <row r="11" spans="1:8" x14ac:dyDescent="0.25">
      <c r="B11" s="511" t="s">
        <v>321</v>
      </c>
      <c r="C11" s="511" t="s">
        <v>322</v>
      </c>
      <c r="D11" s="511" t="s">
        <v>323</v>
      </c>
      <c r="F11" s="27" t="s">
        <v>324</v>
      </c>
      <c r="G11" s="27">
        <v>4</v>
      </c>
    </row>
    <row r="12" spans="1:8" x14ac:dyDescent="0.25">
      <c r="B12" s="27" t="s">
        <v>325</v>
      </c>
      <c r="C12" s="34">
        <v>1</v>
      </c>
      <c r="D12" s="35">
        <f>C12/$G$7</f>
        <v>2.0833333333333332E-2</v>
      </c>
      <c r="F12" s="27" t="s">
        <v>326</v>
      </c>
      <c r="G12" s="34">
        <f>ROUNDDOWN(D15,0)</f>
        <v>4</v>
      </c>
    </row>
    <row r="13" spans="1:8" x14ac:dyDescent="0.25">
      <c r="B13" s="27" t="s">
        <v>327</v>
      </c>
      <c r="C13" s="27">
        <v>8</v>
      </c>
      <c r="D13" s="35">
        <f t="shared" ref="D13:D14" si="0">C13/$G$7</f>
        <v>0.16666666666666666</v>
      </c>
    </row>
    <row r="14" spans="1:8" x14ac:dyDescent="0.25">
      <c r="B14" s="27" t="s">
        <v>328</v>
      </c>
      <c r="C14" s="27">
        <v>48</v>
      </c>
      <c r="D14" s="35">
        <f t="shared" si="0"/>
        <v>1</v>
      </c>
      <c r="F14" s="186" t="s">
        <v>329</v>
      </c>
      <c r="G14" s="186" t="s">
        <v>330</v>
      </c>
    </row>
    <row r="15" spans="1:8" x14ac:dyDescent="0.25">
      <c r="B15" s="27" t="s">
        <v>331</v>
      </c>
      <c r="C15" s="27">
        <f>C14*4</f>
        <v>192</v>
      </c>
      <c r="D15" s="31">
        <f>C15/$G$7</f>
        <v>4</v>
      </c>
      <c r="F15" s="156" t="s">
        <v>332</v>
      </c>
      <c r="G15" s="156" t="s">
        <v>333</v>
      </c>
    </row>
    <row r="17" spans="2:7" x14ac:dyDescent="0.25">
      <c r="B17" s="648" t="s">
        <v>334</v>
      </c>
      <c r="C17" s="648"/>
      <c r="D17" s="648"/>
      <c r="F17" s="653" t="s">
        <v>335</v>
      </c>
      <c r="G17" s="655"/>
    </row>
    <row r="18" spans="2:7" x14ac:dyDescent="0.25">
      <c r="B18" s="511" t="s">
        <v>321</v>
      </c>
      <c r="C18" s="511" t="s">
        <v>322</v>
      </c>
      <c r="D18" s="511" t="s">
        <v>323</v>
      </c>
      <c r="F18" s="27" t="s">
        <v>324</v>
      </c>
      <c r="G18" s="27">
        <v>4</v>
      </c>
    </row>
    <row r="19" spans="2:7" x14ac:dyDescent="0.25">
      <c r="B19" s="27" t="s">
        <v>325</v>
      </c>
      <c r="C19" s="34">
        <v>1</v>
      </c>
      <c r="D19" s="35">
        <f>C19/$G$8</f>
        <v>1.7857142857142856E-2</v>
      </c>
      <c r="F19" s="27" t="s">
        <v>326</v>
      </c>
      <c r="G19" s="34">
        <f>ROUNDDOWN(D22,0)</f>
        <v>3</v>
      </c>
    </row>
    <row r="20" spans="2:7" x14ac:dyDescent="0.25">
      <c r="B20" s="27" t="s">
        <v>327</v>
      </c>
      <c r="C20" s="27">
        <v>8</v>
      </c>
      <c r="D20" s="35">
        <f t="shared" ref="D20:D21" si="1">C20/$G$8</f>
        <v>0.14285714285714285</v>
      </c>
    </row>
    <row r="21" spans="2:7" x14ac:dyDescent="0.25">
      <c r="B21" s="27" t="s">
        <v>328</v>
      </c>
      <c r="C21" s="27">
        <v>48</v>
      </c>
      <c r="D21" s="35">
        <f t="shared" si="1"/>
        <v>0.8571428571428571</v>
      </c>
    </row>
    <row r="22" spans="2:7" x14ac:dyDescent="0.25">
      <c r="B22" s="27" t="s">
        <v>331</v>
      </c>
      <c r="C22" s="27">
        <f>C21*4</f>
        <v>192</v>
      </c>
      <c r="D22" s="31">
        <f>C22/$G$8</f>
        <v>3.4285714285714284</v>
      </c>
    </row>
  </sheetData>
  <mergeCells count="10">
    <mergeCell ref="A5:A6"/>
    <mergeCell ref="B5:B6"/>
    <mergeCell ref="C5:C6"/>
    <mergeCell ref="D5:D6"/>
    <mergeCell ref="B4:G4"/>
    <mergeCell ref="F5:G5"/>
    <mergeCell ref="B10:D10"/>
    <mergeCell ref="F10:G10"/>
    <mergeCell ref="F17:G17"/>
    <mergeCell ref="B17:D1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4:U29"/>
  <sheetViews>
    <sheetView zoomScaleNormal="100" workbookViewId="0">
      <selection activeCell="G4" sqref="G4"/>
    </sheetView>
  </sheetViews>
  <sheetFormatPr baseColWidth="10" defaultColWidth="11.5" defaultRowHeight="15" x14ac:dyDescent="0.25"/>
  <cols>
    <col min="1" max="1" width="11.5" style="1"/>
    <col min="2" max="2" width="45.375" style="1" customWidth="1"/>
    <col min="3" max="17" width="10.625" style="1" customWidth="1"/>
    <col min="18" max="18" width="8.75" style="1" customWidth="1"/>
    <col min="19" max="19" width="8" style="1" customWidth="1"/>
    <col min="20" max="20" width="6.125" style="1" customWidth="1"/>
    <col min="21" max="16384" width="11.5" style="1"/>
  </cols>
  <sheetData>
    <row r="4" spans="2:17" x14ac:dyDescent="0.25">
      <c r="B4" s="709" t="s">
        <v>336</v>
      </c>
      <c r="C4" s="710"/>
      <c r="D4" s="710"/>
      <c r="E4" s="711"/>
    </row>
    <row r="5" spans="2:17" ht="25.5" x14ac:dyDescent="0.25">
      <c r="B5" s="511" t="s">
        <v>207</v>
      </c>
      <c r="C5" s="524" t="s">
        <v>337</v>
      </c>
      <c r="D5" s="461" t="s">
        <v>338</v>
      </c>
      <c r="E5" s="461" t="s">
        <v>161</v>
      </c>
    </row>
    <row r="6" spans="2:17" x14ac:dyDescent="0.25">
      <c r="B6" s="36" t="s">
        <v>339</v>
      </c>
      <c r="C6" s="27">
        <v>48</v>
      </c>
      <c r="D6" s="132">
        <f>C6/CapProd!$G$7</f>
        <v>1</v>
      </c>
      <c r="E6" s="132">
        <f>C6/CapProd!$G$8</f>
        <v>0.8571428571428571</v>
      </c>
    </row>
    <row r="7" spans="2:17" x14ac:dyDescent="0.25">
      <c r="B7" s="36" t="s">
        <v>340</v>
      </c>
      <c r="C7" s="27">
        <v>0</v>
      </c>
      <c r="D7" s="132">
        <f>C7/CapProd!$G$7</f>
        <v>0</v>
      </c>
      <c r="E7" s="132">
        <f>C7/CapProd!$G$8</f>
        <v>0</v>
      </c>
      <c r="L7" s="707" t="s">
        <v>341</v>
      </c>
      <c r="M7" s="707"/>
    </row>
    <row r="8" spans="2:17" x14ac:dyDescent="0.25">
      <c r="B8" s="36" t="s">
        <v>342</v>
      </c>
      <c r="C8" s="27">
        <v>32</v>
      </c>
      <c r="D8" s="132">
        <f>C8/CapProd!$G$7</f>
        <v>0.66666666666666663</v>
      </c>
      <c r="E8" s="132">
        <f>C8/CapProd!$G$8</f>
        <v>0.5714285714285714</v>
      </c>
      <c r="L8" s="708">
        <v>4</v>
      </c>
      <c r="M8" s="708"/>
    </row>
    <row r="9" spans="2:17" x14ac:dyDescent="0.25">
      <c r="B9" s="36" t="s">
        <v>343</v>
      </c>
      <c r="C9" s="27">
        <v>0</v>
      </c>
      <c r="D9" s="132">
        <f>C9/CapProd!$G$7</f>
        <v>0</v>
      </c>
      <c r="E9" s="132">
        <f>C9/CapProd!$G$8</f>
        <v>0</v>
      </c>
    </row>
    <row r="10" spans="2:17" x14ac:dyDescent="0.25">
      <c r="B10" s="36" t="s">
        <v>344</v>
      </c>
      <c r="C10" s="27">
        <v>0</v>
      </c>
      <c r="D10" s="132">
        <f>C10/CapProd!$G$7</f>
        <v>0</v>
      </c>
      <c r="E10" s="132">
        <f>C10/CapProd!$G$8</f>
        <v>0</v>
      </c>
    </row>
    <row r="12" spans="2:17" x14ac:dyDescent="0.25">
      <c r="B12" s="656" t="s">
        <v>345</v>
      </c>
      <c r="C12" s="656"/>
      <c r="D12" s="656"/>
      <c r="E12" s="656"/>
      <c r="F12" s="656"/>
      <c r="G12" s="656"/>
      <c r="H12" s="656"/>
      <c r="I12" s="656"/>
      <c r="J12" s="656"/>
      <c r="K12" s="656"/>
      <c r="L12" s="656"/>
      <c r="M12" s="656"/>
      <c r="N12" s="656"/>
      <c r="O12" s="656"/>
      <c r="P12" s="656"/>
      <c r="Q12" s="656"/>
    </row>
    <row r="13" spans="2:17" x14ac:dyDescent="0.25">
      <c r="B13" s="513" t="s">
        <v>205</v>
      </c>
      <c r="C13" s="513" t="s">
        <v>346</v>
      </c>
      <c r="D13" s="513" t="s">
        <v>347</v>
      </c>
      <c r="E13" s="513" t="s">
        <v>348</v>
      </c>
      <c r="F13" s="513" t="s">
        <v>349</v>
      </c>
      <c r="G13" s="513" t="s">
        <v>350</v>
      </c>
      <c r="H13" s="513" t="s">
        <v>351</v>
      </c>
      <c r="I13" s="513" t="s">
        <v>352</v>
      </c>
      <c r="J13" s="513" t="s">
        <v>353</v>
      </c>
      <c r="K13" s="513" t="s">
        <v>354</v>
      </c>
      <c r="L13" s="513" t="s">
        <v>355</v>
      </c>
      <c r="M13" s="513" t="s">
        <v>356</v>
      </c>
      <c r="N13" s="513" t="s">
        <v>357</v>
      </c>
      <c r="O13" s="513" t="s">
        <v>232</v>
      </c>
      <c r="P13" s="513" t="s">
        <v>233</v>
      </c>
      <c r="Q13" s="513" t="s">
        <v>215</v>
      </c>
    </row>
    <row r="14" spans="2:17" x14ac:dyDescent="0.25">
      <c r="B14" s="462" t="s">
        <v>358</v>
      </c>
      <c r="C14" s="331">
        <f>PronósticoDmda!C10</f>
        <v>2</v>
      </c>
      <c r="D14" s="331">
        <f>PronósticoDmda!D10</f>
        <v>3</v>
      </c>
      <c r="E14" s="331">
        <f>PronósticoDmda!E10</f>
        <v>2</v>
      </c>
      <c r="F14" s="331">
        <f>PronósticoDmda!F10</f>
        <v>3</v>
      </c>
      <c r="G14" s="331">
        <f>PronósticoDmda!G10</f>
        <v>4</v>
      </c>
      <c r="H14" s="331">
        <f>PronósticoDmda!H10</f>
        <v>4</v>
      </c>
      <c r="I14" s="331">
        <f>PronósticoDmda!I10</f>
        <v>4</v>
      </c>
      <c r="J14" s="331">
        <f>PronósticoDmda!J10</f>
        <v>5</v>
      </c>
      <c r="K14" s="331">
        <f>PronósticoDmda!K10</f>
        <v>5</v>
      </c>
      <c r="L14" s="331">
        <f>PronósticoDmda!L10</f>
        <v>4</v>
      </c>
      <c r="M14" s="331">
        <f>PronósticoDmda!M10</f>
        <v>5</v>
      </c>
      <c r="N14" s="331">
        <f>PronósticoDmda!N10</f>
        <v>5</v>
      </c>
      <c r="O14" s="331">
        <f>PronósticoDmda!M18</f>
        <v>42</v>
      </c>
      <c r="P14" s="331">
        <f>PronósticoDmda!M19</f>
        <v>60</v>
      </c>
      <c r="Q14" s="331">
        <f>PronósticoDmda!M20</f>
        <v>63.2</v>
      </c>
    </row>
    <row r="15" spans="2:17" x14ac:dyDescent="0.25">
      <c r="B15" s="462" t="s">
        <v>359</v>
      </c>
      <c r="C15" s="331">
        <f>PronósticoDmda!C11</f>
        <v>3</v>
      </c>
      <c r="D15" s="331">
        <f>PronósticoDmda!D11</f>
        <v>4</v>
      </c>
      <c r="E15" s="331">
        <f>PronósticoDmda!E11</f>
        <v>3</v>
      </c>
      <c r="F15" s="331">
        <f>PronósticoDmda!F11</f>
        <v>5</v>
      </c>
      <c r="G15" s="331">
        <f>PronósticoDmda!G11</f>
        <v>5</v>
      </c>
      <c r="H15" s="331">
        <f>PronósticoDmda!H11</f>
        <v>6</v>
      </c>
      <c r="I15" s="331">
        <f>PronósticoDmda!I11</f>
        <v>6</v>
      </c>
      <c r="J15" s="331">
        <f>PronósticoDmda!J11</f>
        <v>8</v>
      </c>
      <c r="K15" s="331">
        <f>PronósticoDmda!K11</f>
        <v>7</v>
      </c>
      <c r="L15" s="331">
        <f>PronósticoDmda!L11</f>
        <v>6</v>
      </c>
      <c r="M15" s="331">
        <f>PronósticoDmda!M11</f>
        <v>7</v>
      </c>
      <c r="N15" s="331">
        <f>PronósticoDmda!N11</f>
        <v>8</v>
      </c>
      <c r="O15" s="331">
        <f>PronósticoDmda!N18</f>
        <v>63</v>
      </c>
      <c r="P15" s="331">
        <f>PronósticoDmda!N19</f>
        <v>90</v>
      </c>
      <c r="Q15" s="331">
        <f>PronósticoDmda!N20</f>
        <v>94.8</v>
      </c>
    </row>
    <row r="16" spans="2:17" x14ac:dyDescent="0.25">
      <c r="B16" s="462" t="s">
        <v>360</v>
      </c>
      <c r="C16" s="37">
        <f>CapProd!$G$12*$L$8</f>
        <v>16</v>
      </c>
      <c r="D16" s="37">
        <f>CapProd!$G$12*$L$8</f>
        <v>16</v>
      </c>
      <c r="E16" s="37">
        <f>CapProd!$G$12*$L$8</f>
        <v>16</v>
      </c>
      <c r="F16" s="37">
        <f>CapProd!$G$12*$L$8</f>
        <v>16</v>
      </c>
      <c r="G16" s="37">
        <f>CapProd!$G$12*$L$8</f>
        <v>16</v>
      </c>
      <c r="H16" s="37">
        <f>CapProd!$G$12*$L$8</f>
        <v>16</v>
      </c>
      <c r="I16" s="37">
        <f>CapProd!$G$12*$L$8</f>
        <v>16</v>
      </c>
      <c r="J16" s="37">
        <f>CapProd!$G$12*$L$8</f>
        <v>16</v>
      </c>
      <c r="K16" s="37">
        <f>CapProd!$G$12*$L$8</f>
        <v>16</v>
      </c>
      <c r="L16" s="37">
        <f>CapProd!$G$12*$L$8</f>
        <v>16</v>
      </c>
      <c r="M16" s="37">
        <f>CapProd!$G$12*$L$8</f>
        <v>16</v>
      </c>
      <c r="N16" s="37">
        <f>CapProd!$G$12*$L$8</f>
        <v>16</v>
      </c>
      <c r="O16" s="37">
        <f>SUM(C16:N16)</f>
        <v>192</v>
      </c>
      <c r="P16" s="37">
        <f>O16</f>
        <v>192</v>
      </c>
      <c r="Q16" s="37">
        <f>P16</f>
        <v>192</v>
      </c>
    </row>
    <row r="17" spans="2:21" x14ac:dyDescent="0.25">
      <c r="B17" s="462" t="s">
        <v>361</v>
      </c>
      <c r="C17" s="37">
        <f>CapProd!$G$19*$L$8</f>
        <v>12</v>
      </c>
      <c r="D17" s="37">
        <f>CapProd!$G$19*$L$8</f>
        <v>12</v>
      </c>
      <c r="E17" s="37">
        <f>CapProd!$G$19*$L$8</f>
        <v>12</v>
      </c>
      <c r="F17" s="37">
        <f>CapProd!$G$19*$L$8</f>
        <v>12</v>
      </c>
      <c r="G17" s="37">
        <f>CapProd!$G$19*$L$8</f>
        <v>12</v>
      </c>
      <c r="H17" s="37">
        <f>CapProd!$G$19*$L$8</f>
        <v>12</v>
      </c>
      <c r="I17" s="37">
        <f>CapProd!$G$19*$L$8</f>
        <v>12</v>
      </c>
      <c r="J17" s="37">
        <f>CapProd!$G$19*$L$8</f>
        <v>12</v>
      </c>
      <c r="K17" s="37">
        <f>CapProd!$G$19*$L$8</f>
        <v>12</v>
      </c>
      <c r="L17" s="37">
        <f>CapProd!$G$19*$L$8</f>
        <v>12</v>
      </c>
      <c r="M17" s="37">
        <f>CapProd!$G$19*$L$8</f>
        <v>12</v>
      </c>
      <c r="N17" s="37">
        <f>CapProd!$G$19*$L$8</f>
        <v>12</v>
      </c>
      <c r="O17" s="37">
        <f>SUM(C17:N17)</f>
        <v>144</v>
      </c>
      <c r="P17" s="37">
        <f>O17</f>
        <v>144</v>
      </c>
      <c r="Q17" s="37">
        <f>P17</f>
        <v>144</v>
      </c>
      <c r="S17" s="34" t="s">
        <v>362</v>
      </c>
      <c r="T17" s="440" t="s">
        <v>363</v>
      </c>
    </row>
    <row r="18" spans="2:21" x14ac:dyDescent="0.25">
      <c r="B18" s="462" t="s">
        <v>364</v>
      </c>
      <c r="C18" s="37">
        <f>C14*CapProd!$G$7</f>
        <v>96</v>
      </c>
      <c r="D18" s="37">
        <f>D14*CapProd!$G$7</f>
        <v>144</v>
      </c>
      <c r="E18" s="37">
        <f>E14*CapProd!$G$7</f>
        <v>96</v>
      </c>
      <c r="F18" s="37">
        <f>F14*CapProd!$G$7</f>
        <v>144</v>
      </c>
      <c r="G18" s="37">
        <f>G14*CapProd!$G$7</f>
        <v>192</v>
      </c>
      <c r="H18" s="37">
        <f>H14*CapProd!$G$7</f>
        <v>192</v>
      </c>
      <c r="I18" s="37">
        <f>I14*CapProd!$G$7</f>
        <v>192</v>
      </c>
      <c r="J18" s="37">
        <f>J14*CapProd!$G$7</f>
        <v>240</v>
      </c>
      <c r="K18" s="37">
        <f>K14*CapProd!$G$7</f>
        <v>240</v>
      </c>
      <c r="L18" s="37">
        <f>L14*CapProd!$G$7</f>
        <v>192</v>
      </c>
      <c r="M18" s="37">
        <f>M14*CapProd!$G$7</f>
        <v>240</v>
      </c>
      <c r="N18" s="37">
        <f>N14*CapProd!$G$7</f>
        <v>240</v>
      </c>
      <c r="O18" s="37">
        <f>O14*CapProd!$G$7</f>
        <v>2016</v>
      </c>
      <c r="P18" s="37">
        <f>P14*CapProd!$G$7</f>
        <v>2880</v>
      </c>
      <c r="Q18" s="37">
        <f>Q14*CapProd!$G$7</f>
        <v>3033.6000000000004</v>
      </c>
      <c r="S18" s="34">
        <f>AVERAGE(C18:N18)</f>
        <v>184</v>
      </c>
      <c r="T18" s="38">
        <f>S18*T20/S20</f>
        <v>0.36702127659574468</v>
      </c>
      <c r="U18" s="1" t="s">
        <v>152</v>
      </c>
    </row>
    <row r="19" spans="2:21" x14ac:dyDescent="0.25">
      <c r="B19" s="462" t="s">
        <v>365</v>
      </c>
      <c r="C19" s="37">
        <f>C15*CapProd!$G$8</f>
        <v>168</v>
      </c>
      <c r="D19" s="37">
        <f>D15*CapProd!$G$8</f>
        <v>224</v>
      </c>
      <c r="E19" s="37">
        <f>E15*CapProd!$G$8</f>
        <v>168</v>
      </c>
      <c r="F19" s="37">
        <f>F15*CapProd!$G$8</f>
        <v>280</v>
      </c>
      <c r="G19" s="37">
        <f>G15*CapProd!$G$8</f>
        <v>280</v>
      </c>
      <c r="H19" s="37">
        <f>H15*CapProd!$G$8</f>
        <v>336</v>
      </c>
      <c r="I19" s="37">
        <f>I15*CapProd!$G$8</f>
        <v>336</v>
      </c>
      <c r="J19" s="37">
        <f>J15*CapProd!$G$8</f>
        <v>448</v>
      </c>
      <c r="K19" s="37">
        <f>K15*CapProd!$G$8</f>
        <v>392</v>
      </c>
      <c r="L19" s="37">
        <f>L15*CapProd!$G$8</f>
        <v>336</v>
      </c>
      <c r="M19" s="37">
        <f>M15*CapProd!$G$8</f>
        <v>392</v>
      </c>
      <c r="N19" s="37">
        <f>N15*CapProd!$G$8</f>
        <v>448</v>
      </c>
      <c r="O19" s="37">
        <f>O15*CapProd!$G$8</f>
        <v>3528</v>
      </c>
      <c r="P19" s="37">
        <f>P15*CapProd!$G$8</f>
        <v>5040</v>
      </c>
      <c r="Q19" s="37">
        <f>Q15*CapProd!$G$8</f>
        <v>5308.8</v>
      </c>
      <c r="S19" s="34">
        <f>AVERAGE(C19:N19)</f>
        <v>317.33333333333331</v>
      </c>
      <c r="T19" s="38">
        <f>T20*S19/S20</f>
        <v>0.63297872340425532</v>
      </c>
      <c r="U19" s="1" t="s">
        <v>153</v>
      </c>
    </row>
    <row r="20" spans="2:21" x14ac:dyDescent="0.25">
      <c r="B20" s="462" t="s">
        <v>366</v>
      </c>
      <c r="C20" s="37">
        <f>C18+C19</f>
        <v>264</v>
      </c>
      <c r="D20" s="37">
        <f t="shared" ref="D20:M20" si="0">D18+D19</f>
        <v>368</v>
      </c>
      <c r="E20" s="37">
        <f>E18+E19</f>
        <v>264</v>
      </c>
      <c r="F20" s="37">
        <f t="shared" si="0"/>
        <v>424</v>
      </c>
      <c r="G20" s="37">
        <f t="shared" si="0"/>
        <v>472</v>
      </c>
      <c r="H20" s="37">
        <f t="shared" si="0"/>
        <v>528</v>
      </c>
      <c r="I20" s="37">
        <f t="shared" si="0"/>
        <v>528</v>
      </c>
      <c r="J20" s="37">
        <f t="shared" si="0"/>
        <v>688</v>
      </c>
      <c r="K20" s="37">
        <f t="shared" si="0"/>
        <v>632</v>
      </c>
      <c r="L20" s="37">
        <f t="shared" si="0"/>
        <v>528</v>
      </c>
      <c r="M20" s="37">
        <f t="shared" si="0"/>
        <v>632</v>
      </c>
      <c r="N20" s="37">
        <f>N18+N19</f>
        <v>688</v>
      </c>
      <c r="O20" s="37">
        <f>O18+O19</f>
        <v>5544</v>
      </c>
      <c r="P20" s="37">
        <f>P18+P19</f>
        <v>7920</v>
      </c>
      <c r="Q20" s="37">
        <f>Q18+Q19</f>
        <v>8342.4000000000015</v>
      </c>
      <c r="S20" s="34">
        <f>AVERAGE(C20:N20)</f>
        <v>501.33333333333331</v>
      </c>
      <c r="T20" s="39">
        <v>1</v>
      </c>
    </row>
    <row r="21" spans="2:21" x14ac:dyDescent="0.25">
      <c r="B21" s="462" t="s">
        <v>367</v>
      </c>
      <c r="C21" s="37">
        <f>192*$L$8</f>
        <v>768</v>
      </c>
      <c r="D21" s="37">
        <f t="shared" ref="D21:N21" si="1">192*$L$8</f>
        <v>768</v>
      </c>
      <c r="E21" s="37">
        <f t="shared" si="1"/>
        <v>768</v>
      </c>
      <c r="F21" s="37">
        <f t="shared" si="1"/>
        <v>768</v>
      </c>
      <c r="G21" s="37">
        <f t="shared" si="1"/>
        <v>768</v>
      </c>
      <c r="H21" s="37">
        <f t="shared" si="1"/>
        <v>768</v>
      </c>
      <c r="I21" s="37">
        <f t="shared" si="1"/>
        <v>768</v>
      </c>
      <c r="J21" s="37">
        <f t="shared" si="1"/>
        <v>768</v>
      </c>
      <c r="K21" s="37">
        <f t="shared" si="1"/>
        <v>768</v>
      </c>
      <c r="L21" s="37">
        <f t="shared" si="1"/>
        <v>768</v>
      </c>
      <c r="M21" s="37">
        <f t="shared" si="1"/>
        <v>768</v>
      </c>
      <c r="N21" s="37">
        <f t="shared" si="1"/>
        <v>768</v>
      </c>
      <c r="O21" s="37">
        <f>N21*12</f>
        <v>9216</v>
      </c>
      <c r="P21" s="37">
        <f>O21</f>
        <v>9216</v>
      </c>
      <c r="Q21" s="37">
        <f>P21</f>
        <v>9216</v>
      </c>
    </row>
    <row r="22" spans="2:21" x14ac:dyDescent="0.25">
      <c r="B22" s="462" t="s">
        <v>368</v>
      </c>
      <c r="C22" s="266">
        <f>C21-C20</f>
        <v>504</v>
      </c>
      <c r="D22" s="266">
        <f t="shared" ref="D22:Q22" si="2">D21-D20</f>
        <v>400</v>
      </c>
      <c r="E22" s="266">
        <f>E21-E20</f>
        <v>504</v>
      </c>
      <c r="F22" s="266">
        <f t="shared" si="2"/>
        <v>344</v>
      </c>
      <c r="G22" s="266">
        <f t="shared" si="2"/>
        <v>296</v>
      </c>
      <c r="H22" s="266">
        <f t="shared" si="2"/>
        <v>240</v>
      </c>
      <c r="I22" s="266">
        <f t="shared" si="2"/>
        <v>240</v>
      </c>
      <c r="J22" s="266">
        <f t="shared" si="2"/>
        <v>80</v>
      </c>
      <c r="K22" s="266">
        <f t="shared" si="2"/>
        <v>136</v>
      </c>
      <c r="L22" s="266">
        <f t="shared" si="2"/>
        <v>240</v>
      </c>
      <c r="M22" s="266">
        <f t="shared" si="2"/>
        <v>136</v>
      </c>
      <c r="N22" s="266">
        <f t="shared" si="2"/>
        <v>80</v>
      </c>
      <c r="O22" s="266">
        <f t="shared" si="2"/>
        <v>3672</v>
      </c>
      <c r="P22" s="266">
        <f t="shared" si="2"/>
        <v>1296</v>
      </c>
      <c r="Q22" s="266">
        <f t="shared" si="2"/>
        <v>873.59999999999854</v>
      </c>
    </row>
    <row r="23" spans="2:21" x14ac:dyDescent="0.25">
      <c r="B23" s="463" t="s">
        <v>369</v>
      </c>
      <c r="C23" s="267">
        <f>IF((C20-C21)&lt;0,0,((C20-C21)/CapProd!$G$8))</f>
        <v>0</v>
      </c>
      <c r="D23" s="267">
        <f>IF((D20-D21)&lt;0,0,((D20-D21)/CapProd!$G$8))</f>
        <v>0</v>
      </c>
      <c r="E23" s="267">
        <f>IF((E20-E21)&lt;0,0,((E20-E21)/CapProd!$G$8))</f>
        <v>0</v>
      </c>
      <c r="F23" s="267">
        <f>IF((F20-F21)&lt;0,0,((F20-F21)/CapProd!$G$8))</f>
        <v>0</v>
      </c>
      <c r="G23" s="267">
        <f>IF((G20-G21)&lt;0,0,((G20-G21)/CapProd!$G$8))</f>
        <v>0</v>
      </c>
      <c r="H23" s="267">
        <f>IF((H20-H21)&lt;0,0,((H20-H21)/CapProd!$G$8))</f>
        <v>0</v>
      </c>
      <c r="I23" s="267">
        <f>IF((I20-I21)&lt;0,0,((I20-I21)/CapProd!$G$8))</f>
        <v>0</v>
      </c>
      <c r="J23" s="267">
        <f>IF((J20-J21)&lt;0,0,((J20-J21)/CapProd!$G$8))</f>
        <v>0</v>
      </c>
      <c r="K23" s="267">
        <f>IF((K20-K21)&lt;0,0,((K20-K21)/CapProd!$G$8))</f>
        <v>0</v>
      </c>
      <c r="L23" s="267">
        <f>IF((L20-L21)&lt;0,0,((L20-L21)/CapProd!$G$8))</f>
        <v>0</v>
      </c>
      <c r="M23" s="267">
        <f>IF((M20-M21)&lt;0,0,((M20-M21)/CapProd!$G$8))</f>
        <v>0</v>
      </c>
      <c r="N23" s="267">
        <f>IF((N20-N21)&lt;0,0,((N20-N21)/CapProd!$G$8))</f>
        <v>0</v>
      </c>
      <c r="O23" s="267">
        <f>IF((O20-O21)&lt;0,0,((O20-O21)/CapProd!$G$8))</f>
        <v>0</v>
      </c>
      <c r="P23" s="267">
        <f>IF((P20-P21)&lt;0,0,((P20-P21)/CapProd!$G$8))</f>
        <v>0</v>
      </c>
      <c r="Q23" s="267">
        <f>IF((Q20-Q21)&lt;0,0,((Q20-Q21)/CapProd!$G$8))</f>
        <v>0</v>
      </c>
    </row>
    <row r="24" spans="2:21" x14ac:dyDescent="0.25">
      <c r="B24" s="462" t="s">
        <v>370</v>
      </c>
      <c r="C24" s="41">
        <f t="shared" ref="C24:N24" si="3">IF(AND(C23&gt;0,C23&gt;=$E$6),$C$6,(C23*$C$6)/($E$6))</f>
        <v>0</v>
      </c>
      <c r="D24" s="41">
        <f t="shared" si="3"/>
        <v>0</v>
      </c>
      <c r="E24" s="41">
        <f t="shared" si="3"/>
        <v>0</v>
      </c>
      <c r="F24" s="41">
        <f t="shared" si="3"/>
        <v>0</v>
      </c>
      <c r="G24" s="41">
        <f t="shared" si="3"/>
        <v>0</v>
      </c>
      <c r="H24" s="41">
        <f t="shared" si="3"/>
        <v>0</v>
      </c>
      <c r="I24" s="41">
        <f t="shared" si="3"/>
        <v>0</v>
      </c>
      <c r="J24" s="41">
        <f t="shared" si="3"/>
        <v>0</v>
      </c>
      <c r="K24" s="41">
        <f t="shared" si="3"/>
        <v>0</v>
      </c>
      <c r="L24" s="41">
        <f t="shared" si="3"/>
        <v>0</v>
      </c>
      <c r="M24" s="41">
        <f t="shared" si="3"/>
        <v>0</v>
      </c>
      <c r="N24" s="41">
        <f t="shared" si="3"/>
        <v>0</v>
      </c>
      <c r="O24" s="41">
        <f t="shared" ref="O24:P24" si="4">IF(AND(O23&gt;0,O23&gt;=$E$6),$C$6,(O23*$C$6)/($E$6))</f>
        <v>0</v>
      </c>
      <c r="P24" s="41">
        <f t="shared" si="4"/>
        <v>0</v>
      </c>
      <c r="Q24" s="41">
        <f>IF(AND(Q23&gt;0,Q23&gt;=$E$6),$C$6,(Q23*$C$6)/($E$6))</f>
        <v>0</v>
      </c>
    </row>
    <row r="25" spans="2:21" x14ac:dyDescent="0.25">
      <c r="B25" s="462" t="s">
        <v>371</v>
      </c>
      <c r="C25" s="40">
        <f t="shared" ref="C25:N25" si="5">IF(AND(C24&gt;0,C24=$C$6),$E$6,(C24*$E$6)/($C$6))</f>
        <v>0</v>
      </c>
      <c r="D25" s="40">
        <f t="shared" si="5"/>
        <v>0</v>
      </c>
      <c r="E25" s="40">
        <f t="shared" si="5"/>
        <v>0</v>
      </c>
      <c r="F25" s="40">
        <f t="shared" si="5"/>
        <v>0</v>
      </c>
      <c r="G25" s="40">
        <f t="shared" si="5"/>
        <v>0</v>
      </c>
      <c r="H25" s="40">
        <f t="shared" si="5"/>
        <v>0</v>
      </c>
      <c r="I25" s="40">
        <f t="shared" si="5"/>
        <v>0</v>
      </c>
      <c r="J25" s="40">
        <f t="shared" si="5"/>
        <v>0</v>
      </c>
      <c r="K25" s="40">
        <f t="shared" si="5"/>
        <v>0</v>
      </c>
      <c r="L25" s="40">
        <f t="shared" si="5"/>
        <v>0</v>
      </c>
      <c r="M25" s="40">
        <f t="shared" si="5"/>
        <v>0</v>
      </c>
      <c r="N25" s="40">
        <f t="shared" si="5"/>
        <v>0</v>
      </c>
      <c r="O25" s="40">
        <f t="shared" ref="O25:Q25" si="6">IF(AND(O24&gt;0,O24=$C$6),$E$6,(O24*$E$6)/($C$6))</f>
        <v>0</v>
      </c>
      <c r="P25" s="40">
        <f t="shared" si="6"/>
        <v>0</v>
      </c>
      <c r="Q25" s="40">
        <f t="shared" si="6"/>
        <v>0</v>
      </c>
    </row>
    <row r="26" spans="2:21" x14ac:dyDescent="0.25">
      <c r="B26" s="463" t="s">
        <v>372</v>
      </c>
      <c r="C26" s="40">
        <f>C23-C25</f>
        <v>0</v>
      </c>
      <c r="D26" s="40">
        <f t="shared" ref="D26:N26" si="7">D23-D25</f>
        <v>0</v>
      </c>
      <c r="E26" s="40">
        <f t="shared" si="7"/>
        <v>0</v>
      </c>
      <c r="F26" s="40">
        <f t="shared" si="7"/>
        <v>0</v>
      </c>
      <c r="G26" s="40">
        <f t="shared" si="7"/>
        <v>0</v>
      </c>
      <c r="H26" s="40">
        <f t="shared" si="7"/>
        <v>0</v>
      </c>
      <c r="I26" s="40">
        <f t="shared" si="7"/>
        <v>0</v>
      </c>
      <c r="J26" s="40">
        <f t="shared" si="7"/>
        <v>0</v>
      </c>
      <c r="K26" s="40">
        <f t="shared" si="7"/>
        <v>0</v>
      </c>
      <c r="L26" s="40">
        <f t="shared" si="7"/>
        <v>0</v>
      </c>
      <c r="M26" s="40">
        <f t="shared" si="7"/>
        <v>0</v>
      </c>
      <c r="N26" s="40">
        <f t="shared" si="7"/>
        <v>0</v>
      </c>
      <c r="O26" s="40">
        <f t="shared" ref="O26" si="8">O23-O25</f>
        <v>0</v>
      </c>
      <c r="P26" s="40">
        <f t="shared" ref="P26" si="9">P23-P25</f>
        <v>0</v>
      </c>
      <c r="Q26" s="40">
        <f>Q23-Q25</f>
        <v>0</v>
      </c>
    </row>
    <row r="27" spans="2:21" x14ac:dyDescent="0.25">
      <c r="B27" s="462" t="s">
        <v>373</v>
      </c>
      <c r="C27" s="41">
        <f t="shared" ref="C27:N27" si="10">IF(AND(C26&gt;0,C26&gt;=$E$8),$C$8,(C26*$C$8)/($E$8))</f>
        <v>0</v>
      </c>
      <c r="D27" s="41">
        <f t="shared" si="10"/>
        <v>0</v>
      </c>
      <c r="E27" s="41">
        <f t="shared" si="10"/>
        <v>0</v>
      </c>
      <c r="F27" s="41">
        <f t="shared" si="10"/>
        <v>0</v>
      </c>
      <c r="G27" s="41">
        <f t="shared" si="10"/>
        <v>0</v>
      </c>
      <c r="H27" s="41">
        <f t="shared" si="10"/>
        <v>0</v>
      </c>
      <c r="I27" s="41">
        <f t="shared" si="10"/>
        <v>0</v>
      </c>
      <c r="J27" s="41">
        <f t="shared" si="10"/>
        <v>0</v>
      </c>
      <c r="K27" s="41">
        <f t="shared" si="10"/>
        <v>0</v>
      </c>
      <c r="L27" s="41">
        <f t="shared" si="10"/>
        <v>0</v>
      </c>
      <c r="M27" s="41">
        <f t="shared" si="10"/>
        <v>0</v>
      </c>
      <c r="N27" s="41">
        <f t="shared" si="10"/>
        <v>0</v>
      </c>
      <c r="O27" s="41">
        <f t="shared" ref="O27:Q27" si="11">IF(AND(O26&gt;0,O26&gt;=$E$8),$C$8,(O26*$C$8)/($E$8))</f>
        <v>0</v>
      </c>
      <c r="P27" s="41">
        <f t="shared" si="11"/>
        <v>0</v>
      </c>
      <c r="Q27" s="41">
        <f t="shared" si="11"/>
        <v>0</v>
      </c>
    </row>
    <row r="28" spans="2:21" x14ac:dyDescent="0.25">
      <c r="B28" s="462" t="s">
        <v>371</v>
      </c>
      <c r="C28" s="531">
        <f t="shared" ref="C28:N28" si="12">IF(AND(C27&gt;0,C27=$C$8),$E$8,(C27*$E$8)/($C$8))</f>
        <v>0</v>
      </c>
      <c r="D28" s="531">
        <f t="shared" si="12"/>
        <v>0</v>
      </c>
      <c r="E28" s="531">
        <f t="shared" si="12"/>
        <v>0</v>
      </c>
      <c r="F28" s="531">
        <f t="shared" si="12"/>
        <v>0</v>
      </c>
      <c r="G28" s="531">
        <f t="shared" si="12"/>
        <v>0</v>
      </c>
      <c r="H28" s="531">
        <f t="shared" si="12"/>
        <v>0</v>
      </c>
      <c r="I28" s="531">
        <f t="shared" si="12"/>
        <v>0</v>
      </c>
      <c r="J28" s="531">
        <f t="shared" si="12"/>
        <v>0</v>
      </c>
      <c r="K28" s="531">
        <f t="shared" si="12"/>
        <v>0</v>
      </c>
      <c r="L28" s="531">
        <f t="shared" si="12"/>
        <v>0</v>
      </c>
      <c r="M28" s="531">
        <f t="shared" si="12"/>
        <v>0</v>
      </c>
      <c r="N28" s="531">
        <f t="shared" si="12"/>
        <v>0</v>
      </c>
      <c r="O28" s="531">
        <f t="shared" ref="O28:Q28" si="13">IF(AND(O27&gt;0,O27=$C$8),$E$8,(O27*$E$8)/($C$8))</f>
        <v>0</v>
      </c>
      <c r="P28" s="531">
        <f t="shared" si="13"/>
        <v>0</v>
      </c>
      <c r="Q28" s="531">
        <f t="shared" si="13"/>
        <v>0</v>
      </c>
    </row>
    <row r="29" spans="2:21" x14ac:dyDescent="0.25">
      <c r="B29" s="463" t="s">
        <v>374</v>
      </c>
      <c r="C29" s="531">
        <f>C26-C28</f>
        <v>0</v>
      </c>
      <c r="D29" s="531">
        <f t="shared" ref="D29:N29" si="14">D26-D28</f>
        <v>0</v>
      </c>
      <c r="E29" s="531">
        <f>E26-E28</f>
        <v>0</v>
      </c>
      <c r="F29" s="531">
        <f t="shared" si="14"/>
        <v>0</v>
      </c>
      <c r="G29" s="531">
        <f t="shared" si="14"/>
        <v>0</v>
      </c>
      <c r="H29" s="531">
        <f t="shared" si="14"/>
        <v>0</v>
      </c>
      <c r="I29" s="531">
        <f t="shared" si="14"/>
        <v>0</v>
      </c>
      <c r="J29" s="531">
        <f>J26-J28</f>
        <v>0</v>
      </c>
      <c r="K29" s="531">
        <f>K26-K28</f>
        <v>0</v>
      </c>
      <c r="L29" s="531">
        <f t="shared" si="14"/>
        <v>0</v>
      </c>
      <c r="M29" s="531">
        <f t="shared" si="14"/>
        <v>0</v>
      </c>
      <c r="N29" s="531">
        <f t="shared" si="14"/>
        <v>0</v>
      </c>
      <c r="O29" s="531">
        <f t="shared" ref="O29:Q29" si="15">O26-O28</f>
        <v>0</v>
      </c>
      <c r="P29" s="531">
        <f t="shared" si="15"/>
        <v>0</v>
      </c>
      <c r="Q29" s="531">
        <f t="shared" si="15"/>
        <v>0</v>
      </c>
    </row>
  </sheetData>
  <mergeCells count="4">
    <mergeCell ref="B12:Q12"/>
    <mergeCell ref="L7:M7"/>
    <mergeCell ref="L8:M8"/>
    <mergeCell ref="B4:E4"/>
  </mergeCells>
  <conditionalFormatting sqref="C23:Q23">
    <cfRule type="cellIs" dxfId="46" priority="9" operator="equal">
      <formula>0</formula>
    </cfRule>
    <cfRule type="cellIs" dxfId="45" priority="12" operator="greaterThan">
      <formula>0</formula>
    </cfRule>
  </conditionalFormatting>
  <conditionalFormatting sqref="C26:Q26">
    <cfRule type="cellIs" dxfId="44" priority="8" operator="equal">
      <formula>0</formula>
    </cfRule>
    <cfRule type="cellIs" dxfId="43" priority="11" operator="greaterThan">
      <formula>0</formula>
    </cfRule>
  </conditionalFormatting>
  <conditionalFormatting sqref="C29:Q29">
    <cfRule type="cellIs" dxfId="42" priority="7" operator="equal">
      <formula>0</formula>
    </cfRule>
    <cfRule type="cellIs" dxfId="41" priority="10" operator="greaterThan">
      <formula>0</formula>
    </cfRule>
  </conditionalFormatting>
  <pageMargins left="0.7" right="0.7" top="0.75" bottom="0.75" header="0.3" footer="0.3"/>
  <pageSetup orientation="portrait" verticalDpi="30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4:Q64"/>
  <sheetViews>
    <sheetView topLeftCell="A10" zoomScaleNormal="100" workbookViewId="0">
      <selection activeCell="Q6" sqref="Q6"/>
    </sheetView>
  </sheetViews>
  <sheetFormatPr baseColWidth="10" defaultColWidth="11.5" defaultRowHeight="15" x14ac:dyDescent="0.25"/>
  <cols>
    <col min="1" max="1" width="11.5" style="1"/>
    <col min="2" max="2" width="23.875" style="1" bestFit="1" customWidth="1"/>
    <col min="3" max="3" width="22.5" style="1" customWidth="1"/>
    <col min="4" max="17" width="12.625" style="1" customWidth="1"/>
    <col min="18" max="16384" width="11.5" style="1"/>
  </cols>
  <sheetData>
    <row r="4" spans="2:17" x14ac:dyDescent="0.25">
      <c r="F4" s="656" t="s">
        <v>375</v>
      </c>
      <c r="G4" s="656"/>
      <c r="H4" s="656"/>
      <c r="I4" s="656"/>
      <c r="J4" s="656"/>
      <c r="K4" s="656"/>
      <c r="L4" s="656"/>
      <c r="M4" s="656"/>
      <c r="N4" s="656"/>
      <c r="O4" s="656"/>
      <c r="P4" s="656"/>
    </row>
    <row r="5" spans="2:17" ht="28.5" x14ac:dyDescent="0.25">
      <c r="B5" s="511" t="s">
        <v>376</v>
      </c>
      <c r="F5" s="514" t="s">
        <v>377</v>
      </c>
      <c r="G5" s="268" t="str">
        <f t="shared" ref="G5:K5" si="0">G12</f>
        <v>Gerente General</v>
      </c>
      <c r="H5" s="268" t="str">
        <f t="shared" si="0"/>
        <v>Gerente Comercial</v>
      </c>
      <c r="I5" s="268" t="str">
        <f>I12</f>
        <v>Gerente de Operaciones</v>
      </c>
      <c r="J5" s="268" t="str">
        <f t="shared" si="0"/>
        <v>Desarrollador</v>
      </c>
      <c r="K5" s="268" t="str">
        <f t="shared" si="0"/>
        <v>Honorarios Contador</v>
      </c>
      <c r="L5" s="268"/>
      <c r="M5" s="268"/>
      <c r="N5" s="268"/>
      <c r="O5" s="268"/>
      <c r="P5" s="268" t="s">
        <v>378</v>
      </c>
      <c r="Q5" s="329" t="s">
        <v>379</v>
      </c>
    </row>
    <row r="6" spans="2:17" x14ac:dyDescent="0.25">
      <c r="B6" s="444">
        <v>1000000</v>
      </c>
      <c r="F6" s="514" t="s">
        <v>380</v>
      </c>
      <c r="G6" s="444">
        <v>1100000</v>
      </c>
      <c r="H6" s="444">
        <v>1100000</v>
      </c>
      <c r="I6" s="444">
        <v>1100000</v>
      </c>
      <c r="J6" s="444">
        <v>1100000</v>
      </c>
      <c r="K6" s="444">
        <f>PresPersonal!D10</f>
        <v>500000</v>
      </c>
      <c r="L6" s="24"/>
      <c r="M6" s="24"/>
      <c r="N6" s="24"/>
      <c r="O6" s="24"/>
      <c r="P6" s="24">
        <f>SUM(G6:O6)</f>
        <v>4900000</v>
      </c>
      <c r="Q6" s="330">
        <f>P6*12</f>
        <v>58800000</v>
      </c>
    </row>
    <row r="7" spans="2:17" x14ac:dyDescent="0.25">
      <c r="C7" s="379"/>
      <c r="F7" s="514" t="s">
        <v>381</v>
      </c>
      <c r="G7" s="444">
        <f>IF(G6&gt;$B$6*2,0,$B$9)</f>
        <v>117172</v>
      </c>
      <c r="H7" s="444">
        <f>IF(H6&gt;$B$6*2,0,$B$9)</f>
        <v>117172</v>
      </c>
      <c r="I7" s="444">
        <f>IF(I6&gt;$B$6*2,0,$B$9)</f>
        <v>117172</v>
      </c>
      <c r="J7" s="444">
        <f>IF(J6&gt;$B$6*2,0,$B$9)</f>
        <v>117172</v>
      </c>
      <c r="K7" s="444"/>
      <c r="L7" s="24"/>
      <c r="M7" s="24"/>
      <c r="N7" s="24"/>
      <c r="O7" s="24"/>
      <c r="P7" s="24">
        <f>SUM(G7:O7)</f>
        <v>468688</v>
      </c>
      <c r="Q7" s="330">
        <f>P7*12</f>
        <v>5624256</v>
      </c>
    </row>
    <row r="8" spans="2:17" x14ac:dyDescent="0.25">
      <c r="B8" s="513" t="s">
        <v>382</v>
      </c>
      <c r="F8" s="514" t="s">
        <v>383</v>
      </c>
      <c r="G8" s="444">
        <f>G19+G24</f>
        <v>623951.64333333331</v>
      </c>
      <c r="H8" s="444">
        <f>H19+H24</f>
        <v>623951.64333333331</v>
      </c>
      <c r="I8" s="444">
        <f>I19+I24</f>
        <v>623951.64333333331</v>
      </c>
      <c r="J8" s="444">
        <f>J19+J24</f>
        <v>623951.64333333331</v>
      </c>
      <c r="K8" s="444"/>
      <c r="L8" s="44"/>
      <c r="M8" s="44"/>
      <c r="N8" s="44"/>
      <c r="O8" s="44"/>
      <c r="P8" s="24">
        <f>SUM(G8:O8)</f>
        <v>2495806.5733333332</v>
      </c>
      <c r="Q8" s="330">
        <f>P8*12</f>
        <v>29949678.879999999</v>
      </c>
    </row>
    <row r="9" spans="2:17" x14ac:dyDescent="0.25">
      <c r="B9" s="444">
        <v>117172</v>
      </c>
      <c r="F9" s="513" t="s">
        <v>202</v>
      </c>
      <c r="G9" s="464">
        <f>SUM(G6:G8)</f>
        <v>1841123.6433333333</v>
      </c>
      <c r="H9" s="464">
        <f>SUM(H6:H8)</f>
        <v>1841123.6433333333</v>
      </c>
      <c r="I9" s="464">
        <f t="shared" ref="I9:J9" si="1">SUM(I6:I8)</f>
        <v>1841123.6433333333</v>
      </c>
      <c r="J9" s="464">
        <f t="shared" si="1"/>
        <v>1841123.6433333333</v>
      </c>
      <c r="K9" s="464">
        <f t="shared" ref="K9:P9" si="2">SUM(K6:K8)</f>
        <v>500000</v>
      </c>
      <c r="L9" s="332">
        <f t="shared" si="2"/>
        <v>0</v>
      </c>
      <c r="M9" s="332">
        <f t="shared" si="2"/>
        <v>0</v>
      </c>
      <c r="N9" s="332">
        <f t="shared" si="2"/>
        <v>0</v>
      </c>
      <c r="O9" s="332">
        <f t="shared" si="2"/>
        <v>0</v>
      </c>
      <c r="P9" s="332">
        <f t="shared" si="2"/>
        <v>7864494.5733333332</v>
      </c>
      <c r="Q9" s="330">
        <f>P9*12</f>
        <v>94373934.879999995</v>
      </c>
    </row>
    <row r="10" spans="2:17" x14ac:dyDescent="0.25">
      <c r="P10" s="43"/>
    </row>
    <row r="11" spans="2:17" x14ac:dyDescent="0.25">
      <c r="B11" s="664" t="s">
        <v>384</v>
      </c>
      <c r="C11" s="664"/>
      <c r="D11" s="664"/>
      <c r="E11" s="664"/>
      <c r="F11" s="664"/>
      <c r="G11" s="716" t="s">
        <v>385</v>
      </c>
      <c r="H11" s="717"/>
      <c r="I11" s="717"/>
      <c r="J11" s="717"/>
      <c r="K11" s="717"/>
      <c r="L11" s="717"/>
      <c r="M11" s="717"/>
      <c r="N11" s="717"/>
      <c r="O11" s="718"/>
      <c r="P11" s="273"/>
    </row>
    <row r="12" spans="2:17" ht="28.5" x14ac:dyDescent="0.25">
      <c r="B12" s="532" t="s">
        <v>386</v>
      </c>
      <c r="C12" s="523" t="s">
        <v>205</v>
      </c>
      <c r="D12" s="523" t="s">
        <v>387</v>
      </c>
      <c r="E12" s="523" t="s">
        <v>388</v>
      </c>
      <c r="F12" s="523" t="s">
        <v>387</v>
      </c>
      <c r="G12" s="523" t="s">
        <v>90</v>
      </c>
      <c r="H12" s="523" t="s">
        <v>389</v>
      </c>
      <c r="I12" s="523" t="s">
        <v>390</v>
      </c>
      <c r="J12" s="523" t="s">
        <v>391</v>
      </c>
      <c r="K12" s="523" t="s">
        <v>392</v>
      </c>
      <c r="L12" s="268"/>
      <c r="M12" s="268"/>
      <c r="N12" s="268"/>
      <c r="O12" s="268"/>
      <c r="P12" s="268" t="s">
        <v>393</v>
      </c>
    </row>
    <row r="13" spans="2:17" x14ac:dyDescent="0.25">
      <c r="B13" s="713" t="s">
        <v>394</v>
      </c>
      <c r="C13" s="22" t="s">
        <v>395</v>
      </c>
      <c r="D13" s="45">
        <v>8.5000000000000006E-2</v>
      </c>
      <c r="E13" s="45">
        <v>0.04</v>
      </c>
      <c r="F13" s="444">
        <f>$B$6*D13</f>
        <v>85000</v>
      </c>
      <c r="G13" s="444">
        <f>$D$13*G6</f>
        <v>93500</v>
      </c>
      <c r="H13" s="444">
        <f>$D$13*H6</f>
        <v>93500</v>
      </c>
      <c r="I13" s="444">
        <f>$D$13*I6</f>
        <v>93500</v>
      </c>
      <c r="J13" s="444">
        <f>$D$13*J6</f>
        <v>93500</v>
      </c>
      <c r="K13" s="444"/>
      <c r="L13" s="444">
        <f>$D$13*L6</f>
        <v>0</v>
      </c>
      <c r="M13" s="444">
        <f>$D$13*M6</f>
        <v>0</v>
      </c>
      <c r="N13" s="444"/>
      <c r="O13" s="444">
        <f>$D$13*O6</f>
        <v>0</v>
      </c>
      <c r="P13" s="444">
        <f t="shared" ref="P13:P18" si="3">SUM(G13:O13)</f>
        <v>374000</v>
      </c>
    </row>
    <row r="14" spans="2:17" x14ac:dyDescent="0.25">
      <c r="B14" s="714"/>
      <c r="C14" s="22" t="s">
        <v>396</v>
      </c>
      <c r="D14" s="45">
        <v>0.16</v>
      </c>
      <c r="E14" s="45">
        <v>0.04</v>
      </c>
      <c r="F14" s="444">
        <f t="shared" ref="F14:F18" si="4">$B$6*D14</f>
        <v>160000</v>
      </c>
      <c r="G14" s="444">
        <f>$D$14*G6</f>
        <v>176000</v>
      </c>
      <c r="H14" s="444">
        <f>$D$14*H6</f>
        <v>176000</v>
      </c>
      <c r="I14" s="444">
        <f>$D$14*I6</f>
        <v>176000</v>
      </c>
      <c r="J14" s="444">
        <f>$D$14*J6</f>
        <v>176000</v>
      </c>
      <c r="K14" s="444"/>
      <c r="L14" s="444">
        <f>$D$14*L6</f>
        <v>0</v>
      </c>
      <c r="M14" s="444">
        <f>$D$14*M6</f>
        <v>0</v>
      </c>
      <c r="N14" s="444"/>
      <c r="O14" s="444">
        <f>$D$14*O6</f>
        <v>0</v>
      </c>
      <c r="P14" s="444">
        <f t="shared" si="3"/>
        <v>704000</v>
      </c>
    </row>
    <row r="15" spans="2:17" x14ac:dyDescent="0.25">
      <c r="B15" s="714"/>
      <c r="C15" s="22" t="s">
        <v>397</v>
      </c>
      <c r="D15" s="47">
        <v>5.2199999999999998E-3</v>
      </c>
      <c r="E15" s="22"/>
      <c r="F15" s="444">
        <f t="shared" si="4"/>
        <v>5220</v>
      </c>
      <c r="G15" s="444">
        <f>$D$15*G6</f>
        <v>5742</v>
      </c>
      <c r="H15" s="444">
        <f>$D$15*H6</f>
        <v>5742</v>
      </c>
      <c r="I15" s="444">
        <f>$D$15*I6</f>
        <v>5742</v>
      </c>
      <c r="J15" s="444">
        <f>$D$15*J6</f>
        <v>5742</v>
      </c>
      <c r="K15" s="444"/>
      <c r="L15" s="444">
        <f>$D$15*L6</f>
        <v>0</v>
      </c>
      <c r="M15" s="444">
        <f>$D$15*M6</f>
        <v>0</v>
      </c>
      <c r="N15" s="444"/>
      <c r="O15" s="444">
        <f>$D$15*O6</f>
        <v>0</v>
      </c>
      <c r="P15" s="444">
        <f t="shared" si="3"/>
        <v>22968</v>
      </c>
    </row>
    <row r="16" spans="2:17" x14ac:dyDescent="0.25">
      <c r="B16" s="714"/>
      <c r="C16" s="22" t="s">
        <v>398</v>
      </c>
      <c r="D16" s="45">
        <v>0.02</v>
      </c>
      <c r="E16" s="22"/>
      <c r="F16" s="444">
        <f t="shared" si="4"/>
        <v>20000</v>
      </c>
      <c r="G16" s="444">
        <f>$D$16*G6</f>
        <v>22000</v>
      </c>
      <c r="H16" s="444">
        <f>$D$16*H6</f>
        <v>22000</v>
      </c>
      <c r="I16" s="444">
        <f>$D$16*I6</f>
        <v>22000</v>
      </c>
      <c r="J16" s="444">
        <f>$D$16*J6</f>
        <v>22000</v>
      </c>
      <c r="K16" s="444"/>
      <c r="L16" s="444">
        <f>$D$16*L6</f>
        <v>0</v>
      </c>
      <c r="M16" s="444">
        <f>$D$16*M6</f>
        <v>0</v>
      </c>
      <c r="N16" s="444"/>
      <c r="O16" s="444">
        <f>$D$16*O6</f>
        <v>0</v>
      </c>
      <c r="P16" s="444">
        <f t="shared" si="3"/>
        <v>88000</v>
      </c>
    </row>
    <row r="17" spans="2:17" x14ac:dyDescent="0.25">
      <c r="B17" s="714"/>
      <c r="C17" s="22" t="s">
        <v>399</v>
      </c>
      <c r="D17" s="45">
        <v>0.03</v>
      </c>
      <c r="E17" s="22"/>
      <c r="F17" s="444">
        <f t="shared" si="4"/>
        <v>30000</v>
      </c>
      <c r="G17" s="444">
        <f>$D$17*G6</f>
        <v>33000</v>
      </c>
      <c r="H17" s="444">
        <f>$D$17*H6</f>
        <v>33000</v>
      </c>
      <c r="I17" s="444">
        <f>$D$17*I6</f>
        <v>33000</v>
      </c>
      <c r="J17" s="444">
        <f>$D$17*J6</f>
        <v>33000</v>
      </c>
      <c r="K17" s="444"/>
      <c r="L17" s="444">
        <f>$D$17*L6</f>
        <v>0</v>
      </c>
      <c r="M17" s="444">
        <f>$D$17*M6</f>
        <v>0</v>
      </c>
      <c r="N17" s="444"/>
      <c r="O17" s="444">
        <f>$D$17*O6</f>
        <v>0</v>
      </c>
      <c r="P17" s="444">
        <f t="shared" si="3"/>
        <v>132000</v>
      </c>
    </row>
    <row r="18" spans="2:17" x14ac:dyDescent="0.25">
      <c r="B18" s="715"/>
      <c r="C18" s="22" t="s">
        <v>400</v>
      </c>
      <c r="D18" s="45">
        <v>0.04</v>
      </c>
      <c r="E18" s="22"/>
      <c r="F18" s="444">
        <f t="shared" si="4"/>
        <v>40000</v>
      </c>
      <c r="G18" s="444">
        <f>$D$18*G6</f>
        <v>44000</v>
      </c>
      <c r="H18" s="444">
        <f>$D$18*H6</f>
        <v>44000</v>
      </c>
      <c r="I18" s="444">
        <f>$D$18*I6</f>
        <v>44000</v>
      </c>
      <c r="J18" s="444">
        <f>$D$18*J6</f>
        <v>44000</v>
      </c>
      <c r="K18" s="444"/>
      <c r="L18" s="444">
        <f>$D$18*L6</f>
        <v>0</v>
      </c>
      <c r="M18" s="444">
        <f>$D$18*M6</f>
        <v>0</v>
      </c>
      <c r="N18" s="444"/>
      <c r="O18" s="444">
        <f>$D$18*O6</f>
        <v>0</v>
      </c>
      <c r="P18" s="444">
        <f t="shared" si="3"/>
        <v>176000</v>
      </c>
    </row>
    <row r="19" spans="2:17" x14ac:dyDescent="0.25">
      <c r="C19" s="333" t="s">
        <v>289</v>
      </c>
      <c r="D19" s="334">
        <f>SUM(D13:D18)</f>
        <v>0.34022000000000002</v>
      </c>
      <c r="E19" s="335">
        <v>0.08</v>
      </c>
      <c r="F19" s="464">
        <f>SUM(F13:F18)</f>
        <v>340220</v>
      </c>
      <c r="G19" s="464">
        <f>SUM(G13:G18)</f>
        <v>374242</v>
      </c>
      <c r="H19" s="464">
        <f t="shared" ref="H19:M19" si="5">SUM(H13:H18)</f>
        <v>374242</v>
      </c>
      <c r="I19" s="464">
        <f t="shared" si="5"/>
        <v>374242</v>
      </c>
      <c r="J19" s="464">
        <f t="shared" si="5"/>
        <v>374242</v>
      </c>
      <c r="K19" s="239">
        <f t="shared" si="5"/>
        <v>0</v>
      </c>
      <c r="L19" s="239">
        <f>SUM(L13:L18)</f>
        <v>0</v>
      </c>
      <c r="M19" s="239">
        <f t="shared" si="5"/>
        <v>0</v>
      </c>
      <c r="N19" s="239"/>
      <c r="O19" s="336">
        <f>SUM(O13:O18)</f>
        <v>0</v>
      </c>
    </row>
    <row r="20" spans="2:17" x14ac:dyDescent="0.25">
      <c r="B20" s="719" t="s">
        <v>401</v>
      </c>
      <c r="C20" s="22" t="s">
        <v>402</v>
      </c>
      <c r="D20" s="140">
        <f>100%/12</f>
        <v>8.3333333333333329E-2</v>
      </c>
      <c r="E20" s="22"/>
      <c r="F20" s="444">
        <f>($B$6+$B$9)*D20</f>
        <v>93097.666666666657</v>
      </c>
      <c r="G20" s="444">
        <f>$D$20*(G6+G7)</f>
        <v>101431</v>
      </c>
      <c r="H20" s="444">
        <f>$D$20*(H6+H7)</f>
        <v>101431</v>
      </c>
      <c r="I20" s="444">
        <f>$D$20*(I6+I7)</f>
        <v>101431</v>
      </c>
      <c r="J20" s="444">
        <f>$D$20*(J6+J7)</f>
        <v>101431</v>
      </c>
      <c r="K20" s="444"/>
      <c r="L20" s="444"/>
      <c r="M20" s="444"/>
      <c r="N20" s="444"/>
      <c r="O20" s="444">
        <f>$D$20*(O6+O7)</f>
        <v>0</v>
      </c>
      <c r="P20" s="444">
        <f t="shared" ref="P20:P25" si="6">SUM(G20:O20)</f>
        <v>405724</v>
      </c>
    </row>
    <row r="21" spans="2:17" x14ac:dyDescent="0.25">
      <c r="B21" s="719"/>
      <c r="C21" s="22" t="s">
        <v>403</v>
      </c>
      <c r="D21" s="48">
        <v>8.3333333333333329E-2</v>
      </c>
      <c r="E21" s="22"/>
      <c r="F21" s="444">
        <f>($B$6+$B$9)*D21</f>
        <v>93097.666666666657</v>
      </c>
      <c r="G21" s="444">
        <f>$D$21*(G6+G7)</f>
        <v>101431</v>
      </c>
      <c r="H21" s="444">
        <f>$D$21*(H6+H7)</f>
        <v>101431</v>
      </c>
      <c r="I21" s="444">
        <f>$D$21*(I6+I7)</f>
        <v>101431</v>
      </c>
      <c r="J21" s="444">
        <f>$D$21*(J6+J7)</f>
        <v>101431</v>
      </c>
      <c r="K21" s="444"/>
      <c r="L21" s="444"/>
      <c r="M21" s="444"/>
      <c r="N21" s="444"/>
      <c r="O21" s="444">
        <f>$D$21*(O6+O7)</f>
        <v>0</v>
      </c>
      <c r="P21" s="444">
        <f t="shared" si="6"/>
        <v>405724</v>
      </c>
    </row>
    <row r="22" spans="2:17" x14ac:dyDescent="0.25">
      <c r="B22" s="719"/>
      <c r="C22" s="22" t="s">
        <v>404</v>
      </c>
      <c r="D22" s="45">
        <v>0.01</v>
      </c>
      <c r="E22" s="22"/>
      <c r="F22" s="444">
        <f>($B$6+$B$9)*D22</f>
        <v>11171.72</v>
      </c>
      <c r="G22" s="444">
        <f>$D$22*G21</f>
        <v>1014.3100000000001</v>
      </c>
      <c r="H22" s="444">
        <f t="shared" ref="H22:O22" si="7">$D$22*H21</f>
        <v>1014.3100000000001</v>
      </c>
      <c r="I22" s="444">
        <f t="shared" si="7"/>
        <v>1014.3100000000001</v>
      </c>
      <c r="J22" s="444">
        <f t="shared" si="7"/>
        <v>1014.3100000000001</v>
      </c>
      <c r="K22" s="444"/>
      <c r="L22" s="444"/>
      <c r="M22" s="444"/>
      <c r="N22" s="444"/>
      <c r="O22" s="444">
        <f t="shared" si="7"/>
        <v>0</v>
      </c>
      <c r="P22" s="444">
        <f t="shared" si="6"/>
        <v>4057.2400000000002</v>
      </c>
    </row>
    <row r="23" spans="2:17" x14ac:dyDescent="0.25">
      <c r="B23" s="719"/>
      <c r="C23" s="22" t="s">
        <v>405</v>
      </c>
      <c r="D23" s="48">
        <f>D21/2</f>
        <v>4.1666666666666664E-2</v>
      </c>
      <c r="E23" s="22"/>
      <c r="F23" s="444">
        <f>$B$6*D23</f>
        <v>41666.666666666664</v>
      </c>
      <c r="G23" s="444">
        <f>$D$23*G6</f>
        <v>45833.333333333328</v>
      </c>
      <c r="H23" s="444">
        <f>$D$23*H6</f>
        <v>45833.333333333328</v>
      </c>
      <c r="I23" s="444">
        <f>$D$23*I6</f>
        <v>45833.333333333328</v>
      </c>
      <c r="J23" s="444">
        <f>$D$23*J6</f>
        <v>45833.333333333328</v>
      </c>
      <c r="K23" s="444"/>
      <c r="L23" s="444"/>
      <c r="M23" s="444"/>
      <c r="N23" s="444"/>
      <c r="O23" s="444">
        <f>$D$23*O6</f>
        <v>0</v>
      </c>
      <c r="P23" s="444">
        <f t="shared" si="6"/>
        <v>183333.33333333331</v>
      </c>
    </row>
    <row r="24" spans="2:17" x14ac:dyDescent="0.25">
      <c r="C24" s="333" t="s">
        <v>289</v>
      </c>
      <c r="D24" s="334">
        <f>SUM(D21:D23)</f>
        <v>0.13499999999999998</v>
      </c>
      <c r="E24" s="337"/>
      <c r="F24" s="464">
        <f t="shared" ref="F24:O24" si="8">SUM(F20:F23)</f>
        <v>239033.71999999997</v>
      </c>
      <c r="G24" s="464">
        <f t="shared" si="8"/>
        <v>249709.64333333331</v>
      </c>
      <c r="H24" s="464">
        <f t="shared" si="8"/>
        <v>249709.64333333331</v>
      </c>
      <c r="I24" s="464">
        <f t="shared" si="8"/>
        <v>249709.64333333331</v>
      </c>
      <c r="J24" s="464">
        <f t="shared" si="8"/>
        <v>249709.64333333331</v>
      </c>
      <c r="K24" s="239">
        <f t="shared" si="8"/>
        <v>0</v>
      </c>
      <c r="L24" s="239">
        <f t="shared" si="8"/>
        <v>0</v>
      </c>
      <c r="M24" s="239">
        <f t="shared" si="8"/>
        <v>0</v>
      </c>
      <c r="N24" s="239">
        <f t="shared" si="8"/>
        <v>0</v>
      </c>
      <c r="O24" s="338">
        <f t="shared" si="8"/>
        <v>0</v>
      </c>
      <c r="P24" s="338">
        <f t="shared" si="6"/>
        <v>998838.57333333325</v>
      </c>
    </row>
    <row r="25" spans="2:17" x14ac:dyDescent="0.25">
      <c r="C25" s="269" t="s">
        <v>406</v>
      </c>
      <c r="D25" s="270">
        <f>SUM(D24+D20+D19)</f>
        <v>0.55855333333333335</v>
      </c>
      <c r="E25" s="271">
        <v>0.08</v>
      </c>
      <c r="F25" s="465">
        <f>B6+B9+F19+F24</f>
        <v>1696425.72</v>
      </c>
      <c r="G25" s="465">
        <f t="shared" ref="G25:M25" si="9">G24+G19</f>
        <v>623951.64333333331</v>
      </c>
      <c r="H25" s="465">
        <f t="shared" si="9"/>
        <v>623951.64333333331</v>
      </c>
      <c r="I25" s="465">
        <f t="shared" si="9"/>
        <v>623951.64333333331</v>
      </c>
      <c r="J25" s="465">
        <f t="shared" si="9"/>
        <v>623951.64333333331</v>
      </c>
      <c r="K25" s="272">
        <f t="shared" si="9"/>
        <v>0</v>
      </c>
      <c r="L25" s="272">
        <f t="shared" si="9"/>
        <v>0</v>
      </c>
      <c r="M25" s="272">
        <f t="shared" si="9"/>
        <v>0</v>
      </c>
      <c r="N25" s="272"/>
      <c r="O25" s="272">
        <f>O24+O19</f>
        <v>0</v>
      </c>
      <c r="P25" s="274">
        <f t="shared" si="6"/>
        <v>2495806.5733333332</v>
      </c>
    </row>
    <row r="27" spans="2:17" x14ac:dyDescent="0.25">
      <c r="C27" s="712" t="s">
        <v>407</v>
      </c>
      <c r="D27" s="712"/>
      <c r="E27" s="712"/>
      <c r="F27" s="712"/>
      <c r="G27" s="712"/>
      <c r="H27" s="712"/>
      <c r="I27" s="712"/>
      <c r="J27" s="712"/>
      <c r="K27" s="712"/>
      <c r="L27" s="712"/>
      <c r="M27" s="712"/>
      <c r="N27" s="712"/>
      <c r="O27" s="712"/>
      <c r="P27" s="43"/>
    </row>
    <row r="28" spans="2:17" x14ac:dyDescent="0.25">
      <c r="C28" s="234" t="s">
        <v>408</v>
      </c>
      <c r="D28" s="234" t="s">
        <v>346</v>
      </c>
      <c r="E28" s="234" t="s">
        <v>347</v>
      </c>
      <c r="F28" s="234" t="s">
        <v>348</v>
      </c>
      <c r="G28" s="234" t="s">
        <v>349</v>
      </c>
      <c r="H28" s="234" t="s">
        <v>350</v>
      </c>
      <c r="I28" s="234" t="s">
        <v>351</v>
      </c>
      <c r="J28" s="234" t="s">
        <v>352</v>
      </c>
      <c r="K28" s="234" t="s">
        <v>353</v>
      </c>
      <c r="L28" s="234" t="s">
        <v>354</v>
      </c>
      <c r="M28" s="234" t="s">
        <v>355</v>
      </c>
      <c r="N28" s="234" t="s">
        <v>356</v>
      </c>
      <c r="O28" s="234" t="s">
        <v>357</v>
      </c>
    </row>
    <row r="29" spans="2:17" x14ac:dyDescent="0.25">
      <c r="C29" s="22" t="s">
        <v>395</v>
      </c>
      <c r="D29" s="444">
        <f t="shared" ref="D29:D34" si="10">P13</f>
        <v>374000</v>
      </c>
      <c r="E29" s="444">
        <f>D29</f>
        <v>374000</v>
      </c>
      <c r="F29" s="444">
        <f t="shared" ref="F29:O29" si="11">E29</f>
        <v>374000</v>
      </c>
      <c r="G29" s="444">
        <f t="shared" si="11"/>
        <v>374000</v>
      </c>
      <c r="H29" s="444">
        <f t="shared" si="11"/>
        <v>374000</v>
      </c>
      <c r="I29" s="444">
        <f t="shared" si="11"/>
        <v>374000</v>
      </c>
      <c r="J29" s="444">
        <f t="shared" si="11"/>
        <v>374000</v>
      </c>
      <c r="K29" s="444">
        <f>J29</f>
        <v>374000</v>
      </c>
      <c r="L29" s="444">
        <f t="shared" si="11"/>
        <v>374000</v>
      </c>
      <c r="M29" s="444">
        <f t="shared" si="11"/>
        <v>374000</v>
      </c>
      <c r="N29" s="444">
        <f t="shared" si="11"/>
        <v>374000</v>
      </c>
      <c r="O29" s="444">
        <f t="shared" si="11"/>
        <v>374000</v>
      </c>
      <c r="Q29" s="43"/>
    </row>
    <row r="30" spans="2:17" x14ac:dyDescent="0.25">
      <c r="C30" s="22" t="s">
        <v>396</v>
      </c>
      <c r="D30" s="444">
        <f t="shared" si="10"/>
        <v>704000</v>
      </c>
      <c r="E30" s="444">
        <f t="shared" ref="E30:O39" si="12">D30</f>
        <v>704000</v>
      </c>
      <c r="F30" s="444">
        <f t="shared" si="12"/>
        <v>704000</v>
      </c>
      <c r="G30" s="444">
        <f t="shared" si="12"/>
        <v>704000</v>
      </c>
      <c r="H30" s="444">
        <f t="shared" si="12"/>
        <v>704000</v>
      </c>
      <c r="I30" s="444">
        <f t="shared" si="12"/>
        <v>704000</v>
      </c>
      <c r="J30" s="444">
        <f t="shared" si="12"/>
        <v>704000</v>
      </c>
      <c r="K30" s="444">
        <f t="shared" si="12"/>
        <v>704000</v>
      </c>
      <c r="L30" s="444">
        <f t="shared" si="12"/>
        <v>704000</v>
      </c>
      <c r="M30" s="444">
        <f t="shared" si="12"/>
        <v>704000</v>
      </c>
      <c r="N30" s="444">
        <f t="shared" si="12"/>
        <v>704000</v>
      </c>
      <c r="O30" s="444">
        <f t="shared" si="12"/>
        <v>704000</v>
      </c>
    </row>
    <row r="31" spans="2:17" x14ac:dyDescent="0.25">
      <c r="C31" s="22" t="s">
        <v>409</v>
      </c>
      <c r="D31" s="444">
        <f t="shared" si="10"/>
        <v>22968</v>
      </c>
      <c r="E31" s="444">
        <f t="shared" ref="E31:O31" si="13">D31</f>
        <v>22968</v>
      </c>
      <c r="F31" s="444">
        <f t="shared" si="13"/>
        <v>22968</v>
      </c>
      <c r="G31" s="444">
        <f t="shared" si="13"/>
        <v>22968</v>
      </c>
      <c r="H31" s="444">
        <f t="shared" si="13"/>
        <v>22968</v>
      </c>
      <c r="I31" s="444">
        <f t="shared" si="13"/>
        <v>22968</v>
      </c>
      <c r="J31" s="444">
        <f t="shared" si="13"/>
        <v>22968</v>
      </c>
      <c r="K31" s="444">
        <f t="shared" si="12"/>
        <v>22968</v>
      </c>
      <c r="L31" s="444">
        <f t="shared" si="13"/>
        <v>22968</v>
      </c>
      <c r="M31" s="444">
        <f t="shared" si="13"/>
        <v>22968</v>
      </c>
      <c r="N31" s="444">
        <f t="shared" si="13"/>
        <v>22968</v>
      </c>
      <c r="O31" s="444">
        <f t="shared" si="13"/>
        <v>22968</v>
      </c>
    </row>
    <row r="32" spans="2:17" x14ac:dyDescent="0.25">
      <c r="C32" s="22" t="s">
        <v>398</v>
      </c>
      <c r="D32" s="444">
        <f t="shared" si="10"/>
        <v>88000</v>
      </c>
      <c r="E32" s="444">
        <f t="shared" ref="E32:O32" si="14">D32</f>
        <v>88000</v>
      </c>
      <c r="F32" s="444">
        <f t="shared" si="14"/>
        <v>88000</v>
      </c>
      <c r="G32" s="444">
        <f t="shared" si="14"/>
        <v>88000</v>
      </c>
      <c r="H32" s="444">
        <f t="shared" si="14"/>
        <v>88000</v>
      </c>
      <c r="I32" s="444">
        <f t="shared" si="14"/>
        <v>88000</v>
      </c>
      <c r="J32" s="444">
        <f t="shared" si="14"/>
        <v>88000</v>
      </c>
      <c r="K32" s="444">
        <f t="shared" si="12"/>
        <v>88000</v>
      </c>
      <c r="L32" s="444">
        <f t="shared" si="14"/>
        <v>88000</v>
      </c>
      <c r="M32" s="444">
        <f t="shared" si="14"/>
        <v>88000</v>
      </c>
      <c r="N32" s="444">
        <f t="shared" si="14"/>
        <v>88000</v>
      </c>
      <c r="O32" s="444">
        <f t="shared" si="14"/>
        <v>88000</v>
      </c>
    </row>
    <row r="33" spans="3:16" x14ac:dyDescent="0.25">
      <c r="C33" s="22" t="s">
        <v>399</v>
      </c>
      <c r="D33" s="444">
        <f t="shared" si="10"/>
        <v>132000</v>
      </c>
      <c r="E33" s="444">
        <f t="shared" ref="E33:O33" si="15">D33</f>
        <v>132000</v>
      </c>
      <c r="F33" s="444">
        <f t="shared" si="15"/>
        <v>132000</v>
      </c>
      <c r="G33" s="444">
        <f t="shared" si="15"/>
        <v>132000</v>
      </c>
      <c r="H33" s="444">
        <f t="shared" si="15"/>
        <v>132000</v>
      </c>
      <c r="I33" s="444">
        <f t="shared" si="15"/>
        <v>132000</v>
      </c>
      <c r="J33" s="444">
        <f t="shared" si="15"/>
        <v>132000</v>
      </c>
      <c r="K33" s="444">
        <f t="shared" si="12"/>
        <v>132000</v>
      </c>
      <c r="L33" s="444">
        <f t="shared" si="15"/>
        <v>132000</v>
      </c>
      <c r="M33" s="444">
        <f t="shared" si="15"/>
        <v>132000</v>
      </c>
      <c r="N33" s="444">
        <f t="shared" si="15"/>
        <v>132000</v>
      </c>
      <c r="O33" s="444">
        <f t="shared" si="15"/>
        <v>132000</v>
      </c>
    </row>
    <row r="34" spans="3:16" x14ac:dyDescent="0.25">
      <c r="C34" s="22" t="s">
        <v>400</v>
      </c>
      <c r="D34" s="444">
        <f t="shared" si="10"/>
        <v>176000</v>
      </c>
      <c r="E34" s="444">
        <f t="shared" ref="E34:O34" si="16">D34</f>
        <v>176000</v>
      </c>
      <c r="F34" s="444">
        <f t="shared" si="16"/>
        <v>176000</v>
      </c>
      <c r="G34" s="444">
        <f t="shared" si="16"/>
        <v>176000</v>
      </c>
      <c r="H34" s="444">
        <f t="shared" si="16"/>
        <v>176000</v>
      </c>
      <c r="I34" s="444">
        <f t="shared" si="16"/>
        <v>176000</v>
      </c>
      <c r="J34" s="444">
        <f t="shared" si="16"/>
        <v>176000</v>
      </c>
      <c r="K34" s="444">
        <f t="shared" si="12"/>
        <v>176000</v>
      </c>
      <c r="L34" s="444">
        <f t="shared" si="16"/>
        <v>176000</v>
      </c>
      <c r="M34" s="444">
        <f t="shared" si="16"/>
        <v>176000</v>
      </c>
      <c r="N34" s="444">
        <f t="shared" si="16"/>
        <v>176000</v>
      </c>
      <c r="O34" s="444">
        <f t="shared" si="16"/>
        <v>176000</v>
      </c>
    </row>
    <row r="35" spans="3:16" x14ac:dyDescent="0.25">
      <c r="C35" s="5" t="s">
        <v>402</v>
      </c>
      <c r="D35" s="444">
        <f>P20</f>
        <v>405724</v>
      </c>
      <c r="E35" s="444">
        <f t="shared" ref="E35:E39" si="17">D35</f>
        <v>405724</v>
      </c>
      <c r="F35" s="444">
        <f t="shared" ref="F35:F39" si="18">E35</f>
        <v>405724</v>
      </c>
      <c r="G35" s="444">
        <f t="shared" ref="G35:G39" si="19">F35</f>
        <v>405724</v>
      </c>
      <c r="H35" s="444">
        <f t="shared" ref="H35:H39" si="20">G35</f>
        <v>405724</v>
      </c>
      <c r="I35" s="444">
        <f t="shared" ref="I35:J39" si="21">H35</f>
        <v>405724</v>
      </c>
      <c r="J35" s="444">
        <f t="shared" si="21"/>
        <v>405724</v>
      </c>
      <c r="K35" s="444">
        <f t="shared" si="12"/>
        <v>405724</v>
      </c>
      <c r="L35" s="444">
        <f t="shared" ref="L35:L39" si="22">K35</f>
        <v>405724</v>
      </c>
      <c r="M35" s="444">
        <f t="shared" ref="M35:M39" si="23">L35</f>
        <v>405724</v>
      </c>
      <c r="N35" s="444">
        <f t="shared" ref="N35:N39" si="24">M35</f>
        <v>405724</v>
      </c>
      <c r="O35" s="444">
        <f t="shared" ref="O35:O39" si="25">N35</f>
        <v>405724</v>
      </c>
    </row>
    <row r="36" spans="3:16" x14ac:dyDescent="0.25">
      <c r="C36" s="22" t="s">
        <v>403</v>
      </c>
      <c r="D36" s="444">
        <f>P21</f>
        <v>405724</v>
      </c>
      <c r="E36" s="444">
        <f t="shared" si="17"/>
        <v>405724</v>
      </c>
      <c r="F36" s="444">
        <f t="shared" si="18"/>
        <v>405724</v>
      </c>
      <c r="G36" s="444">
        <f t="shared" si="19"/>
        <v>405724</v>
      </c>
      <c r="H36" s="444">
        <f t="shared" si="20"/>
        <v>405724</v>
      </c>
      <c r="I36" s="444">
        <f t="shared" si="21"/>
        <v>405724</v>
      </c>
      <c r="J36" s="444">
        <f t="shared" si="21"/>
        <v>405724</v>
      </c>
      <c r="K36" s="444">
        <f t="shared" si="12"/>
        <v>405724</v>
      </c>
      <c r="L36" s="444">
        <f t="shared" si="22"/>
        <v>405724</v>
      </c>
      <c r="M36" s="444">
        <f t="shared" si="23"/>
        <v>405724</v>
      </c>
      <c r="N36" s="444">
        <f t="shared" si="24"/>
        <v>405724</v>
      </c>
      <c r="O36" s="444">
        <f t="shared" si="25"/>
        <v>405724</v>
      </c>
    </row>
    <row r="37" spans="3:16" x14ac:dyDescent="0.25">
      <c r="C37" s="22" t="s">
        <v>404</v>
      </c>
      <c r="D37" s="444">
        <f>P22</f>
        <v>4057.2400000000002</v>
      </c>
      <c r="E37" s="444">
        <f t="shared" si="17"/>
        <v>4057.2400000000002</v>
      </c>
      <c r="F37" s="444">
        <f t="shared" si="18"/>
        <v>4057.2400000000002</v>
      </c>
      <c r="G37" s="444">
        <f t="shared" si="19"/>
        <v>4057.2400000000002</v>
      </c>
      <c r="H37" s="444">
        <f t="shared" si="20"/>
        <v>4057.2400000000002</v>
      </c>
      <c r="I37" s="444">
        <f t="shared" si="21"/>
        <v>4057.2400000000002</v>
      </c>
      <c r="J37" s="444">
        <f t="shared" si="21"/>
        <v>4057.2400000000002</v>
      </c>
      <c r="K37" s="444">
        <f t="shared" si="12"/>
        <v>4057.2400000000002</v>
      </c>
      <c r="L37" s="444">
        <f t="shared" si="22"/>
        <v>4057.2400000000002</v>
      </c>
      <c r="M37" s="444">
        <f t="shared" si="23"/>
        <v>4057.2400000000002</v>
      </c>
      <c r="N37" s="444">
        <f t="shared" si="24"/>
        <v>4057.2400000000002</v>
      </c>
      <c r="O37" s="444">
        <f t="shared" si="25"/>
        <v>4057.2400000000002</v>
      </c>
    </row>
    <row r="38" spans="3:16" x14ac:dyDescent="0.25">
      <c r="C38" s="22" t="s">
        <v>405</v>
      </c>
      <c r="D38" s="444">
        <f>P23</f>
        <v>183333.33333333331</v>
      </c>
      <c r="E38" s="444">
        <f t="shared" si="17"/>
        <v>183333.33333333331</v>
      </c>
      <c r="F38" s="444">
        <f t="shared" si="18"/>
        <v>183333.33333333331</v>
      </c>
      <c r="G38" s="444">
        <f t="shared" si="19"/>
        <v>183333.33333333331</v>
      </c>
      <c r="H38" s="444">
        <f t="shared" si="20"/>
        <v>183333.33333333331</v>
      </c>
      <c r="I38" s="444">
        <f t="shared" si="21"/>
        <v>183333.33333333331</v>
      </c>
      <c r="J38" s="444">
        <f t="shared" si="21"/>
        <v>183333.33333333331</v>
      </c>
      <c r="K38" s="444">
        <f t="shared" si="12"/>
        <v>183333.33333333331</v>
      </c>
      <c r="L38" s="444">
        <f t="shared" si="22"/>
        <v>183333.33333333331</v>
      </c>
      <c r="M38" s="444">
        <f t="shared" si="23"/>
        <v>183333.33333333331</v>
      </c>
      <c r="N38" s="444">
        <f t="shared" si="24"/>
        <v>183333.33333333331</v>
      </c>
      <c r="O38" s="444">
        <f t="shared" si="25"/>
        <v>183333.33333333331</v>
      </c>
    </row>
    <row r="39" spans="3:16" x14ac:dyDescent="0.25">
      <c r="C39" s="22" t="s">
        <v>410</v>
      </c>
      <c r="D39" s="444">
        <f>P7</f>
        <v>468688</v>
      </c>
      <c r="E39" s="444">
        <f t="shared" si="17"/>
        <v>468688</v>
      </c>
      <c r="F39" s="444">
        <f t="shared" si="18"/>
        <v>468688</v>
      </c>
      <c r="G39" s="444">
        <f t="shared" si="19"/>
        <v>468688</v>
      </c>
      <c r="H39" s="444">
        <f t="shared" si="20"/>
        <v>468688</v>
      </c>
      <c r="I39" s="444">
        <f t="shared" si="21"/>
        <v>468688</v>
      </c>
      <c r="J39" s="444">
        <f t="shared" si="21"/>
        <v>468688</v>
      </c>
      <c r="K39" s="444">
        <f t="shared" si="12"/>
        <v>468688</v>
      </c>
      <c r="L39" s="444">
        <f t="shared" si="22"/>
        <v>468688</v>
      </c>
      <c r="M39" s="444">
        <f t="shared" si="23"/>
        <v>468688</v>
      </c>
      <c r="N39" s="444">
        <f t="shared" si="24"/>
        <v>468688</v>
      </c>
      <c r="O39" s="444">
        <f t="shared" si="25"/>
        <v>468688</v>
      </c>
    </row>
    <row r="40" spans="3:16" x14ac:dyDescent="0.25">
      <c r="C40" s="339" t="s">
        <v>83</v>
      </c>
      <c r="D40" s="340">
        <f t="shared" ref="D40:O40" si="26">SUM(D29:D39)</f>
        <v>2964494.5733333337</v>
      </c>
      <c r="E40" s="341">
        <f t="shared" si="26"/>
        <v>2964494.5733333337</v>
      </c>
      <c r="F40" s="340">
        <f t="shared" si="26"/>
        <v>2964494.5733333337</v>
      </c>
      <c r="G40" s="341">
        <f t="shared" si="26"/>
        <v>2964494.5733333337</v>
      </c>
      <c r="H40" s="341">
        <f t="shared" si="26"/>
        <v>2964494.5733333337</v>
      </c>
      <c r="I40" s="341">
        <f t="shared" si="26"/>
        <v>2964494.5733333337</v>
      </c>
      <c r="J40" s="341">
        <f t="shared" si="26"/>
        <v>2964494.5733333337</v>
      </c>
      <c r="K40" s="341">
        <f t="shared" si="26"/>
        <v>2964494.5733333337</v>
      </c>
      <c r="L40" s="341">
        <f t="shared" si="26"/>
        <v>2964494.5733333337</v>
      </c>
      <c r="M40" s="340">
        <f t="shared" si="26"/>
        <v>2964494.5733333337</v>
      </c>
      <c r="N40" s="341">
        <f t="shared" si="26"/>
        <v>2964494.5733333337</v>
      </c>
      <c r="O40" s="340">
        <f t="shared" si="26"/>
        <v>2964494.5733333337</v>
      </c>
      <c r="P40" s="49"/>
    </row>
    <row r="41" spans="3:16" x14ac:dyDescent="0.25">
      <c r="D41" s="43"/>
      <c r="F41" s="43"/>
    </row>
    <row r="43" spans="3:16" x14ac:dyDescent="0.25">
      <c r="C43" s="134" t="s">
        <v>411</v>
      </c>
      <c r="D43" s="134"/>
      <c r="E43" s="134"/>
      <c r="F43" s="134"/>
      <c r="G43" s="134"/>
      <c r="H43" s="134"/>
      <c r="I43" s="134"/>
      <c r="J43" s="134"/>
    </row>
    <row r="44" spans="3:16" x14ac:dyDescent="0.25">
      <c r="C44" s="134" t="s">
        <v>172</v>
      </c>
      <c r="D44" s="134" t="s">
        <v>174</v>
      </c>
      <c r="E44" s="134" t="s">
        <v>175</v>
      </c>
      <c r="F44" s="134" t="s">
        <v>189</v>
      </c>
      <c r="G44" s="134" t="s">
        <v>173</v>
      </c>
      <c r="H44" s="134" t="s">
        <v>70</v>
      </c>
      <c r="I44" s="134" t="s">
        <v>412</v>
      </c>
      <c r="J44" s="134" t="s">
        <v>413</v>
      </c>
    </row>
    <row r="45" spans="3:16" ht="14.25" customHeight="1" x14ac:dyDescent="0.25">
      <c r="C45" s="134" t="s">
        <v>414</v>
      </c>
      <c r="D45" s="134" t="s">
        <v>179</v>
      </c>
      <c r="E45" s="134">
        <v>5</v>
      </c>
      <c r="F45" s="134">
        <v>21300</v>
      </c>
      <c r="G45" s="134">
        <f>F45*E45</f>
        <v>106500</v>
      </c>
      <c r="H45" s="134">
        <f>G45/$G$58</f>
        <v>9.5250872015025495E-2</v>
      </c>
      <c r="I45" s="134">
        <f>G45*3</f>
        <v>319500</v>
      </c>
      <c r="J45" s="134">
        <f>I45/12</f>
        <v>26625</v>
      </c>
    </row>
    <row r="46" spans="3:16" ht="14.25" customHeight="1" x14ac:dyDescent="0.25">
      <c r="C46" s="134" t="s">
        <v>415</v>
      </c>
      <c r="D46" s="134" t="s">
        <v>179</v>
      </c>
      <c r="E46" s="134">
        <v>5</v>
      </c>
      <c r="F46" s="134">
        <v>14000</v>
      </c>
      <c r="G46" s="134">
        <f t="shared" ref="G46:G57" si="27">F46*E46</f>
        <v>70000</v>
      </c>
      <c r="H46" s="134">
        <f t="shared" ref="H46:H57" si="28">G46/$G$58</f>
        <v>6.2606206958232713E-2</v>
      </c>
      <c r="I46" s="134">
        <f t="shared" ref="I46:I57" si="29">G46*3</f>
        <v>210000</v>
      </c>
      <c r="J46" s="134">
        <f t="shared" ref="J46:J57" si="30">I46/12</f>
        <v>17500</v>
      </c>
    </row>
    <row r="47" spans="3:16" x14ac:dyDescent="0.25">
      <c r="C47" s="134" t="s">
        <v>416</v>
      </c>
      <c r="D47" s="134" t="s">
        <v>179</v>
      </c>
      <c r="E47" s="134">
        <v>5</v>
      </c>
      <c r="F47" s="134">
        <v>24000</v>
      </c>
      <c r="G47" s="134">
        <f t="shared" si="27"/>
        <v>120000</v>
      </c>
      <c r="H47" s="134">
        <f t="shared" si="28"/>
        <v>0.10732492621411323</v>
      </c>
      <c r="I47" s="134">
        <f t="shared" si="29"/>
        <v>360000</v>
      </c>
      <c r="J47" s="134">
        <f t="shared" si="30"/>
        <v>30000</v>
      </c>
    </row>
    <row r="48" spans="3:16" x14ac:dyDescent="0.25">
      <c r="C48" s="134" t="s">
        <v>417</v>
      </c>
      <c r="D48" s="134" t="s">
        <v>179</v>
      </c>
      <c r="E48" s="134">
        <v>4</v>
      </c>
      <c r="F48" s="134">
        <v>42000</v>
      </c>
      <c r="G48" s="134">
        <f t="shared" si="27"/>
        <v>168000</v>
      </c>
      <c r="H48" s="134">
        <f t="shared" si="28"/>
        <v>0.15025489669975853</v>
      </c>
      <c r="I48" s="134">
        <f t="shared" si="29"/>
        <v>504000</v>
      </c>
      <c r="J48" s="134">
        <f t="shared" si="30"/>
        <v>42000</v>
      </c>
    </row>
    <row r="49" spans="3:11" x14ac:dyDescent="0.25">
      <c r="C49" s="134" t="s">
        <v>418</v>
      </c>
      <c r="D49" s="134" t="s">
        <v>179</v>
      </c>
      <c r="E49" s="134">
        <v>4</v>
      </c>
      <c r="F49" s="134">
        <v>5500</v>
      </c>
      <c r="G49" s="134">
        <f t="shared" si="27"/>
        <v>22000</v>
      </c>
      <c r="H49" s="134">
        <f t="shared" si="28"/>
        <v>1.9676236472587424E-2</v>
      </c>
      <c r="I49" s="134">
        <f t="shared" si="29"/>
        <v>66000</v>
      </c>
      <c r="J49" s="134">
        <f t="shared" si="30"/>
        <v>5500</v>
      </c>
    </row>
    <row r="50" spans="3:11" x14ac:dyDescent="0.25">
      <c r="C50" s="134" t="s">
        <v>419</v>
      </c>
      <c r="D50" s="134" t="s">
        <v>420</v>
      </c>
      <c r="E50" s="134">
        <v>4</v>
      </c>
      <c r="F50" s="134">
        <f>5500</f>
        <v>5500</v>
      </c>
      <c r="G50" s="134">
        <f t="shared" si="27"/>
        <v>22000</v>
      </c>
      <c r="H50" s="134">
        <f t="shared" si="28"/>
        <v>1.9676236472587424E-2</v>
      </c>
      <c r="I50" s="134">
        <f t="shared" si="29"/>
        <v>66000</v>
      </c>
      <c r="J50" s="134">
        <f t="shared" si="30"/>
        <v>5500</v>
      </c>
    </row>
    <row r="51" spans="3:11" x14ac:dyDescent="0.25">
      <c r="C51" s="134" t="s">
        <v>421</v>
      </c>
      <c r="D51" s="134" t="s">
        <v>179</v>
      </c>
      <c r="E51" s="134">
        <v>5</v>
      </c>
      <c r="F51" s="134">
        <v>65000</v>
      </c>
      <c r="G51" s="134">
        <f t="shared" si="27"/>
        <v>325000</v>
      </c>
      <c r="H51" s="134">
        <f t="shared" si="28"/>
        <v>0.29067167516322334</v>
      </c>
      <c r="I51" s="134">
        <f t="shared" si="29"/>
        <v>975000</v>
      </c>
      <c r="J51" s="134">
        <f t="shared" si="30"/>
        <v>81250</v>
      </c>
    </row>
    <row r="52" spans="3:11" x14ac:dyDescent="0.25">
      <c r="C52" s="134" t="s">
        <v>422</v>
      </c>
      <c r="D52" s="134" t="s">
        <v>179</v>
      </c>
      <c r="E52" s="134">
        <v>4</v>
      </c>
      <c r="F52" s="134">
        <v>2150</v>
      </c>
      <c r="G52" s="134">
        <f t="shared" si="27"/>
        <v>8600</v>
      </c>
      <c r="H52" s="134">
        <f t="shared" si="28"/>
        <v>7.6916197120114483E-3</v>
      </c>
      <c r="I52" s="134">
        <f t="shared" si="29"/>
        <v>25800</v>
      </c>
      <c r="J52" s="134">
        <f t="shared" si="30"/>
        <v>2150</v>
      </c>
    </row>
    <row r="53" spans="3:11" x14ac:dyDescent="0.25">
      <c r="C53" s="134" t="s">
        <v>423</v>
      </c>
      <c r="D53" s="134" t="s">
        <v>179</v>
      </c>
      <c r="E53" s="134">
        <v>4</v>
      </c>
      <c r="F53" s="134">
        <v>21000</v>
      </c>
      <c r="G53" s="134">
        <f t="shared" si="27"/>
        <v>84000</v>
      </c>
      <c r="H53" s="134">
        <f t="shared" si="28"/>
        <v>7.5127448349879264E-2</v>
      </c>
      <c r="I53" s="134">
        <f>G53</f>
        <v>84000</v>
      </c>
      <c r="J53" s="134">
        <f t="shared" si="30"/>
        <v>7000</v>
      </c>
    </row>
    <row r="54" spans="3:11" x14ac:dyDescent="0.25">
      <c r="C54" s="134" t="s">
        <v>424</v>
      </c>
      <c r="D54" s="134" t="s">
        <v>420</v>
      </c>
      <c r="E54" s="134">
        <v>4</v>
      </c>
      <c r="F54" s="134">
        <f>2500</f>
        <v>2500</v>
      </c>
      <c r="G54" s="134">
        <f t="shared" si="27"/>
        <v>10000</v>
      </c>
      <c r="H54" s="134">
        <f t="shared" si="28"/>
        <v>8.9437438511761023E-3</v>
      </c>
      <c r="I54" s="134">
        <f t="shared" si="29"/>
        <v>30000</v>
      </c>
      <c r="J54" s="134">
        <f t="shared" si="30"/>
        <v>2500</v>
      </c>
    </row>
    <row r="55" spans="3:11" x14ac:dyDescent="0.25">
      <c r="C55" s="134" t="s">
        <v>425</v>
      </c>
      <c r="D55" s="134" t="s">
        <v>179</v>
      </c>
      <c r="E55" s="134">
        <v>4</v>
      </c>
      <c r="F55" s="134">
        <v>23000</v>
      </c>
      <c r="G55" s="134">
        <f t="shared" si="27"/>
        <v>92000</v>
      </c>
      <c r="H55" s="134">
        <f t="shared" si="28"/>
        <v>8.228244343082014E-2</v>
      </c>
      <c r="I55" s="134">
        <f>G55</f>
        <v>92000</v>
      </c>
      <c r="J55" s="134">
        <f t="shared" si="30"/>
        <v>7666.666666666667</v>
      </c>
    </row>
    <row r="56" spans="3:11" x14ac:dyDescent="0.25">
      <c r="C56" s="134" t="s">
        <v>426</v>
      </c>
      <c r="D56" s="134" t="s">
        <v>179</v>
      </c>
      <c r="E56" s="134">
        <v>20</v>
      </c>
      <c r="F56" s="134">
        <v>2500</v>
      </c>
      <c r="G56" s="134">
        <f t="shared" si="27"/>
        <v>50000</v>
      </c>
      <c r="H56" s="134">
        <f t="shared" si="28"/>
        <v>4.4718719255880508E-2</v>
      </c>
      <c r="I56" s="134">
        <f t="shared" si="29"/>
        <v>150000</v>
      </c>
      <c r="J56" s="134">
        <f t="shared" si="30"/>
        <v>12500</v>
      </c>
    </row>
    <row r="57" spans="3:11" x14ac:dyDescent="0.25">
      <c r="C57" s="134" t="s">
        <v>427</v>
      </c>
      <c r="D57" s="134" t="s">
        <v>179</v>
      </c>
      <c r="E57" s="134">
        <v>8</v>
      </c>
      <c r="F57" s="134">
        <v>5000</v>
      </c>
      <c r="G57" s="134">
        <f t="shared" si="27"/>
        <v>40000</v>
      </c>
      <c r="H57" s="134">
        <f t="shared" si="28"/>
        <v>3.5774975404704409E-2</v>
      </c>
      <c r="I57" s="134">
        <f t="shared" si="29"/>
        <v>120000</v>
      </c>
      <c r="J57" s="134">
        <f t="shared" si="30"/>
        <v>10000</v>
      </c>
    </row>
    <row r="58" spans="3:11" x14ac:dyDescent="0.25">
      <c r="C58" s="134" t="s">
        <v>186</v>
      </c>
      <c r="D58" s="134"/>
      <c r="E58" s="134"/>
      <c r="F58" s="134"/>
      <c r="G58" s="134">
        <f>SUM(G45:G57)</f>
        <v>1118100</v>
      </c>
      <c r="H58" s="134">
        <f>SUM(H45:H57)</f>
        <v>1.0000000000000002</v>
      </c>
      <c r="I58" s="134">
        <f>SUM(I45:I57)</f>
        <v>3002300</v>
      </c>
      <c r="J58" s="134">
        <f>SUM(J45:J57)</f>
        <v>250191.66666666666</v>
      </c>
      <c r="K58" s="49"/>
    </row>
    <row r="59" spans="3:11" x14ac:dyDescent="0.25">
      <c r="C59" s="134"/>
      <c r="D59" s="134"/>
      <c r="E59" s="134"/>
      <c r="F59" s="134"/>
      <c r="G59" s="134"/>
      <c r="H59" s="134"/>
      <c r="I59" s="134"/>
      <c r="J59" s="134"/>
    </row>
    <row r="60" spans="3:11" x14ac:dyDescent="0.25">
      <c r="C60" s="134" t="s">
        <v>428</v>
      </c>
      <c r="D60" s="134"/>
      <c r="E60" s="134"/>
      <c r="F60" s="134"/>
      <c r="G60" s="134"/>
      <c r="H60" s="134"/>
      <c r="I60" s="134"/>
      <c r="J60" s="134"/>
    </row>
    <row r="61" spans="3:11" x14ac:dyDescent="0.25">
      <c r="C61" s="134" t="s">
        <v>172</v>
      </c>
      <c r="D61" s="134" t="s">
        <v>174</v>
      </c>
      <c r="E61" s="134" t="s">
        <v>175</v>
      </c>
      <c r="F61" s="134" t="s">
        <v>189</v>
      </c>
      <c r="G61" s="134" t="s">
        <v>173</v>
      </c>
      <c r="H61" s="134" t="s">
        <v>70</v>
      </c>
      <c r="I61" s="134" t="s">
        <v>412</v>
      </c>
      <c r="J61" s="134" t="s">
        <v>413</v>
      </c>
    </row>
    <row r="62" spans="3:11" x14ac:dyDescent="0.25">
      <c r="C62" s="134" t="s">
        <v>414</v>
      </c>
      <c r="D62" s="134" t="s">
        <v>179</v>
      </c>
      <c r="E62" s="134">
        <v>3</v>
      </c>
      <c r="F62" s="134">
        <v>21300</v>
      </c>
      <c r="G62" s="134">
        <f>F62*E62</f>
        <v>63900</v>
      </c>
      <c r="H62" s="134">
        <f>G62/$G$64</f>
        <v>0.89495798319327735</v>
      </c>
      <c r="I62" s="134">
        <f>G62*4</f>
        <v>255600</v>
      </c>
      <c r="J62" s="134">
        <f>I62/12</f>
        <v>21300</v>
      </c>
    </row>
    <row r="63" spans="3:11" x14ac:dyDescent="0.25">
      <c r="C63" s="134" t="s">
        <v>426</v>
      </c>
      <c r="D63" s="134" t="s">
        <v>179</v>
      </c>
      <c r="E63" s="134">
        <v>3</v>
      </c>
      <c r="F63" s="134">
        <v>2500</v>
      </c>
      <c r="G63" s="134">
        <f t="shared" ref="G63" si="31">F63*E63</f>
        <v>7500</v>
      </c>
      <c r="H63" s="134">
        <f>G63/$G$64</f>
        <v>0.10504201680672269</v>
      </c>
      <c r="I63" s="134">
        <f>G63*4</f>
        <v>30000</v>
      </c>
      <c r="J63" s="134">
        <f>I63/12</f>
        <v>2500</v>
      </c>
    </row>
    <row r="64" spans="3:11" x14ac:dyDescent="0.25">
      <c r="C64" s="134" t="s">
        <v>186</v>
      </c>
      <c r="D64" s="134"/>
      <c r="E64" s="134"/>
      <c r="F64" s="134"/>
      <c r="G64" s="134">
        <f>SUM(G62:G63)</f>
        <v>71400</v>
      </c>
      <c r="H64" s="134">
        <f>SUM(H62:H63)</f>
        <v>1</v>
      </c>
      <c r="I64" s="134">
        <f>SUM(I62:I63)</f>
        <v>285600</v>
      </c>
      <c r="J64" s="134">
        <f>SUM(J62:J63)</f>
        <v>23800</v>
      </c>
    </row>
  </sheetData>
  <mergeCells count="6">
    <mergeCell ref="F4:P4"/>
    <mergeCell ref="C27:O27"/>
    <mergeCell ref="B11:F11"/>
    <mergeCell ref="B13:B18"/>
    <mergeCell ref="G11:O11"/>
    <mergeCell ref="B20:B23"/>
  </mergeCells>
  <phoneticPr fontId="10" type="noConversion"/>
  <pageMargins left="0.7" right="0.7" top="0.75" bottom="0.75" header="0.3" footer="0.3"/>
  <pageSetup orientation="portrait" r:id="rId1"/>
  <ignoredErrors>
    <ignoredError sqref="I53 I55" formula="1"/>
  </ignoredError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K19"/>
  <sheetViews>
    <sheetView zoomScaleNormal="100" workbookViewId="0">
      <selection activeCell="K5" sqref="K5"/>
    </sheetView>
  </sheetViews>
  <sheetFormatPr baseColWidth="10" defaultColWidth="11.5" defaultRowHeight="15" x14ac:dyDescent="0.25"/>
  <cols>
    <col min="1" max="1" width="11.5" style="1"/>
    <col min="2" max="2" width="13.375" style="1" customWidth="1"/>
    <col min="3" max="3" width="22.5" style="1" customWidth="1"/>
    <col min="4" max="4" width="16" style="1" customWidth="1"/>
    <col min="5" max="5" width="15.75" style="1" customWidth="1"/>
    <col min="6" max="6" width="15.625" style="1" customWidth="1"/>
    <col min="7" max="7" width="14.875" style="1" customWidth="1"/>
    <col min="8" max="8" width="17.5" style="1" customWidth="1"/>
    <col min="9" max="9" width="16.25" style="1" customWidth="1"/>
    <col min="10" max="16384" width="11.5" style="1"/>
  </cols>
  <sheetData>
    <row r="2" spans="2:11" x14ac:dyDescent="0.25">
      <c r="F2" s="514" t="str">
        <f>PrestSociales!B5</f>
        <v>SMMLV (2022)</v>
      </c>
      <c r="G2" s="444">
        <f>PrestSociales!B6</f>
        <v>1000000</v>
      </c>
      <c r="H2" s="186" t="str">
        <f>PrestSociales!B8</f>
        <v>Sub.Transporte (2022)</v>
      </c>
      <c r="I2" s="444">
        <f>PrestSociales!B9</f>
        <v>117172</v>
      </c>
    </row>
    <row r="4" spans="2:11" x14ac:dyDescent="0.25">
      <c r="B4" s="712" t="s">
        <v>429</v>
      </c>
      <c r="C4" s="712"/>
      <c r="D4" s="712"/>
      <c r="E4" s="712"/>
      <c r="F4" s="712"/>
      <c r="G4" s="712"/>
      <c r="H4" s="712"/>
      <c r="I4" s="712"/>
    </row>
    <row r="5" spans="2:11" ht="57" x14ac:dyDescent="0.25">
      <c r="B5" s="511" t="s">
        <v>430</v>
      </c>
      <c r="C5" s="511" t="s">
        <v>377</v>
      </c>
      <c r="D5" s="523" t="s">
        <v>431</v>
      </c>
      <c r="E5" s="523" t="s">
        <v>432</v>
      </c>
      <c r="F5" s="523" t="s">
        <v>433</v>
      </c>
      <c r="G5" s="523" t="s">
        <v>434</v>
      </c>
      <c r="H5" s="523" t="s">
        <v>435</v>
      </c>
      <c r="I5" s="523" t="s">
        <v>436</v>
      </c>
    </row>
    <row r="6" spans="2:11" x14ac:dyDescent="0.25">
      <c r="B6" s="720" t="s">
        <v>437</v>
      </c>
      <c r="C6" s="22" t="str">
        <f>PrestSociales!G5</f>
        <v>Gerente General</v>
      </c>
      <c r="D6" s="444">
        <f>PrestSociales!G6+I2</f>
        <v>1217172</v>
      </c>
      <c r="E6" s="444">
        <f>PrestSociales!G8</f>
        <v>623951.64333333331</v>
      </c>
      <c r="F6" s="444">
        <f>E6+D6</f>
        <v>1841123.6433333333</v>
      </c>
      <c r="G6" s="444">
        <f>F6*12</f>
        <v>22093483.719999999</v>
      </c>
      <c r="H6" s="444">
        <f>G6+(G6*ProyecciónIPC!$E$27)</f>
        <v>22829174.63439228</v>
      </c>
      <c r="I6" s="444">
        <f>H6+(H6*ProyecciónIPC!$E$28)</f>
        <v>23566830.925178763</v>
      </c>
    </row>
    <row r="7" spans="2:11" x14ac:dyDescent="0.25">
      <c r="B7" s="720"/>
      <c r="C7" s="22" t="str">
        <f>PrestSociales!H5</f>
        <v>Gerente Comercial</v>
      </c>
      <c r="D7" s="444">
        <f>PrestSociales!H6+I2</f>
        <v>1217172</v>
      </c>
      <c r="E7" s="444">
        <f>PrestSociales!H8</f>
        <v>623951.64333333331</v>
      </c>
      <c r="F7" s="444">
        <f>E7+D7</f>
        <v>1841123.6433333333</v>
      </c>
      <c r="G7" s="444">
        <f t="shared" ref="G7:G9" si="0">F7*12</f>
        <v>22093483.719999999</v>
      </c>
      <c r="H7" s="444">
        <f>G7+(G7*ProyecciónIPC!$E$27)</f>
        <v>22829174.63439228</v>
      </c>
      <c r="I7" s="444">
        <f>(H7*ProyecciónIPC!$E$28)+H7</f>
        <v>23566830.925178763</v>
      </c>
    </row>
    <row r="8" spans="2:11" x14ac:dyDescent="0.25">
      <c r="B8" s="720"/>
      <c r="C8" s="22" t="str">
        <f>PrestSociales!I5</f>
        <v>Gerente de Operaciones</v>
      </c>
      <c r="D8" s="444">
        <f>PrestSociales!I6+I2</f>
        <v>1217172</v>
      </c>
      <c r="E8" s="444">
        <f>PrestSociales!I8</f>
        <v>623951.64333333331</v>
      </c>
      <c r="F8" s="444">
        <f t="shared" ref="F8:F15" si="1">E8+D8</f>
        <v>1841123.6433333333</v>
      </c>
      <c r="G8" s="444">
        <f t="shared" si="0"/>
        <v>22093483.719999999</v>
      </c>
      <c r="H8" s="444">
        <f>G8+(G8*ProyecciónIPC!$E$27)</f>
        <v>22829174.63439228</v>
      </c>
      <c r="I8" s="444">
        <f>(H8*ProyecciónIPC!$E$28)+H8</f>
        <v>23566830.925178763</v>
      </c>
    </row>
    <row r="9" spans="2:11" x14ac:dyDescent="0.25">
      <c r="B9" s="720"/>
      <c r="C9" s="342" t="s">
        <v>438</v>
      </c>
      <c r="D9" s="343">
        <f>SUM(D6:D8)</f>
        <v>3651516</v>
      </c>
      <c r="E9" s="343">
        <f>SUM(E6:E8)</f>
        <v>1871854.93</v>
      </c>
      <c r="F9" s="343">
        <f t="shared" si="1"/>
        <v>5523370.9299999997</v>
      </c>
      <c r="G9" s="343">
        <f t="shared" si="0"/>
        <v>66280451.159999996</v>
      </c>
      <c r="H9" s="344">
        <f>G9+(G9*(ProyecciónIPC!$E$27+2%))</f>
        <v>69813132.926376835</v>
      </c>
      <c r="I9" s="344">
        <f>H9+(H9*(ProyecciónIPC!$E$28+2%))</f>
        <v>73465197.536021456</v>
      </c>
    </row>
    <row r="10" spans="2:11" ht="21" customHeight="1" x14ac:dyDescent="0.25">
      <c r="B10" s="658" t="s">
        <v>439</v>
      </c>
      <c r="C10" s="22" t="str">
        <f>PrestSociales!K5</f>
        <v>Honorarios Contador</v>
      </c>
      <c r="D10" s="444">
        <v>500000</v>
      </c>
      <c r="E10" s="444">
        <f>PrestSociales!K8</f>
        <v>0</v>
      </c>
      <c r="F10" s="444">
        <f>D10+E10</f>
        <v>500000</v>
      </c>
      <c r="G10" s="444">
        <f>F10*12</f>
        <v>6000000</v>
      </c>
      <c r="H10" s="444">
        <f>G10+(G10*ProyecciónIPC!$E$27)</f>
        <v>6199794</v>
      </c>
      <c r="I10" s="444">
        <f>(H10*ProyecciónIPC!$E$28)+H10</f>
        <v>6400121.7437279997</v>
      </c>
    </row>
    <row r="11" spans="2:11" ht="21.75" customHeight="1" x14ac:dyDescent="0.25">
      <c r="B11" s="659"/>
      <c r="C11" s="342" t="s">
        <v>440</v>
      </c>
      <c r="D11" s="345">
        <f>SUM(D10:D10)</f>
        <v>500000</v>
      </c>
      <c r="E11" s="345">
        <f>SUM(E10:E10)</f>
        <v>0</v>
      </c>
      <c r="F11" s="345">
        <f>SUM(F10:F10)</f>
        <v>500000</v>
      </c>
      <c r="G11" s="345">
        <f>SUM(G10:G10)</f>
        <v>6000000</v>
      </c>
      <c r="H11" s="344">
        <f>G11+(G11*(ProyecciónIPC!$E$27+2%))</f>
        <v>6319794</v>
      </c>
      <c r="I11" s="344">
        <f>H11+(H11*(ProyecciónIPC!$E$28+2%))</f>
        <v>6650395.063728</v>
      </c>
    </row>
    <row r="12" spans="2:11" x14ac:dyDescent="0.25">
      <c r="B12" s="721" t="s">
        <v>441</v>
      </c>
      <c r="C12" s="24" t="str">
        <f>PrestSociales!J5</f>
        <v>Desarrollador</v>
      </c>
      <c r="D12" s="444">
        <f>PrestSociales!J6+I2</f>
        <v>1217172</v>
      </c>
      <c r="E12" s="444">
        <f>PrestSociales!J8</f>
        <v>623951.64333333331</v>
      </c>
      <c r="F12" s="444">
        <f>E12+D12</f>
        <v>1841123.6433333333</v>
      </c>
      <c r="G12" s="444">
        <f>F12*12</f>
        <v>22093483.719999999</v>
      </c>
      <c r="H12" s="444">
        <f>G12+(G12*ProyecciónIPC!$E$27)</f>
        <v>22829174.63439228</v>
      </c>
      <c r="I12" s="444">
        <f>(H12*ProyecciónIPC!$E$28)+H12</f>
        <v>23566830.925178763</v>
      </c>
    </row>
    <row r="13" spans="2:11" hidden="1" x14ac:dyDescent="0.25">
      <c r="B13" s="722"/>
      <c r="C13" s="22">
        <f>PrestSociales!O5</f>
        <v>0</v>
      </c>
      <c r="D13" s="42">
        <f>PrestSociales!O6</f>
        <v>0</v>
      </c>
      <c r="E13" s="42">
        <f>PrestSociales!K8</f>
        <v>0</v>
      </c>
      <c r="F13" s="42">
        <f>E13+D13</f>
        <v>0</v>
      </c>
      <c r="G13" s="42">
        <f t="shared" ref="G13:G15" si="2">F13*12</f>
        <v>0</v>
      </c>
      <c r="H13" s="42">
        <f>G13+(G13*ProyecciónIPC!$E$27)</f>
        <v>0</v>
      </c>
      <c r="I13" s="42">
        <f>(H13*ProyecciónIPC!$E$28)+H13</f>
        <v>0</v>
      </c>
      <c r="K13" s="181"/>
    </row>
    <row r="14" spans="2:11" hidden="1" x14ac:dyDescent="0.25">
      <c r="B14" s="722"/>
      <c r="C14" s="22">
        <f>PrestSociales!N5</f>
        <v>0</v>
      </c>
      <c r="D14" s="42">
        <f>PrestSociales!N6</f>
        <v>0</v>
      </c>
      <c r="E14" s="42">
        <f>PrestSociales!L8</f>
        <v>0</v>
      </c>
      <c r="F14" s="42">
        <f t="shared" si="1"/>
        <v>0</v>
      </c>
      <c r="G14" s="42">
        <f t="shared" si="2"/>
        <v>0</v>
      </c>
      <c r="H14" s="42">
        <f>G14+(G14*ProyecciónIPC!$E$27)</f>
        <v>0</v>
      </c>
      <c r="I14" s="42">
        <f>(H14*ProyecciónIPC!$E$28)+H14</f>
        <v>0</v>
      </c>
    </row>
    <row r="15" spans="2:11" hidden="1" x14ac:dyDescent="0.25">
      <c r="B15" s="722"/>
      <c r="C15" s="22">
        <f>PrestSociales!M5</f>
        <v>0</v>
      </c>
      <c r="D15" s="42">
        <f>PrestSociales!M6</f>
        <v>0</v>
      </c>
      <c r="E15" s="42">
        <f>PrestSociales!M8</f>
        <v>0</v>
      </c>
      <c r="F15" s="42">
        <f t="shared" si="1"/>
        <v>0</v>
      </c>
      <c r="G15" s="42">
        <f t="shared" si="2"/>
        <v>0</v>
      </c>
      <c r="H15" s="42">
        <f>G15+(G15*ProyecciónIPC!$E$27)</f>
        <v>0</v>
      </c>
      <c r="I15" s="42">
        <f>(H15*ProyecciónIPC!$E$28)+H15</f>
        <v>0</v>
      </c>
    </row>
    <row r="16" spans="2:11" hidden="1" x14ac:dyDescent="0.25">
      <c r="B16" s="722"/>
      <c r="C16" s="5"/>
      <c r="D16" s="19"/>
      <c r="E16" s="19">
        <f>PrestSociales!O8</f>
        <v>0</v>
      </c>
      <c r="F16" s="19">
        <f>D16+E16</f>
        <v>0</v>
      </c>
      <c r="G16" s="19">
        <f>F16*12</f>
        <v>0</v>
      </c>
      <c r="H16" s="19">
        <f>G16+(G16*ProyecciónIPC!$E$27)</f>
        <v>0</v>
      </c>
      <c r="I16" s="19">
        <f>(H16*ProyecciónIPC!$E$28)+H16</f>
        <v>0</v>
      </c>
    </row>
    <row r="17" spans="2:9" x14ac:dyDescent="0.25">
      <c r="B17" s="723"/>
      <c r="C17" s="342" t="s">
        <v>442</v>
      </c>
      <c r="D17" s="343">
        <f>SUM(D12:D16)</f>
        <v>1217172</v>
      </c>
      <c r="E17" s="343">
        <f t="shared" ref="E17" si="3">SUM(E12:E16)</f>
        <v>623951.64333333331</v>
      </c>
      <c r="F17" s="343">
        <f>SUM(F12:F16)</f>
        <v>1841123.6433333333</v>
      </c>
      <c r="G17" s="343">
        <f>SUM(G12:G16)</f>
        <v>22093483.719999999</v>
      </c>
      <c r="H17" s="344">
        <f>G17+(G17*(ProyecciónIPC!$E$27+2%))</f>
        <v>23271044.308792278</v>
      </c>
      <c r="I17" s="344">
        <f>H17+(H17*(ProyecciónIPC!$E$28+2%))</f>
        <v>24488399.178673819</v>
      </c>
    </row>
    <row r="18" spans="2:9" x14ac:dyDescent="0.25">
      <c r="C18" s="441" t="s">
        <v>443</v>
      </c>
      <c r="D18" s="442">
        <f>D17+D11+D9</f>
        <v>5368688</v>
      </c>
      <c r="E18" s="442">
        <f>E17+E11+E9</f>
        <v>2495806.5733333332</v>
      </c>
      <c r="F18" s="442">
        <f>F17+F11+F9</f>
        <v>7864494.5733333332</v>
      </c>
      <c r="G18" s="443">
        <f>G17+G11+G9</f>
        <v>94373934.879999995</v>
      </c>
      <c r="H18" s="443">
        <f>SUM(H17+H11+H9)</f>
        <v>99403971.235169113</v>
      </c>
      <c r="I18" s="443">
        <f>SUM(I17+I11+I9)</f>
        <v>104603991.77842328</v>
      </c>
    </row>
    <row r="19" spans="2:9" x14ac:dyDescent="0.25">
      <c r="G19" s="2"/>
    </row>
  </sheetData>
  <mergeCells count="4">
    <mergeCell ref="B4:I4"/>
    <mergeCell ref="B6:B9"/>
    <mergeCell ref="B12:B17"/>
    <mergeCell ref="B10:B11"/>
  </mergeCells>
  <pageMargins left="0.7" right="0.7" top="0.75" bottom="0.75" header="0.3" footer="0.3"/>
  <pageSetup orientation="portrait" r:id="rId1"/>
  <ignoredErrors>
    <ignoredError sqref="I10 H10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X32"/>
  <sheetViews>
    <sheetView zoomScale="40" zoomScaleNormal="40" workbookViewId="0">
      <selection activeCell="Z13" sqref="Z13"/>
    </sheetView>
  </sheetViews>
  <sheetFormatPr baseColWidth="10" defaultColWidth="11" defaultRowHeight="17.25" x14ac:dyDescent="0.35"/>
  <cols>
    <col min="2" max="2" width="11.75" customWidth="1"/>
    <col min="3" max="3" width="13.375" customWidth="1"/>
    <col min="4" max="4" width="35.625" customWidth="1"/>
    <col min="5" max="5" width="20.625" customWidth="1"/>
    <col min="6" max="6" width="41.75" bestFit="1" customWidth="1"/>
    <col min="7" max="7" width="32.125" bestFit="1" customWidth="1"/>
    <col min="8" max="8" width="18" bestFit="1" customWidth="1"/>
    <col min="9" max="9" width="16.875" bestFit="1" customWidth="1"/>
  </cols>
  <sheetData>
    <row r="3" spans="2:24" ht="18" thickBot="1" x14ac:dyDescent="0.4"/>
    <row r="4" spans="2:24" x14ac:dyDescent="0.35">
      <c r="B4" s="618" t="s">
        <v>55</v>
      </c>
      <c r="C4" s="619"/>
      <c r="D4" s="619"/>
      <c r="E4" s="619"/>
      <c r="F4" s="619" t="s">
        <v>56</v>
      </c>
      <c r="G4" s="619"/>
      <c r="H4" s="619"/>
      <c r="I4" s="619"/>
      <c r="J4" s="619"/>
      <c r="K4" s="619"/>
      <c r="L4" s="620" t="s">
        <v>57</v>
      </c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556"/>
    </row>
    <row r="5" spans="2:24" ht="22.5" customHeight="1" x14ac:dyDescent="0.35">
      <c r="B5" s="621" t="s">
        <v>58</v>
      </c>
      <c r="C5" s="622" t="s">
        <v>59</v>
      </c>
      <c r="D5" s="622" t="s">
        <v>60</v>
      </c>
      <c r="E5" s="622" t="s">
        <v>61</v>
      </c>
      <c r="F5" s="622" t="s">
        <v>62</v>
      </c>
      <c r="G5" s="622" t="s">
        <v>63</v>
      </c>
      <c r="H5" s="622" t="s">
        <v>64</v>
      </c>
      <c r="I5" s="622"/>
      <c r="J5" s="622" t="s">
        <v>65</v>
      </c>
      <c r="K5" s="622"/>
      <c r="L5" s="623" t="s">
        <v>66</v>
      </c>
      <c r="M5" s="623"/>
      <c r="N5" s="623"/>
      <c r="O5" s="623"/>
      <c r="P5" s="623"/>
      <c r="Q5" s="623"/>
      <c r="R5" s="623"/>
      <c r="S5" s="623"/>
      <c r="T5" s="623"/>
      <c r="U5" s="623"/>
      <c r="V5" s="623"/>
      <c r="W5" s="623"/>
      <c r="X5" s="624"/>
    </row>
    <row r="6" spans="2:24" ht="21" customHeight="1" x14ac:dyDescent="0.35">
      <c r="B6" s="621"/>
      <c r="C6" s="622"/>
      <c r="D6" s="622"/>
      <c r="E6" s="622"/>
      <c r="F6" s="622"/>
      <c r="G6" s="622"/>
      <c r="H6" s="220" t="s">
        <v>67</v>
      </c>
      <c r="I6" s="220" t="s">
        <v>68</v>
      </c>
      <c r="J6" s="220" t="s">
        <v>69</v>
      </c>
      <c r="K6" s="220" t="s">
        <v>70</v>
      </c>
      <c r="L6" s="220" t="s">
        <v>71</v>
      </c>
      <c r="M6" s="220" t="s">
        <v>72</v>
      </c>
      <c r="N6" s="220" t="s">
        <v>73</v>
      </c>
      <c r="O6" s="220" t="s">
        <v>74</v>
      </c>
      <c r="P6" s="220" t="s">
        <v>75</v>
      </c>
      <c r="Q6" s="220" t="s">
        <v>76</v>
      </c>
      <c r="R6" s="220" t="s">
        <v>77</v>
      </c>
      <c r="S6" s="220" t="s">
        <v>78</v>
      </c>
      <c r="T6" s="220" t="s">
        <v>79</v>
      </c>
      <c r="U6" s="220" t="s">
        <v>80</v>
      </c>
      <c r="V6" s="220" t="s">
        <v>81</v>
      </c>
      <c r="W6" s="220" t="s">
        <v>82</v>
      </c>
      <c r="X6" s="557" t="s">
        <v>83</v>
      </c>
    </row>
    <row r="7" spans="2:24" ht="30" customHeight="1" x14ac:dyDescent="0.35">
      <c r="B7" s="627" t="s">
        <v>84</v>
      </c>
      <c r="C7" s="629" t="s">
        <v>85</v>
      </c>
      <c r="D7" s="210" t="s">
        <v>86</v>
      </c>
      <c r="E7" s="630" t="s">
        <v>87</v>
      </c>
      <c r="F7" s="196" t="s">
        <v>88</v>
      </c>
      <c r="G7" s="197" t="s">
        <v>89</v>
      </c>
      <c r="H7" s="197" t="s">
        <v>90</v>
      </c>
      <c r="I7" s="197" t="s">
        <v>91</v>
      </c>
      <c r="J7" s="215">
        <v>0</v>
      </c>
      <c r="K7" s="214">
        <f>J7/$J$32</f>
        <v>0</v>
      </c>
      <c r="L7" s="199">
        <v>0</v>
      </c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207">
        <f t="shared" ref="X7:X8" si="0">SUM(L7:W7)</f>
        <v>0</v>
      </c>
    </row>
    <row r="8" spans="2:24" ht="30" x14ac:dyDescent="0.35">
      <c r="B8" s="627"/>
      <c r="C8" s="629"/>
      <c r="D8" s="210" t="s">
        <v>42</v>
      </c>
      <c r="E8" s="630"/>
      <c r="F8" s="196" t="s">
        <v>92</v>
      </c>
      <c r="G8" s="197" t="s">
        <v>93</v>
      </c>
      <c r="H8" s="197" t="s">
        <v>94</v>
      </c>
      <c r="I8" s="197" t="s">
        <v>91</v>
      </c>
      <c r="J8" s="215">
        <v>0</v>
      </c>
      <c r="K8" s="214">
        <f t="shared" ref="K8:K11" si="1">J8/$J$32</f>
        <v>0</v>
      </c>
      <c r="L8" s="219">
        <v>0</v>
      </c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207">
        <f t="shared" si="0"/>
        <v>0</v>
      </c>
    </row>
    <row r="9" spans="2:24" ht="45" x14ac:dyDescent="0.35">
      <c r="B9" s="627"/>
      <c r="C9" s="629"/>
      <c r="D9" s="210" t="s">
        <v>23</v>
      </c>
      <c r="E9" s="630"/>
      <c r="F9" s="209" t="s">
        <v>95</v>
      </c>
      <c r="G9" s="197" t="s">
        <v>96</v>
      </c>
      <c r="H9" s="197" t="s">
        <v>94</v>
      </c>
      <c r="I9" s="197" t="s">
        <v>91</v>
      </c>
      <c r="J9" s="199">
        <v>250000</v>
      </c>
      <c r="K9" s="214">
        <f t="shared" si="1"/>
        <v>0.18111348571014599</v>
      </c>
      <c r="L9" s="221">
        <v>250000</v>
      </c>
      <c r="M9" s="221">
        <v>0</v>
      </c>
      <c r="N9" s="221">
        <v>0</v>
      </c>
      <c r="O9" s="221">
        <v>0</v>
      </c>
      <c r="P9" s="221">
        <v>0</v>
      </c>
      <c r="Q9" s="221">
        <v>0</v>
      </c>
      <c r="R9" s="221">
        <v>0</v>
      </c>
      <c r="S9" s="221">
        <v>0</v>
      </c>
      <c r="T9" s="221">
        <v>0</v>
      </c>
      <c r="U9" s="221">
        <v>0</v>
      </c>
      <c r="V9" s="221">
        <v>0</v>
      </c>
      <c r="W9" s="221">
        <v>0</v>
      </c>
      <c r="X9" s="207">
        <f>SUM(L9:W9)</f>
        <v>250000</v>
      </c>
    </row>
    <row r="10" spans="2:24" ht="31.5" x14ac:dyDescent="0.35">
      <c r="B10" s="627"/>
      <c r="C10" s="629"/>
      <c r="D10" s="210" t="s">
        <v>24</v>
      </c>
      <c r="E10" s="630"/>
      <c r="F10" s="209" t="s">
        <v>97</v>
      </c>
      <c r="G10" s="197" t="s">
        <v>98</v>
      </c>
      <c r="H10" s="197" t="s">
        <v>99</v>
      </c>
      <c r="I10" s="197" t="s">
        <v>91</v>
      </c>
      <c r="J10" s="215">
        <v>0</v>
      </c>
      <c r="K10" s="214">
        <f t="shared" si="1"/>
        <v>0</v>
      </c>
      <c r="L10" s="199">
        <v>0</v>
      </c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207">
        <f>SUM(L10:W10)</f>
        <v>0</v>
      </c>
    </row>
    <row r="11" spans="2:24" x14ac:dyDescent="0.35">
      <c r="B11" s="627"/>
      <c r="C11" s="629"/>
      <c r="D11" s="562"/>
      <c r="E11" s="562"/>
      <c r="F11" s="562"/>
      <c r="G11" s="562"/>
      <c r="H11" s="562"/>
      <c r="I11" s="562"/>
      <c r="J11" s="201">
        <f>SUM(J7:J10)</f>
        <v>250000</v>
      </c>
      <c r="K11" s="217">
        <f t="shared" si="1"/>
        <v>0.18111348571014599</v>
      </c>
      <c r="L11" s="562" t="s">
        <v>100</v>
      </c>
      <c r="M11" s="562"/>
      <c r="N11" s="562"/>
      <c r="O11" s="562"/>
      <c r="P11" s="562"/>
      <c r="Q11" s="562"/>
      <c r="R11" s="562"/>
      <c r="S11" s="562"/>
      <c r="T11" s="562"/>
      <c r="U11" s="562"/>
      <c r="V11" s="562"/>
      <c r="W11" s="562"/>
      <c r="X11" s="558">
        <f>SUM(X7:X10)</f>
        <v>250000</v>
      </c>
    </row>
    <row r="12" spans="2:24" ht="31.5" x14ac:dyDescent="0.35">
      <c r="B12" s="627"/>
      <c r="C12" s="629" t="s">
        <v>7</v>
      </c>
      <c r="D12" s="210" t="s">
        <v>44</v>
      </c>
      <c r="E12" s="630" t="s">
        <v>101</v>
      </c>
      <c r="F12" s="209" t="s">
        <v>102</v>
      </c>
      <c r="G12" s="209" t="s">
        <v>103</v>
      </c>
      <c r="H12" s="197" t="s">
        <v>94</v>
      </c>
      <c r="I12" s="197" t="s">
        <v>91</v>
      </c>
      <c r="J12" s="212">
        <v>70000</v>
      </c>
      <c r="K12" s="203">
        <f>J12/$J$32</f>
        <v>5.0711775998840872E-2</v>
      </c>
      <c r="L12" s="222">
        <v>70000</v>
      </c>
      <c r="M12" s="222">
        <v>70000</v>
      </c>
      <c r="N12" s="222">
        <v>70000</v>
      </c>
      <c r="O12" s="222">
        <v>70000</v>
      </c>
      <c r="P12" s="222">
        <v>70000</v>
      </c>
      <c r="Q12" s="222">
        <v>70000</v>
      </c>
      <c r="R12" s="222">
        <v>70000</v>
      </c>
      <c r="S12" s="222">
        <v>70000</v>
      </c>
      <c r="T12" s="222">
        <v>70000</v>
      </c>
      <c r="U12" s="222">
        <v>70000</v>
      </c>
      <c r="V12" s="222">
        <v>70000</v>
      </c>
      <c r="W12" s="222">
        <v>70000</v>
      </c>
      <c r="X12" s="207">
        <f>SUM(L12:W12)</f>
        <v>840000</v>
      </c>
    </row>
    <row r="13" spans="2:24" ht="31.5" x14ac:dyDescent="0.35">
      <c r="B13" s="627"/>
      <c r="C13" s="629"/>
      <c r="D13" s="210" t="s">
        <v>45</v>
      </c>
      <c r="E13" s="630"/>
      <c r="F13" s="209" t="s">
        <v>104</v>
      </c>
      <c r="G13" s="209" t="s">
        <v>105</v>
      </c>
      <c r="H13" s="210" t="s">
        <v>106</v>
      </c>
      <c r="I13" s="197" t="s">
        <v>90</v>
      </c>
      <c r="J13" s="215">
        <v>150000</v>
      </c>
      <c r="K13" s="203">
        <f t="shared" ref="K13:K30" si="2">J13/$J$32</f>
        <v>0.10866809142608759</v>
      </c>
      <c r="L13" s="222">
        <v>150000</v>
      </c>
      <c r="M13" s="222">
        <v>150000</v>
      </c>
      <c r="N13" s="222">
        <v>150000</v>
      </c>
      <c r="O13" s="222">
        <v>150000</v>
      </c>
      <c r="P13" s="222">
        <v>150000</v>
      </c>
      <c r="Q13" s="222">
        <v>150000</v>
      </c>
      <c r="R13" s="222">
        <v>150000</v>
      </c>
      <c r="S13" s="222">
        <v>150000</v>
      </c>
      <c r="T13" s="222">
        <v>150000</v>
      </c>
      <c r="U13" s="222">
        <v>150000</v>
      </c>
      <c r="V13" s="222">
        <v>150000</v>
      </c>
      <c r="W13" s="222">
        <v>150000</v>
      </c>
      <c r="X13" s="207">
        <f>SUM(L13:W13)</f>
        <v>1800000</v>
      </c>
    </row>
    <row r="14" spans="2:24" ht="44.25" customHeight="1" x14ac:dyDescent="0.35">
      <c r="B14" s="627"/>
      <c r="C14" s="629"/>
      <c r="D14" s="210" t="s">
        <v>107</v>
      </c>
      <c r="E14" s="630"/>
      <c r="F14" s="209" t="s">
        <v>108</v>
      </c>
      <c r="G14" s="209" t="s">
        <v>103</v>
      </c>
      <c r="H14" s="197" t="s">
        <v>94</v>
      </c>
      <c r="I14" s="197" t="s">
        <v>91</v>
      </c>
      <c r="J14" s="215">
        <v>0</v>
      </c>
      <c r="K14" s="203">
        <f t="shared" si="2"/>
        <v>0</v>
      </c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207">
        <f t="shared" ref="X14:X15" si="3">SUM(L14:W14)</f>
        <v>0</v>
      </c>
    </row>
    <row r="15" spans="2:24" ht="45" x14ac:dyDescent="0.35">
      <c r="B15" s="627"/>
      <c r="C15" s="629"/>
      <c r="D15" s="210" t="s">
        <v>109</v>
      </c>
      <c r="E15" s="630"/>
      <c r="F15" s="209" t="s">
        <v>110</v>
      </c>
      <c r="G15" s="196" t="s">
        <v>111</v>
      </c>
      <c r="H15" s="197" t="s">
        <v>99</v>
      </c>
      <c r="I15" s="197" t="s">
        <v>91</v>
      </c>
      <c r="J15" s="215">
        <v>0</v>
      </c>
      <c r="K15" s="203">
        <f t="shared" si="2"/>
        <v>0</v>
      </c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207">
        <f t="shared" si="3"/>
        <v>0</v>
      </c>
    </row>
    <row r="16" spans="2:24" x14ac:dyDescent="0.35">
      <c r="B16" s="627"/>
      <c r="C16" s="629"/>
      <c r="D16" s="562"/>
      <c r="E16" s="562"/>
      <c r="F16" s="562"/>
      <c r="G16" s="563"/>
      <c r="H16" s="563"/>
      <c r="I16" s="562"/>
      <c r="J16" s="202">
        <f>SUM(J12:J15)</f>
        <v>220000</v>
      </c>
      <c r="K16" s="218">
        <f t="shared" si="2"/>
        <v>0.15937986742492846</v>
      </c>
      <c r="L16" s="562"/>
      <c r="M16" s="562"/>
      <c r="N16" s="562"/>
      <c r="O16" s="562"/>
      <c r="P16" s="562"/>
      <c r="Q16" s="562"/>
      <c r="R16" s="562"/>
      <c r="S16" s="562"/>
      <c r="T16" s="562"/>
      <c r="U16" s="562"/>
      <c r="V16" s="562"/>
      <c r="W16" s="562"/>
      <c r="X16" s="559">
        <f>SUM(X12:X15)</f>
        <v>2640000</v>
      </c>
    </row>
    <row r="17" spans="2:24" ht="30" x14ac:dyDescent="0.35">
      <c r="B17" s="627"/>
      <c r="C17" s="629" t="s">
        <v>10</v>
      </c>
      <c r="D17" s="210" t="s">
        <v>47</v>
      </c>
      <c r="E17" s="630" t="s">
        <v>112</v>
      </c>
      <c r="F17" s="196" t="s">
        <v>113</v>
      </c>
      <c r="G17" s="196" t="s">
        <v>114</v>
      </c>
      <c r="H17" s="196" t="s">
        <v>90</v>
      </c>
      <c r="I17" s="196" t="s">
        <v>91</v>
      </c>
      <c r="J17" s="213">
        <v>0</v>
      </c>
      <c r="K17" s="203">
        <f t="shared" si="2"/>
        <v>0</v>
      </c>
      <c r="L17" s="204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560">
        <f>SUM(L17:W17)</f>
        <v>0</v>
      </c>
    </row>
    <row r="18" spans="2:24" ht="31.5" x14ac:dyDescent="0.35">
      <c r="B18" s="627"/>
      <c r="C18" s="629"/>
      <c r="D18" s="210" t="s">
        <v>48</v>
      </c>
      <c r="E18" s="630"/>
      <c r="F18" s="209" t="s">
        <v>115</v>
      </c>
      <c r="G18" s="196" t="s">
        <v>116</v>
      </c>
      <c r="H18" s="196" t="s">
        <v>94</v>
      </c>
      <c r="I18" s="196" t="s">
        <v>91</v>
      </c>
      <c r="J18" s="213">
        <v>100000</v>
      </c>
      <c r="K18" s="203">
        <f t="shared" si="2"/>
        <v>7.2445394284058384E-2</v>
      </c>
      <c r="L18" s="223">
        <v>100000</v>
      </c>
      <c r="M18" s="223">
        <v>100000</v>
      </c>
      <c r="N18" s="223">
        <v>100000</v>
      </c>
      <c r="O18" s="223">
        <v>100000</v>
      </c>
      <c r="P18" s="223">
        <v>100000</v>
      </c>
      <c r="Q18" s="223">
        <v>100000</v>
      </c>
      <c r="R18" s="223">
        <v>100000</v>
      </c>
      <c r="S18" s="223">
        <v>100000</v>
      </c>
      <c r="T18" s="223">
        <v>100000</v>
      </c>
      <c r="U18" s="223">
        <v>100000</v>
      </c>
      <c r="V18" s="223">
        <v>100000</v>
      </c>
      <c r="W18" s="223">
        <v>100000</v>
      </c>
      <c r="X18" s="560">
        <f>SUM(L18:W18)</f>
        <v>1200000</v>
      </c>
    </row>
    <row r="19" spans="2:24" ht="31.5" x14ac:dyDescent="0.35">
      <c r="B19" s="627"/>
      <c r="C19" s="629"/>
      <c r="D19" s="210" t="s">
        <v>29</v>
      </c>
      <c r="E19" s="630"/>
      <c r="F19" s="209" t="s">
        <v>117</v>
      </c>
      <c r="G19" s="196" t="s">
        <v>118</v>
      </c>
      <c r="H19" s="209" t="s">
        <v>99</v>
      </c>
      <c r="I19" s="196" t="s">
        <v>91</v>
      </c>
      <c r="J19" s="213">
        <v>0</v>
      </c>
      <c r="K19" s="203">
        <f t="shared" si="2"/>
        <v>0</v>
      </c>
      <c r="L19" s="204"/>
      <c r="M19" s="196"/>
      <c r="N19" s="196"/>
      <c r="O19" s="205"/>
      <c r="P19" s="205"/>
      <c r="Q19" s="205"/>
      <c r="R19" s="205"/>
      <c r="S19" s="205"/>
      <c r="T19" s="206"/>
      <c r="U19" s="205"/>
      <c r="V19" s="205"/>
      <c r="W19" s="205"/>
      <c r="X19" s="560">
        <f>SUM(L19:W19)</f>
        <v>0</v>
      </c>
    </row>
    <row r="20" spans="2:24" ht="31.5" x14ac:dyDescent="0.35">
      <c r="B20" s="627"/>
      <c r="C20" s="629"/>
      <c r="D20" s="564" t="s">
        <v>30</v>
      </c>
      <c r="E20" s="630"/>
      <c r="F20" s="209" t="s">
        <v>119</v>
      </c>
      <c r="G20" s="196" t="s">
        <v>120</v>
      </c>
      <c r="H20" s="196" t="s">
        <v>94</v>
      </c>
      <c r="I20" s="196" t="s">
        <v>91</v>
      </c>
      <c r="J20" s="213">
        <v>0</v>
      </c>
      <c r="K20" s="203">
        <f t="shared" si="2"/>
        <v>0</v>
      </c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560">
        <f>SUM(L20:W20)</f>
        <v>0</v>
      </c>
    </row>
    <row r="21" spans="2:24" x14ac:dyDescent="0.35">
      <c r="B21" s="627"/>
      <c r="C21" s="629"/>
      <c r="D21" s="562"/>
      <c r="E21" s="562"/>
      <c r="F21" s="562"/>
      <c r="G21" s="562"/>
      <c r="H21" s="562"/>
      <c r="I21" s="562"/>
      <c r="J21" s="565">
        <f>SUM(J17:J20)</f>
        <v>100000</v>
      </c>
      <c r="K21" s="218">
        <f t="shared" si="2"/>
        <v>7.2445394284058384E-2</v>
      </c>
      <c r="L21" s="562"/>
      <c r="M21" s="562"/>
      <c r="N21" s="562"/>
      <c r="O21" s="562"/>
      <c r="P21" s="562"/>
      <c r="Q21" s="562"/>
      <c r="R21" s="562"/>
      <c r="S21" s="562"/>
      <c r="T21" s="562"/>
      <c r="U21" s="562"/>
      <c r="V21" s="562"/>
      <c r="W21" s="562"/>
      <c r="X21" s="558">
        <f>SUM(X17:X20)</f>
        <v>1200000</v>
      </c>
    </row>
    <row r="22" spans="2:24" ht="30" customHeight="1" x14ac:dyDescent="0.35">
      <c r="B22" s="627"/>
      <c r="C22" s="626" t="s">
        <v>13</v>
      </c>
      <c r="D22" s="210" t="s">
        <v>50</v>
      </c>
      <c r="E22" s="625" t="s">
        <v>121</v>
      </c>
      <c r="F22" s="196" t="s">
        <v>122</v>
      </c>
      <c r="G22" s="197" t="s">
        <v>123</v>
      </c>
      <c r="H22" s="197" t="s">
        <v>124</v>
      </c>
      <c r="I22" s="197" t="s">
        <v>91</v>
      </c>
      <c r="J22" s="211">
        <v>0</v>
      </c>
      <c r="K22" s="203">
        <f t="shared" si="2"/>
        <v>0</v>
      </c>
      <c r="L22" s="198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207">
        <f>SUM(L22:W22)</f>
        <v>0</v>
      </c>
    </row>
    <row r="23" spans="2:24" ht="30" x14ac:dyDescent="0.35">
      <c r="B23" s="627"/>
      <c r="C23" s="626"/>
      <c r="D23" s="210" t="s">
        <v>51</v>
      </c>
      <c r="E23" s="625"/>
      <c r="F23" s="196" t="s">
        <v>125</v>
      </c>
      <c r="G23" s="197" t="s">
        <v>126</v>
      </c>
      <c r="H23" s="197" t="s">
        <v>124</v>
      </c>
      <c r="I23" s="197" t="s">
        <v>91</v>
      </c>
      <c r="J23" s="211">
        <v>0</v>
      </c>
      <c r="K23" s="203">
        <f t="shared" si="2"/>
        <v>0</v>
      </c>
      <c r="L23" s="197"/>
      <c r="M23" s="200"/>
      <c r="N23" s="200"/>
      <c r="O23" s="200"/>
      <c r="P23" s="200"/>
      <c r="Q23" s="200"/>
      <c r="R23" s="200"/>
      <c r="S23" s="200"/>
      <c r="T23" s="200"/>
      <c r="U23" s="200"/>
      <c r="V23" s="197"/>
      <c r="W23" s="197"/>
      <c r="X23" s="207">
        <f t="shared" ref="X23:X25" si="4">SUM(L23:W23)</f>
        <v>0</v>
      </c>
    </row>
    <row r="24" spans="2:24" ht="45" x14ac:dyDescent="0.35">
      <c r="B24" s="627"/>
      <c r="C24" s="626"/>
      <c r="D24" s="210" t="s">
        <v>33</v>
      </c>
      <c r="E24" s="625"/>
      <c r="F24" s="196" t="s">
        <v>127</v>
      </c>
      <c r="G24" s="197" t="s">
        <v>128</v>
      </c>
      <c r="H24" s="197" t="s">
        <v>124</v>
      </c>
      <c r="I24" s="197" t="s">
        <v>91</v>
      </c>
      <c r="J24" s="211">
        <v>710350</v>
      </c>
      <c r="K24" s="203">
        <f t="shared" si="2"/>
        <v>0.51461585829680878</v>
      </c>
      <c r="L24" s="222">
        <v>710350</v>
      </c>
      <c r="M24" s="222">
        <v>0</v>
      </c>
      <c r="N24" s="222">
        <v>0</v>
      </c>
      <c r="O24" s="222">
        <v>0</v>
      </c>
      <c r="P24" s="222">
        <v>0</v>
      </c>
      <c r="Q24" s="222">
        <v>0</v>
      </c>
      <c r="R24" s="222">
        <v>0</v>
      </c>
      <c r="S24" s="222">
        <v>0</v>
      </c>
      <c r="T24" s="222">
        <v>0</v>
      </c>
      <c r="U24" s="222">
        <v>0</v>
      </c>
      <c r="V24" s="222">
        <v>0</v>
      </c>
      <c r="W24" s="222">
        <v>0</v>
      </c>
      <c r="X24" s="207">
        <f t="shared" si="4"/>
        <v>710350</v>
      </c>
    </row>
    <row r="25" spans="2:24" ht="45" x14ac:dyDescent="0.35">
      <c r="B25" s="627"/>
      <c r="C25" s="626"/>
      <c r="D25" s="208" t="s">
        <v>32</v>
      </c>
      <c r="E25" s="625"/>
      <c r="F25" s="196" t="s">
        <v>129</v>
      </c>
      <c r="G25" s="197" t="s">
        <v>130</v>
      </c>
      <c r="H25" s="197" t="s">
        <v>124</v>
      </c>
      <c r="I25" s="197" t="s">
        <v>91</v>
      </c>
      <c r="J25" s="211">
        <v>0</v>
      </c>
      <c r="K25" s="203">
        <f t="shared" si="2"/>
        <v>0</v>
      </c>
      <c r="L25" s="197"/>
      <c r="M25" s="197"/>
      <c r="N25" s="197"/>
      <c r="O25" s="200"/>
      <c r="P25" s="200"/>
      <c r="Q25" s="200"/>
      <c r="R25" s="200"/>
      <c r="S25" s="200"/>
      <c r="T25" s="200"/>
      <c r="U25" s="200"/>
      <c r="V25" s="200"/>
      <c r="W25" s="200"/>
      <c r="X25" s="207">
        <f t="shared" si="4"/>
        <v>0</v>
      </c>
    </row>
    <row r="26" spans="2:24" x14ac:dyDescent="0.35">
      <c r="B26" s="627"/>
      <c r="C26" s="626"/>
      <c r="D26" s="225"/>
      <c r="E26" s="226"/>
      <c r="F26" s="227"/>
      <c r="G26" s="228"/>
      <c r="H26" s="228"/>
      <c r="I26" s="228"/>
      <c r="J26" s="216">
        <f>SUM(J22:J25)</f>
        <v>710350</v>
      </c>
      <c r="K26" s="218">
        <f t="shared" si="2"/>
        <v>0.51461585829680878</v>
      </c>
      <c r="L26" s="228"/>
      <c r="M26" s="228"/>
      <c r="N26" s="228"/>
      <c r="O26" s="229"/>
      <c r="P26" s="229"/>
      <c r="Q26" s="229"/>
      <c r="R26" s="229"/>
      <c r="S26" s="229"/>
      <c r="T26" s="229"/>
      <c r="U26" s="229"/>
      <c r="V26" s="229"/>
      <c r="W26" s="229"/>
      <c r="X26" s="561">
        <f>SUM(X22:X25)</f>
        <v>710350</v>
      </c>
    </row>
    <row r="27" spans="2:24" ht="45" x14ac:dyDescent="0.35">
      <c r="B27" s="627"/>
      <c r="C27" s="626" t="s">
        <v>16</v>
      </c>
      <c r="D27" s="208" t="s">
        <v>53</v>
      </c>
      <c r="E27" s="625" t="s">
        <v>131</v>
      </c>
      <c r="F27" s="209" t="s">
        <v>132</v>
      </c>
      <c r="G27" s="197" t="s">
        <v>133</v>
      </c>
      <c r="H27" s="210" t="s">
        <v>134</v>
      </c>
      <c r="I27" s="197" t="s">
        <v>90</v>
      </c>
      <c r="J27" s="211">
        <v>0</v>
      </c>
      <c r="K27" s="203">
        <f t="shared" si="2"/>
        <v>0</v>
      </c>
      <c r="L27" s="197"/>
      <c r="M27" s="197"/>
      <c r="N27" s="197"/>
      <c r="O27" s="200"/>
      <c r="P27" s="200"/>
      <c r="Q27" s="200"/>
      <c r="R27" s="200"/>
      <c r="S27" s="200"/>
      <c r="T27" s="200"/>
      <c r="U27" s="200"/>
      <c r="V27" s="200"/>
      <c r="W27" s="200"/>
      <c r="X27" s="207">
        <f>SUM(L27:W27)</f>
        <v>0</v>
      </c>
    </row>
    <row r="28" spans="2:24" ht="30" x14ac:dyDescent="0.35">
      <c r="B28" s="627"/>
      <c r="C28" s="626"/>
      <c r="D28" s="208" t="s">
        <v>54</v>
      </c>
      <c r="E28" s="625"/>
      <c r="F28" s="209" t="s">
        <v>135</v>
      </c>
      <c r="G28" s="210" t="s">
        <v>103</v>
      </c>
      <c r="H28" s="197" t="s">
        <v>94</v>
      </c>
      <c r="I28" s="197" t="s">
        <v>91</v>
      </c>
      <c r="J28" s="211">
        <v>0</v>
      </c>
      <c r="K28" s="203">
        <f t="shared" si="2"/>
        <v>0</v>
      </c>
      <c r="L28" s="197"/>
      <c r="M28" s="197"/>
      <c r="N28" s="197"/>
      <c r="O28" s="200"/>
      <c r="P28" s="200"/>
      <c r="Q28" s="200"/>
      <c r="R28" s="200"/>
      <c r="S28" s="200"/>
      <c r="T28" s="200"/>
      <c r="U28" s="200"/>
      <c r="V28" s="200"/>
      <c r="W28" s="200"/>
      <c r="X28" s="207">
        <f t="shared" ref="X28:X30" si="5">SUM(L28:W28)</f>
        <v>0</v>
      </c>
    </row>
    <row r="29" spans="2:24" ht="45" x14ac:dyDescent="0.35">
      <c r="B29" s="627"/>
      <c r="C29" s="626"/>
      <c r="D29" s="208" t="s">
        <v>36</v>
      </c>
      <c r="E29" s="625"/>
      <c r="F29" s="209" t="s">
        <v>136</v>
      </c>
      <c r="G29" s="197" t="s">
        <v>116</v>
      </c>
      <c r="H29" s="197" t="s">
        <v>94</v>
      </c>
      <c r="I29" s="197" t="s">
        <v>91</v>
      </c>
      <c r="J29" s="211">
        <v>100000</v>
      </c>
      <c r="K29" s="203">
        <f t="shared" si="2"/>
        <v>7.2445394284058384E-2</v>
      </c>
      <c r="L29" s="224">
        <v>100000</v>
      </c>
      <c r="M29" s="224">
        <v>100000</v>
      </c>
      <c r="N29" s="224">
        <v>100000</v>
      </c>
      <c r="O29" s="224">
        <v>100000</v>
      </c>
      <c r="P29" s="224">
        <v>100000</v>
      </c>
      <c r="Q29" s="224">
        <v>100000</v>
      </c>
      <c r="R29" s="224">
        <v>100000</v>
      </c>
      <c r="S29" s="224">
        <v>100000</v>
      </c>
      <c r="T29" s="224">
        <v>100000</v>
      </c>
      <c r="U29" s="224">
        <v>100000</v>
      </c>
      <c r="V29" s="224">
        <v>100000</v>
      </c>
      <c r="W29" s="224">
        <v>100000</v>
      </c>
      <c r="X29" s="207">
        <f t="shared" si="5"/>
        <v>1200000</v>
      </c>
    </row>
    <row r="30" spans="2:24" ht="30" x14ac:dyDescent="0.35">
      <c r="B30" s="627"/>
      <c r="C30" s="626"/>
      <c r="D30" s="208" t="s">
        <v>35</v>
      </c>
      <c r="E30" s="625"/>
      <c r="F30" s="566"/>
      <c r="G30" s="197"/>
      <c r="H30" s="197"/>
      <c r="I30" s="197"/>
      <c r="J30" s="211">
        <v>0</v>
      </c>
      <c r="K30" s="203">
        <f t="shared" si="2"/>
        <v>0</v>
      </c>
      <c r="L30" s="197"/>
      <c r="M30" s="197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7">
        <f t="shared" si="5"/>
        <v>0</v>
      </c>
    </row>
    <row r="31" spans="2:24" x14ac:dyDescent="0.35">
      <c r="B31" s="627"/>
      <c r="C31" s="567"/>
      <c r="D31" s="562"/>
      <c r="E31" s="562"/>
      <c r="F31" s="562"/>
      <c r="G31" s="562"/>
      <c r="H31" s="562"/>
      <c r="I31" s="562"/>
      <c r="J31" s="565">
        <f>SUM(J27:J30)</f>
        <v>100000</v>
      </c>
      <c r="K31" s="568">
        <f>J31/$J$32</f>
        <v>7.2445394284058384E-2</v>
      </c>
      <c r="L31" s="562"/>
      <c r="M31" s="562"/>
      <c r="N31" s="562"/>
      <c r="O31" s="562"/>
      <c r="P31" s="562"/>
      <c r="Q31" s="562"/>
      <c r="R31" s="562"/>
      <c r="S31" s="562"/>
      <c r="T31" s="562"/>
      <c r="U31" s="562"/>
      <c r="V31" s="562"/>
      <c r="W31" s="562"/>
      <c r="X31" s="558">
        <f>SUM(X27:X30)</f>
        <v>1200000</v>
      </c>
    </row>
    <row r="32" spans="2:24" ht="18" thickBot="1" x14ac:dyDescent="0.4">
      <c r="B32" s="628"/>
      <c r="C32" s="569"/>
      <c r="D32" s="569"/>
      <c r="E32" s="569"/>
      <c r="F32" s="569"/>
      <c r="G32" s="569"/>
      <c r="H32" s="569"/>
      <c r="I32" s="570" t="s">
        <v>137</v>
      </c>
      <c r="J32" s="571">
        <f>SUM(J11,J16,J21,J26,J31)</f>
        <v>1380350</v>
      </c>
      <c r="K32" s="230">
        <v>1</v>
      </c>
      <c r="L32" s="231">
        <f>SUM(L7:L30)</f>
        <v>1380350</v>
      </c>
      <c r="M32" s="231">
        <f t="shared" ref="M32:W32" si="6">SUM(M7:M30)</f>
        <v>420000</v>
      </c>
      <c r="N32" s="231">
        <f t="shared" si="6"/>
        <v>420000</v>
      </c>
      <c r="O32" s="231">
        <f t="shared" si="6"/>
        <v>420000</v>
      </c>
      <c r="P32" s="231">
        <f t="shared" si="6"/>
        <v>420000</v>
      </c>
      <c r="Q32" s="231">
        <f t="shared" si="6"/>
        <v>420000</v>
      </c>
      <c r="R32" s="231">
        <f t="shared" si="6"/>
        <v>420000</v>
      </c>
      <c r="S32" s="231">
        <f t="shared" si="6"/>
        <v>420000</v>
      </c>
      <c r="T32" s="231">
        <f t="shared" si="6"/>
        <v>420000</v>
      </c>
      <c r="U32" s="231">
        <f t="shared" si="6"/>
        <v>420000</v>
      </c>
      <c r="V32" s="231">
        <f t="shared" si="6"/>
        <v>420000</v>
      </c>
      <c r="W32" s="231">
        <f t="shared" si="6"/>
        <v>420000</v>
      </c>
      <c r="X32" s="232">
        <f>SUM(X11,X16,X21,X26,X31)</f>
        <v>6000350</v>
      </c>
    </row>
  </sheetData>
  <mergeCells count="23">
    <mergeCell ref="E22:E25"/>
    <mergeCell ref="C27:C30"/>
    <mergeCell ref="E27:E30"/>
    <mergeCell ref="B7:B32"/>
    <mergeCell ref="C7:C11"/>
    <mergeCell ref="E7:E10"/>
    <mergeCell ref="C12:C16"/>
    <mergeCell ref="E12:E15"/>
    <mergeCell ref="C17:C21"/>
    <mergeCell ref="E17:E20"/>
    <mergeCell ref="C22:C26"/>
    <mergeCell ref="B4:E4"/>
    <mergeCell ref="F4:K4"/>
    <mergeCell ref="L4:W4"/>
    <mergeCell ref="B5:B6"/>
    <mergeCell ref="C5:C6"/>
    <mergeCell ref="D5:D6"/>
    <mergeCell ref="E5:E6"/>
    <mergeCell ref="F5:F6"/>
    <mergeCell ref="G5:G6"/>
    <mergeCell ref="H5:I5"/>
    <mergeCell ref="J5:K5"/>
    <mergeCell ref="L5:X5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4:Q32"/>
  <sheetViews>
    <sheetView zoomScaleNormal="100" workbookViewId="0">
      <selection activeCell="D5" sqref="D5"/>
    </sheetView>
  </sheetViews>
  <sheetFormatPr baseColWidth="10" defaultColWidth="11.5" defaultRowHeight="15" x14ac:dyDescent="0.25"/>
  <cols>
    <col min="1" max="1" width="11.5" style="1"/>
    <col min="2" max="2" width="31.375" style="1" customWidth="1"/>
    <col min="3" max="3" width="15.5" style="1" customWidth="1"/>
    <col min="4" max="4" width="14" style="1" customWidth="1"/>
    <col min="5" max="17" width="13.125" style="1" customWidth="1"/>
    <col min="18" max="16384" width="11.5" style="1"/>
  </cols>
  <sheetData>
    <row r="4" spans="2:17" x14ac:dyDescent="0.25">
      <c r="B4" s="276" t="s">
        <v>444</v>
      </c>
      <c r="C4" s="513" t="s">
        <v>445</v>
      </c>
      <c r="D4" s="513" t="s">
        <v>69</v>
      </c>
      <c r="F4" s="513" t="s">
        <v>184</v>
      </c>
    </row>
    <row r="5" spans="2:17" x14ac:dyDescent="0.25">
      <c r="B5" s="22" t="s">
        <v>446</v>
      </c>
      <c r="C5" s="531" t="s">
        <v>447</v>
      </c>
      <c r="D5" s="444">
        <f>F5/(8*30)</f>
        <v>4166.666666666667</v>
      </c>
      <c r="F5" s="444">
        <f>PresPersonal!G2</f>
        <v>1000000</v>
      </c>
    </row>
    <row r="6" spans="2:17" x14ac:dyDescent="0.25">
      <c r="B6" s="22" t="s">
        <v>448</v>
      </c>
      <c r="C6" s="531" t="s">
        <v>449</v>
      </c>
      <c r="D6" s="444">
        <f>D5*1.35</f>
        <v>5625.0000000000009</v>
      </c>
    </row>
    <row r="7" spans="2:17" x14ac:dyDescent="0.25">
      <c r="B7" s="22" t="s">
        <v>450</v>
      </c>
      <c r="C7" s="531" t="s">
        <v>451</v>
      </c>
      <c r="D7" s="444">
        <f>D5*1.25</f>
        <v>5208.3333333333339</v>
      </c>
    </row>
    <row r="8" spans="2:17" x14ac:dyDescent="0.25">
      <c r="B8" s="22" t="s">
        <v>452</v>
      </c>
      <c r="C8" s="531" t="s">
        <v>453</v>
      </c>
      <c r="D8" s="444">
        <f>D5*1.75</f>
        <v>7291.666666666667</v>
      </c>
    </row>
    <row r="9" spans="2:17" x14ac:dyDescent="0.25">
      <c r="B9" s="22" t="s">
        <v>454</v>
      </c>
      <c r="C9" s="531" t="s">
        <v>453</v>
      </c>
      <c r="D9" s="444">
        <f>D5*1.75</f>
        <v>7291.666666666667</v>
      </c>
    </row>
    <row r="10" spans="2:17" x14ac:dyDescent="0.25">
      <c r="B10" s="22" t="s">
        <v>455</v>
      </c>
      <c r="C10" s="531" t="s">
        <v>456</v>
      </c>
      <c r="D10" s="444">
        <f>D5*2.1</f>
        <v>8750.0000000000018</v>
      </c>
    </row>
    <row r="11" spans="2:17" x14ac:dyDescent="0.25">
      <c r="B11" s="22" t="s">
        <v>457</v>
      </c>
      <c r="C11" s="531" t="s">
        <v>458</v>
      </c>
      <c r="D11" s="444">
        <f>D5*2</f>
        <v>8333.3333333333339</v>
      </c>
    </row>
    <row r="12" spans="2:17" x14ac:dyDescent="0.25">
      <c r="B12" s="22" t="s">
        <v>459</v>
      </c>
      <c r="C12" s="531" t="s">
        <v>460</v>
      </c>
      <c r="D12" s="444">
        <f>D5*2.5</f>
        <v>10416.666666666668</v>
      </c>
    </row>
    <row r="13" spans="2:17" x14ac:dyDescent="0.25">
      <c r="O13" s="51"/>
    </row>
    <row r="14" spans="2:17" x14ac:dyDescent="0.25">
      <c r="B14" s="724" t="s">
        <v>461</v>
      </c>
      <c r="C14" s="725"/>
      <c r="D14" s="725"/>
      <c r="E14" s="725"/>
      <c r="F14" s="725"/>
      <c r="G14" s="725"/>
      <c r="H14" s="725"/>
      <c r="I14" s="725"/>
      <c r="J14" s="725"/>
      <c r="K14" s="725"/>
      <c r="L14" s="725"/>
      <c r="M14" s="725"/>
      <c r="N14" s="725"/>
      <c r="O14" s="725"/>
      <c r="P14" s="725"/>
      <c r="Q14" s="726"/>
    </row>
    <row r="15" spans="2:17" x14ac:dyDescent="0.25">
      <c r="B15" s="348" t="s">
        <v>205</v>
      </c>
      <c r="C15" s="348" t="s">
        <v>346</v>
      </c>
      <c r="D15" s="348" t="s">
        <v>347</v>
      </c>
      <c r="E15" s="348" t="s">
        <v>348</v>
      </c>
      <c r="F15" s="348" t="s">
        <v>349</v>
      </c>
      <c r="G15" s="348" t="s">
        <v>350</v>
      </c>
      <c r="H15" s="348" t="s">
        <v>351</v>
      </c>
      <c r="I15" s="348" t="s">
        <v>352</v>
      </c>
      <c r="J15" s="348" t="s">
        <v>353</v>
      </c>
      <c r="K15" s="348" t="s">
        <v>354</v>
      </c>
      <c r="L15" s="348" t="s">
        <v>355</v>
      </c>
      <c r="M15" s="348" t="s">
        <v>356</v>
      </c>
      <c r="N15" s="348" t="s">
        <v>357</v>
      </c>
      <c r="O15" s="526" t="s">
        <v>232</v>
      </c>
      <c r="P15" s="526" t="s">
        <v>233</v>
      </c>
      <c r="Q15" s="137" t="s">
        <v>215</v>
      </c>
    </row>
    <row r="16" spans="2:17" x14ac:dyDescent="0.25">
      <c r="B16" s="468" t="s">
        <v>462</v>
      </c>
      <c r="C16" s="444">
        <v>0</v>
      </c>
      <c r="D16" s="444">
        <f>AtenciónDmda!D24</f>
        <v>0</v>
      </c>
      <c r="E16" s="444">
        <f>AtenciónDmda!E24</f>
        <v>0</v>
      </c>
      <c r="F16" s="444">
        <f>AtenciónDmda!F24</f>
        <v>0</v>
      </c>
      <c r="G16" s="444">
        <f>AtenciónDmda!G24</f>
        <v>0</v>
      </c>
      <c r="H16" s="444">
        <f>AtenciónDmda!H24</f>
        <v>0</v>
      </c>
      <c r="I16" s="444">
        <f>AtenciónDmda!I24</f>
        <v>0</v>
      </c>
      <c r="J16" s="444">
        <f>AtenciónDmda!J24</f>
        <v>0</v>
      </c>
      <c r="K16" s="444">
        <f>AtenciónDmda!K24</f>
        <v>0</v>
      </c>
      <c r="L16" s="444">
        <f>AtenciónDmda!L24</f>
        <v>0</v>
      </c>
      <c r="M16" s="444">
        <f>AtenciónDmda!M24</f>
        <v>0</v>
      </c>
      <c r="N16" s="444">
        <f>AtenciónDmda!N24</f>
        <v>0</v>
      </c>
      <c r="O16" s="467">
        <f>AtenciónDmda!O24</f>
        <v>0</v>
      </c>
      <c r="P16" s="467">
        <f>AtenciónDmda!P24</f>
        <v>0</v>
      </c>
      <c r="Q16" s="467">
        <f>AtenciónDmda!Q24</f>
        <v>0</v>
      </c>
    </row>
    <row r="17" spans="2:17" x14ac:dyDescent="0.25">
      <c r="B17" s="469" t="s">
        <v>463</v>
      </c>
      <c r="C17" s="444">
        <f>'HE-PersonalTemp'!C16*'HE-PersonalTemp'!$D$7</f>
        <v>0</v>
      </c>
      <c r="D17" s="444">
        <f>'HE-PersonalTemp'!D16*'HE-PersonalTemp'!$D$7</f>
        <v>0</v>
      </c>
      <c r="E17" s="444">
        <f>'HE-PersonalTemp'!E16*'HE-PersonalTemp'!$D$7</f>
        <v>0</v>
      </c>
      <c r="F17" s="444">
        <f>'HE-PersonalTemp'!F16*'HE-PersonalTemp'!$D$7</f>
        <v>0</v>
      </c>
      <c r="G17" s="444">
        <f>'HE-PersonalTemp'!G16*'HE-PersonalTemp'!$D$7</f>
        <v>0</v>
      </c>
      <c r="H17" s="444">
        <f>'HE-PersonalTemp'!H16*'HE-PersonalTemp'!$D$7</f>
        <v>0</v>
      </c>
      <c r="I17" s="444">
        <f>'HE-PersonalTemp'!I16*'HE-PersonalTemp'!$D$7</f>
        <v>0</v>
      </c>
      <c r="J17" s="444">
        <f>'HE-PersonalTemp'!J16*'HE-PersonalTemp'!$D$7</f>
        <v>0</v>
      </c>
      <c r="K17" s="444">
        <f>'HE-PersonalTemp'!K16*'HE-PersonalTemp'!$D$7</f>
        <v>0</v>
      </c>
      <c r="L17" s="444">
        <f>'HE-PersonalTemp'!L16*'HE-PersonalTemp'!$D$7</f>
        <v>0</v>
      </c>
      <c r="M17" s="444">
        <f>'HE-PersonalTemp'!M16*'HE-PersonalTemp'!$D$7</f>
        <v>0</v>
      </c>
      <c r="N17" s="444">
        <f>'HE-PersonalTemp'!N16*'HE-PersonalTemp'!$D$7</f>
        <v>0</v>
      </c>
      <c r="O17" s="467">
        <f>O16*$D$5</f>
        <v>0</v>
      </c>
      <c r="P17" s="467">
        <f>P16*$D$5</f>
        <v>0</v>
      </c>
      <c r="Q17" s="467">
        <f>Q16*($D$5+1*ProyecciónIPC!E28)</f>
        <v>0</v>
      </c>
    </row>
    <row r="18" spans="2:17" x14ac:dyDescent="0.25">
      <c r="B18" s="468" t="s">
        <v>464</v>
      </c>
      <c r="C18" s="444">
        <f>AtenciónDmda!C27</f>
        <v>0</v>
      </c>
      <c r="D18" s="444">
        <f>AtenciónDmda!D27</f>
        <v>0</v>
      </c>
      <c r="E18" s="444">
        <f>AtenciónDmda!E27</f>
        <v>0</v>
      </c>
      <c r="F18" s="444">
        <f>AtenciónDmda!F27</f>
        <v>0</v>
      </c>
      <c r="G18" s="444">
        <f>AtenciónDmda!G27</f>
        <v>0</v>
      </c>
      <c r="H18" s="444">
        <f>AtenciónDmda!H27</f>
        <v>0</v>
      </c>
      <c r="I18" s="444">
        <f>AtenciónDmda!I27</f>
        <v>0</v>
      </c>
      <c r="J18" s="444">
        <f>AtenciónDmda!J27</f>
        <v>0</v>
      </c>
      <c r="K18" s="444">
        <f>AtenciónDmda!K27</f>
        <v>0</v>
      </c>
      <c r="L18" s="444">
        <f>AtenciónDmda!L27</f>
        <v>0</v>
      </c>
      <c r="M18" s="444">
        <f>AtenciónDmda!M27</f>
        <v>0</v>
      </c>
      <c r="N18" s="444">
        <f>AtenciónDmda!N27</f>
        <v>0</v>
      </c>
      <c r="O18" s="467">
        <f>AtenciónDmda!O27</f>
        <v>0</v>
      </c>
      <c r="P18" s="467">
        <f>AtenciónDmda!P27</f>
        <v>0</v>
      </c>
      <c r="Q18" s="467">
        <f>AtenciónDmda!Q27</f>
        <v>0</v>
      </c>
    </row>
    <row r="19" spans="2:17" x14ac:dyDescent="0.25">
      <c r="B19" s="468" t="s">
        <v>465</v>
      </c>
      <c r="C19" s="444">
        <f>C18*$D$9</f>
        <v>0</v>
      </c>
      <c r="D19" s="444">
        <f t="shared" ref="D19:N19" si="0">D18*$D$9</f>
        <v>0</v>
      </c>
      <c r="E19" s="444">
        <f t="shared" si="0"/>
        <v>0</v>
      </c>
      <c r="F19" s="444">
        <f t="shared" si="0"/>
        <v>0</v>
      </c>
      <c r="G19" s="444">
        <f t="shared" si="0"/>
        <v>0</v>
      </c>
      <c r="H19" s="444">
        <f t="shared" si="0"/>
        <v>0</v>
      </c>
      <c r="I19" s="444">
        <f t="shared" si="0"/>
        <v>0</v>
      </c>
      <c r="J19" s="444">
        <f t="shared" si="0"/>
        <v>0</v>
      </c>
      <c r="K19" s="444">
        <f t="shared" si="0"/>
        <v>0</v>
      </c>
      <c r="L19" s="444">
        <f t="shared" si="0"/>
        <v>0</v>
      </c>
      <c r="M19" s="444">
        <f t="shared" si="0"/>
        <v>0</v>
      </c>
      <c r="N19" s="444">
        <f t="shared" si="0"/>
        <v>0</v>
      </c>
      <c r="O19" s="467">
        <f>O18*$D$9</f>
        <v>0</v>
      </c>
      <c r="P19" s="467">
        <f>P18*$D$9</f>
        <v>0</v>
      </c>
      <c r="Q19" s="467">
        <f>Q18*($D$9+1*ProyecciónIPC!E28)</f>
        <v>0</v>
      </c>
    </row>
    <row r="20" spans="2:17" x14ac:dyDescent="0.25">
      <c r="B20" s="136" t="s">
        <v>83</v>
      </c>
      <c r="C20" s="466">
        <f>C17+C19</f>
        <v>0</v>
      </c>
      <c r="D20" s="466">
        <f>D17+D19</f>
        <v>0</v>
      </c>
      <c r="E20" s="466">
        <f t="shared" ref="E20:P20" si="1">E17+E19</f>
        <v>0</v>
      </c>
      <c r="F20" s="466">
        <f t="shared" si="1"/>
        <v>0</v>
      </c>
      <c r="G20" s="466">
        <f t="shared" si="1"/>
        <v>0</v>
      </c>
      <c r="H20" s="466">
        <f t="shared" si="1"/>
        <v>0</v>
      </c>
      <c r="I20" s="466">
        <f t="shared" si="1"/>
        <v>0</v>
      </c>
      <c r="J20" s="466">
        <f t="shared" si="1"/>
        <v>0</v>
      </c>
      <c r="K20" s="466">
        <f t="shared" si="1"/>
        <v>0</v>
      </c>
      <c r="L20" s="466">
        <f t="shared" si="1"/>
        <v>0</v>
      </c>
      <c r="M20" s="466">
        <f t="shared" si="1"/>
        <v>0</v>
      </c>
      <c r="N20" s="466">
        <f t="shared" si="1"/>
        <v>0</v>
      </c>
      <c r="O20" s="467">
        <f t="shared" ref="O20" si="2">O17+O19</f>
        <v>0</v>
      </c>
      <c r="P20" s="467">
        <f t="shared" si="1"/>
        <v>0</v>
      </c>
      <c r="Q20" s="467">
        <f>Q17+Q19</f>
        <v>0</v>
      </c>
    </row>
    <row r="21" spans="2:17" x14ac:dyDescent="0.25"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2:17" x14ac:dyDescent="0.25">
      <c r="B22" s="724" t="s">
        <v>466</v>
      </c>
      <c r="C22" s="725"/>
      <c r="D22" s="725"/>
      <c r="E22" s="725"/>
      <c r="F22" s="725"/>
      <c r="G22" s="725"/>
      <c r="H22" s="725"/>
      <c r="I22" s="725"/>
      <c r="J22" s="725"/>
      <c r="K22" s="725"/>
      <c r="L22" s="725"/>
      <c r="M22" s="725"/>
      <c r="N22" s="725"/>
      <c r="O22" s="725"/>
      <c r="P22" s="725"/>
      <c r="Q22" s="726"/>
    </row>
    <row r="23" spans="2:17" x14ac:dyDescent="0.25">
      <c r="B23" s="348" t="s">
        <v>205</v>
      </c>
      <c r="C23" s="348" t="s">
        <v>346</v>
      </c>
      <c r="D23" s="348" t="s">
        <v>347</v>
      </c>
      <c r="E23" s="348" t="s">
        <v>348</v>
      </c>
      <c r="F23" s="348" t="s">
        <v>349</v>
      </c>
      <c r="G23" s="348" t="s">
        <v>350</v>
      </c>
      <c r="H23" s="348" t="s">
        <v>351</v>
      </c>
      <c r="I23" s="348" t="s">
        <v>352</v>
      </c>
      <c r="J23" s="348" t="s">
        <v>353</v>
      </c>
      <c r="K23" s="348" t="s">
        <v>354</v>
      </c>
      <c r="L23" s="348" t="s">
        <v>355</v>
      </c>
      <c r="M23" s="348" t="s">
        <v>356</v>
      </c>
      <c r="N23" s="348" t="s">
        <v>357</v>
      </c>
      <c r="O23" s="526" t="s">
        <v>232</v>
      </c>
      <c r="P23" s="526" t="s">
        <v>233</v>
      </c>
      <c r="Q23" s="137" t="s">
        <v>215</v>
      </c>
    </row>
    <row r="24" spans="2:17" x14ac:dyDescent="0.25">
      <c r="B24" s="22" t="s">
        <v>467</v>
      </c>
      <c r="C24" s="444">
        <f>PresPersonal!F17</f>
        <v>1841123.6433333333</v>
      </c>
      <c r="D24" s="444">
        <f t="shared" ref="D24:K24" si="3">C24</f>
        <v>1841123.6433333333</v>
      </c>
      <c r="E24" s="444">
        <f t="shared" si="3"/>
        <v>1841123.6433333333</v>
      </c>
      <c r="F24" s="444">
        <f t="shared" si="3"/>
        <v>1841123.6433333333</v>
      </c>
      <c r="G24" s="444">
        <f t="shared" si="3"/>
        <v>1841123.6433333333</v>
      </c>
      <c r="H24" s="444">
        <f t="shared" si="3"/>
        <v>1841123.6433333333</v>
      </c>
      <c r="I24" s="444">
        <f t="shared" si="3"/>
        <v>1841123.6433333333</v>
      </c>
      <c r="J24" s="444">
        <f t="shared" si="3"/>
        <v>1841123.6433333333</v>
      </c>
      <c r="K24" s="444">
        <f t="shared" si="3"/>
        <v>1841123.6433333333</v>
      </c>
      <c r="L24" s="444">
        <f>G24</f>
        <v>1841123.6433333333</v>
      </c>
      <c r="M24" s="444">
        <f>K24</f>
        <v>1841123.6433333333</v>
      </c>
      <c r="N24" s="444">
        <f>M24</f>
        <v>1841123.6433333333</v>
      </c>
      <c r="O24" s="467">
        <f>SUM(C24:N24)</f>
        <v>22093483.719999999</v>
      </c>
      <c r="P24" s="467">
        <f>PresPersonal!H17</f>
        <v>23271044.308792278</v>
      </c>
      <c r="Q24" s="467">
        <f>PresPersonal!I17</f>
        <v>24488399.178673819</v>
      </c>
    </row>
    <row r="25" spans="2:17" x14ac:dyDescent="0.25">
      <c r="B25" s="22" t="s">
        <v>468</v>
      </c>
      <c r="C25" s="444">
        <f t="shared" ref="C25:N25" si="4">C20</f>
        <v>0</v>
      </c>
      <c r="D25" s="444">
        <f t="shared" si="4"/>
        <v>0</v>
      </c>
      <c r="E25" s="444">
        <f t="shared" si="4"/>
        <v>0</v>
      </c>
      <c r="F25" s="444">
        <f t="shared" si="4"/>
        <v>0</v>
      </c>
      <c r="G25" s="444">
        <f t="shared" si="4"/>
        <v>0</v>
      </c>
      <c r="H25" s="444">
        <f t="shared" si="4"/>
        <v>0</v>
      </c>
      <c r="I25" s="444">
        <f t="shared" si="4"/>
        <v>0</v>
      </c>
      <c r="J25" s="444">
        <f t="shared" si="4"/>
        <v>0</v>
      </c>
      <c r="K25" s="444">
        <f t="shared" si="4"/>
        <v>0</v>
      </c>
      <c r="L25" s="444">
        <f t="shared" si="4"/>
        <v>0</v>
      </c>
      <c r="M25" s="444">
        <f t="shared" si="4"/>
        <v>0</v>
      </c>
      <c r="N25" s="444">
        <f t="shared" si="4"/>
        <v>0</v>
      </c>
      <c r="O25" s="467">
        <v>0</v>
      </c>
      <c r="P25" s="467">
        <f>P20</f>
        <v>0</v>
      </c>
      <c r="Q25" s="467">
        <f>Q20</f>
        <v>0</v>
      </c>
    </row>
    <row r="26" spans="2:17" x14ac:dyDescent="0.25">
      <c r="B26" s="22" t="s">
        <v>469</v>
      </c>
      <c r="C26" s="444">
        <f>(AtenciónDmda!C29*CapProd!$C$19)*$C$32</f>
        <v>0</v>
      </c>
      <c r="D26" s="444">
        <f>(AtenciónDmda!D29*CapProd!$C$19)*$C$32</f>
        <v>0</v>
      </c>
      <c r="E26" s="444">
        <f>(AtenciónDmda!E29*CapProd!$C$19)*$C$32</f>
        <v>0</v>
      </c>
      <c r="F26" s="444">
        <f>(AtenciónDmda!F29*CapProd!$C$19)*$C$32</f>
        <v>0</v>
      </c>
      <c r="G26" s="444">
        <f>(AtenciónDmda!G29*CapProd!$C$19)*$C$32</f>
        <v>0</v>
      </c>
      <c r="H26" s="444">
        <f>(AtenciónDmda!H29*CapProd!$C$19)*$C$32</f>
        <v>0</v>
      </c>
      <c r="I26" s="444">
        <f>(AtenciónDmda!I29*CapProd!$C$19)*$C$32</f>
        <v>0</v>
      </c>
      <c r="J26" s="444">
        <f>(AtenciónDmda!J29*CapProd!$C$19)*$C$32</f>
        <v>0</v>
      </c>
      <c r="K26" s="444">
        <f>(AtenciónDmda!K29*CapProd!$C$19)*$C$32</f>
        <v>0</v>
      </c>
      <c r="L26" s="444">
        <f>(AtenciónDmda!L29*CapProd!$C$19)*$C$32</f>
        <v>0</v>
      </c>
      <c r="M26" s="444">
        <f>(AtenciónDmda!M29*CapProd!$C$19)*$C$32</f>
        <v>0</v>
      </c>
      <c r="N26" s="444">
        <f>(AtenciónDmda!N29*CapProd!$C$19)*$C$32</f>
        <v>0</v>
      </c>
      <c r="O26" s="467">
        <f>SUM(C26:N26)</f>
        <v>0</v>
      </c>
      <c r="P26" s="467">
        <v>0</v>
      </c>
      <c r="Q26" s="467">
        <v>0</v>
      </c>
    </row>
    <row r="27" spans="2:17" x14ac:dyDescent="0.25">
      <c r="B27" s="526" t="s">
        <v>83</v>
      </c>
      <c r="C27" s="466">
        <f>SUM(C24:C26)</f>
        <v>1841123.6433333333</v>
      </c>
      <c r="D27" s="466">
        <f t="shared" ref="D27:N27" si="5">SUM(D24:D26)</f>
        <v>1841123.6433333333</v>
      </c>
      <c r="E27" s="466">
        <f t="shared" si="5"/>
        <v>1841123.6433333333</v>
      </c>
      <c r="F27" s="466">
        <f t="shared" si="5"/>
        <v>1841123.6433333333</v>
      </c>
      <c r="G27" s="466">
        <f t="shared" si="5"/>
        <v>1841123.6433333333</v>
      </c>
      <c r="H27" s="466">
        <f t="shared" si="5"/>
        <v>1841123.6433333333</v>
      </c>
      <c r="I27" s="466">
        <f t="shared" si="5"/>
        <v>1841123.6433333333</v>
      </c>
      <c r="J27" s="466">
        <f t="shared" si="5"/>
        <v>1841123.6433333333</v>
      </c>
      <c r="K27" s="466">
        <f t="shared" si="5"/>
        <v>1841123.6433333333</v>
      </c>
      <c r="L27" s="466">
        <f t="shared" si="5"/>
        <v>1841123.6433333333</v>
      </c>
      <c r="M27" s="466">
        <f t="shared" si="5"/>
        <v>1841123.6433333333</v>
      </c>
      <c r="N27" s="466">
        <f t="shared" si="5"/>
        <v>1841123.6433333333</v>
      </c>
      <c r="O27" s="467">
        <f>SUM(C27:N27)</f>
        <v>22093483.719999999</v>
      </c>
      <c r="P27" s="467">
        <f>SUM(P24:P26)</f>
        <v>23271044.308792278</v>
      </c>
      <c r="Q27" s="467">
        <f>SUM(Q24:Q26)</f>
        <v>24488399.178673819</v>
      </c>
    </row>
    <row r="30" spans="2:17" x14ac:dyDescent="0.25">
      <c r="B30" s="727" t="s">
        <v>470</v>
      </c>
      <c r="C30" s="727"/>
    </row>
    <row r="31" spans="2:17" x14ac:dyDescent="0.25">
      <c r="B31" s="134" t="s">
        <v>471</v>
      </c>
      <c r="C31" s="138"/>
    </row>
    <row r="32" spans="2:17" x14ac:dyDescent="0.25">
      <c r="B32" s="134" t="s">
        <v>472</v>
      </c>
      <c r="C32" s="139">
        <f>C31/16</f>
        <v>0</v>
      </c>
    </row>
  </sheetData>
  <mergeCells count="3">
    <mergeCell ref="B14:Q14"/>
    <mergeCell ref="B22:Q22"/>
    <mergeCell ref="B30:C3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4:F20"/>
  <sheetViews>
    <sheetView zoomScaleNormal="100" workbookViewId="0">
      <selection activeCell="I10" sqref="I10"/>
    </sheetView>
  </sheetViews>
  <sheetFormatPr baseColWidth="10" defaultColWidth="11.5" defaultRowHeight="15" x14ac:dyDescent="0.25"/>
  <cols>
    <col min="1" max="1" width="11.5" style="1"/>
    <col min="2" max="2" width="26.375" style="1" customWidth="1"/>
    <col min="3" max="3" width="43.25" style="1" customWidth="1"/>
    <col min="4" max="5" width="12.5" style="1" bestFit="1" customWidth="1"/>
    <col min="6" max="6" width="12.875" style="1" customWidth="1"/>
    <col min="7" max="16384" width="11.5" style="1"/>
  </cols>
  <sheetData>
    <row r="4" spans="2:6" x14ac:dyDescent="0.25">
      <c r="B4" s="728" t="s">
        <v>473</v>
      </c>
      <c r="C4" s="728"/>
      <c r="D4" s="728"/>
      <c r="E4" s="728"/>
      <c r="F4" s="728"/>
    </row>
    <row r="5" spans="2:6" x14ac:dyDescent="0.25">
      <c r="B5" s="648" t="s">
        <v>474</v>
      </c>
      <c r="C5" s="648"/>
      <c r="D5" s="513" t="s">
        <v>232</v>
      </c>
      <c r="E5" s="513" t="s">
        <v>233</v>
      </c>
      <c r="F5" s="277" t="s">
        <v>215</v>
      </c>
    </row>
    <row r="6" spans="2:6" x14ac:dyDescent="0.25">
      <c r="B6" s="729" t="s">
        <v>475</v>
      </c>
      <c r="C6" s="22" t="s">
        <v>476</v>
      </c>
      <c r="D6" s="444">
        <f>InvActivosFijos!J5</f>
        <v>1930000</v>
      </c>
      <c r="E6" s="444">
        <f>InvActivosFijos!J5+(InvActivosFijos!J5*ProyecciónIPC!E27)</f>
        <v>1994267.07</v>
      </c>
      <c r="F6" s="444">
        <f>InvActivosFijos!J5+(InvActivosFijos!J5*ProyecciónIPC!E28)</f>
        <v>1992362.16</v>
      </c>
    </row>
    <row r="7" spans="2:6" x14ac:dyDescent="0.25">
      <c r="B7" s="730"/>
      <c r="C7" s="22" t="s">
        <v>477</v>
      </c>
      <c r="D7" s="444">
        <f>PresPersonal!G17</f>
        <v>22093483.719999999</v>
      </c>
      <c r="E7" s="444">
        <f>PresPersonal!H17</f>
        <v>23271044.308792278</v>
      </c>
      <c r="F7" s="444">
        <f>PresPersonal!I17</f>
        <v>24488399.178673819</v>
      </c>
    </row>
    <row r="8" spans="2:6" x14ac:dyDescent="0.25">
      <c r="B8" s="730"/>
      <c r="C8" s="22" t="s">
        <v>478</v>
      </c>
      <c r="D8" s="444">
        <f>'HE-PersonalTemp'!O20</f>
        <v>0</v>
      </c>
      <c r="E8" s="444">
        <f>'HE-PersonalTemp'!P20</f>
        <v>0</v>
      </c>
      <c r="F8" s="444">
        <f>'HE-PersonalTemp'!Q20</f>
        <v>0</v>
      </c>
    </row>
    <row r="9" spans="2:6" x14ac:dyDescent="0.25">
      <c r="B9" s="730"/>
      <c r="C9" s="22" t="s">
        <v>479</v>
      </c>
      <c r="D9" s="444">
        <f>'Egre$PlanOrgá'!T27</f>
        <v>12061708.333333334</v>
      </c>
      <c r="E9" s="444">
        <f>'Egre$PlanOrgá'!U27</f>
        <v>16254439.081875</v>
      </c>
      <c r="F9" s="444">
        <f>'Egre$PlanOrgá'!V27</f>
        <v>17104988.312599994</v>
      </c>
    </row>
    <row r="10" spans="2:6" x14ac:dyDescent="0.25">
      <c r="B10" s="730"/>
      <c r="C10" s="22" t="s">
        <v>480</v>
      </c>
      <c r="D10" s="444">
        <f>'Egre$PlanMix'!T30</f>
        <v>20173760.025481768</v>
      </c>
      <c r="E10" s="444">
        <f>'Egre$PlanMix'!U30</f>
        <v>27589666.84487243</v>
      </c>
      <c r="F10" s="444">
        <f>'Egre$PlanMix'!V30</f>
        <v>29033356.768139742</v>
      </c>
    </row>
    <row r="11" spans="2:6" x14ac:dyDescent="0.25">
      <c r="B11" s="730"/>
      <c r="C11" s="511" t="s">
        <v>481</v>
      </c>
      <c r="D11" s="470">
        <f>((D6+D7)*0.4)+D8+D9</f>
        <v>21671101.821333334</v>
      </c>
      <c r="E11" s="470">
        <f>((E6+E7)*0.4)+E8+E9</f>
        <v>26360563.633391913</v>
      </c>
      <c r="F11" s="470">
        <f>((F6+F7)*0.4)+F8+F9</f>
        <v>27697292.848069523</v>
      </c>
    </row>
    <row r="12" spans="2:6" x14ac:dyDescent="0.25">
      <c r="B12" s="731"/>
      <c r="C12" s="511" t="s">
        <v>482</v>
      </c>
      <c r="D12" s="470">
        <f>((D6+D7)*0.6)+D8+D10</f>
        <v>34587850.257481769</v>
      </c>
      <c r="E12" s="470">
        <f>((E6+E7)*0.6)+E8+E10</f>
        <v>42748853.672147796</v>
      </c>
      <c r="F12" s="470">
        <f>((F6+F7)*0.6)+F8+F10</f>
        <v>44921813.571344033</v>
      </c>
    </row>
    <row r="13" spans="2:6" x14ac:dyDescent="0.25">
      <c r="B13" s="706" t="s">
        <v>483</v>
      </c>
      <c r="C13" s="22" t="s">
        <v>484</v>
      </c>
      <c r="D13" s="444">
        <f>DepreciaciónActFijos!C20</f>
        <v>4064000</v>
      </c>
      <c r="E13" s="444">
        <f>DepreciaciónActFijos!D20</f>
        <v>4064000</v>
      </c>
      <c r="F13" s="444">
        <f>DepreciaciónActFijos!E20</f>
        <v>4064000</v>
      </c>
    </row>
    <row r="14" spans="2:6" x14ac:dyDescent="0.25">
      <c r="B14" s="706"/>
      <c r="C14" s="22" t="s">
        <v>485</v>
      </c>
      <c r="D14" s="444">
        <f>InvActivosFijos!F46</f>
        <v>145000</v>
      </c>
      <c r="E14" s="444">
        <f>InvActivosFijos!F46</f>
        <v>145000</v>
      </c>
      <c r="F14" s="444">
        <f>InvActivosFijos!F46</f>
        <v>145000</v>
      </c>
    </row>
    <row r="15" spans="2:6" x14ac:dyDescent="0.25">
      <c r="B15" s="706"/>
      <c r="C15" s="511" t="s">
        <v>486</v>
      </c>
      <c r="D15" s="470">
        <f>SUM(D13:D14)</f>
        <v>4209000</v>
      </c>
      <c r="E15" s="470">
        <f>SUM(E13:E14)</f>
        <v>4209000</v>
      </c>
      <c r="F15" s="470">
        <f>SUM(F13:F14)</f>
        <v>4209000</v>
      </c>
    </row>
    <row r="16" spans="2:6" x14ac:dyDescent="0.25">
      <c r="B16" s="706" t="s">
        <v>487</v>
      </c>
      <c r="C16" s="513" t="s">
        <v>488</v>
      </c>
      <c r="D16" s="444">
        <f>D11+(D15*0.4)</f>
        <v>23354701.821333334</v>
      </c>
      <c r="E16" s="444">
        <f>E11+(E15*0.4)</f>
        <v>28044163.633391913</v>
      </c>
      <c r="F16" s="444">
        <f>F11+(F15*0.4)</f>
        <v>29380892.848069523</v>
      </c>
    </row>
    <row r="17" spans="2:6" x14ac:dyDescent="0.25">
      <c r="B17" s="706"/>
      <c r="C17" s="513" t="s">
        <v>489</v>
      </c>
      <c r="D17" s="444">
        <f>D12+(D15*0.6)</f>
        <v>37113250.257481769</v>
      </c>
      <c r="E17" s="444">
        <f>E12+(E15*0.6)</f>
        <v>45274253.672147796</v>
      </c>
      <c r="F17" s="444">
        <f>F12+(F15*0.6)</f>
        <v>47447213.571344033</v>
      </c>
    </row>
    <row r="18" spans="2:6" x14ac:dyDescent="0.25">
      <c r="C18" s="526" t="s">
        <v>490</v>
      </c>
      <c r="D18" s="470">
        <f>D16+D17</f>
        <v>60467952.078815103</v>
      </c>
      <c r="E18" s="470">
        <f t="shared" ref="E18:F18" si="0">E16+E17</f>
        <v>73318417.305539712</v>
      </c>
      <c r="F18" s="470">
        <f t="shared" si="0"/>
        <v>76828106.419413552</v>
      </c>
    </row>
    <row r="19" spans="2:6" x14ac:dyDescent="0.25">
      <c r="D19" s="43"/>
      <c r="E19" s="43"/>
    </row>
    <row r="20" spans="2:6" x14ac:dyDescent="0.25">
      <c r="D20" s="43"/>
      <c r="E20" s="43"/>
    </row>
  </sheetData>
  <mergeCells count="5">
    <mergeCell ref="B4:F4"/>
    <mergeCell ref="B5:C5"/>
    <mergeCell ref="B13:B15"/>
    <mergeCell ref="B6:B12"/>
    <mergeCell ref="B16:B17"/>
  </mergeCells>
  <pageMargins left="0.7" right="0.7" top="0.75" bottom="0.75" header="0.3" footer="0.3"/>
  <pageSetup orientation="portrait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4:F21"/>
  <sheetViews>
    <sheetView zoomScaleNormal="100" workbookViewId="0">
      <selection activeCell="H21" sqref="H21"/>
    </sheetView>
  </sheetViews>
  <sheetFormatPr baseColWidth="10" defaultColWidth="11.5" defaultRowHeight="15" x14ac:dyDescent="0.25"/>
  <cols>
    <col min="1" max="1" width="11.5" style="1"/>
    <col min="2" max="2" width="34.5" style="1" customWidth="1"/>
    <col min="3" max="3" width="12.875" style="1" customWidth="1"/>
    <col min="4" max="4" width="13.375" style="1" customWidth="1"/>
    <col min="5" max="5" width="12.875" style="1" customWidth="1"/>
    <col min="6" max="6" width="13" style="1" customWidth="1"/>
    <col min="7" max="7" width="11.5" style="1" customWidth="1"/>
    <col min="8" max="16384" width="11.5" style="1"/>
  </cols>
  <sheetData>
    <row r="4" spans="2:6" x14ac:dyDescent="0.25">
      <c r="B4" s="656" t="s">
        <v>491</v>
      </c>
      <c r="C4" s="656"/>
      <c r="D4" s="656"/>
      <c r="E4" s="656"/>
      <c r="F4" s="656"/>
    </row>
    <row r="5" spans="2:6" x14ac:dyDescent="0.25">
      <c r="B5" s="515" t="s">
        <v>207</v>
      </c>
      <c r="C5" s="515" t="s">
        <v>492</v>
      </c>
      <c r="D5" s="184" t="s">
        <v>232</v>
      </c>
      <c r="E5" s="184" t="s">
        <v>233</v>
      </c>
      <c r="F5" s="184" t="s">
        <v>215</v>
      </c>
    </row>
    <row r="6" spans="2:6" x14ac:dyDescent="0.25">
      <c r="B6" s="22" t="s">
        <v>493</v>
      </c>
      <c r="C6" s="444">
        <v>750000</v>
      </c>
      <c r="D6" s="444">
        <f t="shared" ref="D6:D8" si="0">C6*12</f>
        <v>9000000</v>
      </c>
      <c r="E6" s="444">
        <f>D6*(1+ProyecciónIPC!$E$27)</f>
        <v>9299691</v>
      </c>
      <c r="F6" s="444">
        <f>E6*(1+ProyecciónIPC!$E$28)</f>
        <v>9600182.6155919991</v>
      </c>
    </row>
    <row r="7" spans="2:6" x14ac:dyDescent="0.25">
      <c r="B7" s="36" t="s">
        <v>494</v>
      </c>
      <c r="C7" s="444">
        <f>PresPersonal!F9</f>
        <v>5523370.9299999997</v>
      </c>
      <c r="D7" s="444">
        <f t="shared" si="0"/>
        <v>66280451.159999996</v>
      </c>
      <c r="E7" s="444">
        <f>D7*(1+ProyecciónIPC!$E$27)</f>
        <v>68487523.903176829</v>
      </c>
      <c r="F7" s="444">
        <f>E7*(1+ProyecciónIPC!$E$28)</f>
        <v>70700492.775536269</v>
      </c>
    </row>
    <row r="8" spans="2:6" x14ac:dyDescent="0.25">
      <c r="B8" s="36" t="s">
        <v>495</v>
      </c>
      <c r="C8" s="444">
        <f>PresPersonal!D10</f>
        <v>500000</v>
      </c>
      <c r="D8" s="444">
        <f t="shared" si="0"/>
        <v>6000000</v>
      </c>
      <c r="E8" s="444">
        <f>D8*(1+ProyecciónIPC!$E$27)</f>
        <v>6199794</v>
      </c>
      <c r="F8" s="444">
        <f>E8*(1+ProyecciónIPC!$E$28)</f>
        <v>6400121.7437279997</v>
      </c>
    </row>
    <row r="9" spans="2:6" x14ac:dyDescent="0.25">
      <c r="B9" s="36" t="s">
        <v>496</v>
      </c>
      <c r="C9" s="444">
        <v>0</v>
      </c>
      <c r="D9" s="444">
        <f>C9*12</f>
        <v>0</v>
      </c>
      <c r="E9" s="444">
        <f>D9*(1+ProyecciónIPC!$E$27)</f>
        <v>0</v>
      </c>
      <c r="F9" s="444">
        <f>E9*(1+ProyecciónIPC!$E$28)</f>
        <v>0</v>
      </c>
    </row>
    <row r="10" spans="2:6" x14ac:dyDescent="0.25">
      <c r="B10" s="36" t="s">
        <v>497</v>
      </c>
      <c r="C10" s="444">
        <f>InvActivosFijos!E43+InvActivosFijos!E45</f>
        <v>90000</v>
      </c>
      <c r="D10" s="444">
        <f>C10*12</f>
        <v>1080000</v>
      </c>
      <c r="E10" s="444">
        <f>D10*(1+ProyecciónIPC!$E$27)</f>
        <v>1115962.92</v>
      </c>
      <c r="F10" s="444">
        <f>E10*(1+ProyecciónIPC!$E$28)</f>
        <v>1152021.9138710399</v>
      </c>
    </row>
    <row r="11" spans="2:6" x14ac:dyDescent="0.25">
      <c r="B11" s="22" t="s">
        <v>498</v>
      </c>
      <c r="C11" s="444">
        <v>400000</v>
      </c>
      <c r="D11" s="444">
        <f>C11*12</f>
        <v>4800000</v>
      </c>
      <c r="E11" s="444">
        <f>D11*(1+ProyecciónIPC!$E$27)</f>
        <v>4959835.2</v>
      </c>
      <c r="F11" s="444">
        <f>E11*(1+ProyecciónIPC!$E$28)</f>
        <v>5120097.3949823994</v>
      </c>
    </row>
    <row r="12" spans="2:6" x14ac:dyDescent="0.25">
      <c r="B12" s="36" t="s">
        <v>499</v>
      </c>
      <c r="C12" s="444"/>
      <c r="D12" s="444">
        <f>DepreciaciónActFijos!C18</f>
        <v>217333.33333333331</v>
      </c>
      <c r="E12" s="444">
        <f>DepreciaciónActFijos!D18</f>
        <v>217333.33333333331</v>
      </c>
      <c r="F12" s="444">
        <f>DepreciaciónActFijos!E18</f>
        <v>217333.33333333331</v>
      </c>
    </row>
    <row r="13" spans="2:6" x14ac:dyDescent="0.25">
      <c r="B13" s="36" t="s">
        <v>500</v>
      </c>
      <c r="C13" s="444"/>
      <c r="D13" s="444">
        <f>GastosArranque!F16</f>
        <v>1569904.7619047619</v>
      </c>
      <c r="E13" s="444">
        <f>GastosArranque!G16</f>
        <v>1766142.857142857</v>
      </c>
      <c r="F13" s="444">
        <f>GastosArranque!H16</f>
        <v>1962380.9523809522</v>
      </c>
    </row>
    <row r="14" spans="2:6" x14ac:dyDescent="0.25">
      <c r="B14" s="36" t="s">
        <v>501</v>
      </c>
      <c r="C14" s="732" t="s">
        <v>502</v>
      </c>
      <c r="D14" s="732"/>
      <c r="E14" s="444">
        <f>E19</f>
        <v>313606.24650000001</v>
      </c>
      <c r="F14" s="444">
        <f>F19</f>
        <v>323739.49153690797</v>
      </c>
    </row>
    <row r="15" spans="2:6" x14ac:dyDescent="0.25">
      <c r="B15" s="36" t="s">
        <v>503</v>
      </c>
      <c r="C15" s="732" t="s">
        <v>502</v>
      </c>
      <c r="D15" s="732"/>
      <c r="E15" s="444">
        <f>(E19*1%)+PrestSociales!B6/30*(1+ProyecciónIPC!E27)</f>
        <v>37579.362465000006</v>
      </c>
      <c r="F15" s="444">
        <f>E15*(1+ProyecciónIPC!E28)</f>
        <v>38793.626824969084</v>
      </c>
    </row>
    <row r="16" spans="2:6" x14ac:dyDescent="0.25">
      <c r="B16" s="278" t="s">
        <v>504</v>
      </c>
      <c r="C16" s="332">
        <f>SUM(C6:C13)</f>
        <v>7263370.9299999997</v>
      </c>
      <c r="D16" s="349">
        <f>SUM(D6:D13)</f>
        <v>88947689.255238086</v>
      </c>
      <c r="E16" s="332">
        <f>SUM(E6:E15)</f>
        <v>92397468.822618008</v>
      </c>
      <c r="F16" s="332">
        <f>SUM(F6:F15)</f>
        <v>95515163.847785875</v>
      </c>
    </row>
    <row r="17" spans="2:6" x14ac:dyDescent="0.25">
      <c r="E17" s="49"/>
      <c r="F17" s="49"/>
    </row>
    <row r="18" spans="2:6" x14ac:dyDescent="0.25">
      <c r="D18" s="512" t="s">
        <v>232</v>
      </c>
      <c r="E18" s="512" t="s">
        <v>233</v>
      </c>
      <c r="F18" s="512" t="s">
        <v>215</v>
      </c>
    </row>
    <row r="19" spans="2:6" x14ac:dyDescent="0.25">
      <c r="B19" s="649" t="s">
        <v>505</v>
      </c>
      <c r="C19" s="649"/>
      <c r="D19" s="594">
        <f>GastosArranque!C7</f>
        <v>303500</v>
      </c>
      <c r="E19" s="175">
        <f>D19*(1+ProyecciónIPC!E27)</f>
        <v>313606.24650000001</v>
      </c>
      <c r="F19" s="175">
        <f>E19*(1+ProyecciónIPC!E28)</f>
        <v>323739.49153690797</v>
      </c>
    </row>
    <row r="21" spans="2:6" x14ac:dyDescent="0.25">
      <c r="C21" s="134">
        <v>2117155.34569149</v>
      </c>
    </row>
  </sheetData>
  <mergeCells count="4">
    <mergeCell ref="B4:F4"/>
    <mergeCell ref="C14:D14"/>
    <mergeCell ref="C15:D15"/>
    <mergeCell ref="B19:C19"/>
  </mergeCells>
  <phoneticPr fontId="10" type="noConversion"/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4:G14"/>
  <sheetViews>
    <sheetView zoomScaleNormal="100" workbookViewId="0">
      <selection activeCell="G9" sqref="G9"/>
    </sheetView>
  </sheetViews>
  <sheetFormatPr baseColWidth="10" defaultColWidth="11.5" defaultRowHeight="15" x14ac:dyDescent="0.25"/>
  <cols>
    <col min="1" max="1" width="11.5" style="1"/>
    <col min="2" max="2" width="35.75" style="1" customWidth="1"/>
    <col min="3" max="5" width="14.125" style="1" customWidth="1"/>
    <col min="6" max="16384" width="11.5" style="1"/>
  </cols>
  <sheetData>
    <row r="4" spans="2:7" x14ac:dyDescent="0.25">
      <c r="B4" s="648" t="s">
        <v>506</v>
      </c>
      <c r="C4" s="648"/>
      <c r="D4" s="648"/>
      <c r="E4" s="648"/>
    </row>
    <row r="5" spans="2:7" x14ac:dyDescent="0.25">
      <c r="B5" s="511" t="s">
        <v>207</v>
      </c>
      <c r="C5" s="184" t="s">
        <v>232</v>
      </c>
      <c r="D5" s="184" t="s">
        <v>233</v>
      </c>
      <c r="E5" s="184" t="s">
        <v>215</v>
      </c>
    </row>
    <row r="6" spans="2:7" x14ac:dyDescent="0.25">
      <c r="B6" s="133" t="s">
        <v>507</v>
      </c>
      <c r="C6" s="444">
        <f>PresCostosProd!D16</f>
        <v>23354701.821333334</v>
      </c>
      <c r="D6" s="444">
        <f>PresCostosProd!E16</f>
        <v>28044163.633391913</v>
      </c>
      <c r="E6" s="444">
        <f>PresCostosProd!F16</f>
        <v>29380892.848069523</v>
      </c>
    </row>
    <row r="7" spans="2:7" x14ac:dyDescent="0.25">
      <c r="B7" s="133" t="s">
        <v>508</v>
      </c>
      <c r="C7" s="444">
        <f>PresCostosProd!D17</f>
        <v>37113250.257481769</v>
      </c>
      <c r="D7" s="444">
        <f>PresCostosProd!E17</f>
        <v>45274253.672147796</v>
      </c>
      <c r="E7" s="444">
        <f>PresCostosProd!F17</f>
        <v>47447213.571344033</v>
      </c>
    </row>
    <row r="8" spans="2:7" x14ac:dyDescent="0.25">
      <c r="B8" s="133" t="s">
        <v>509</v>
      </c>
      <c r="C8" s="444">
        <f>PresGastosAdmin!D16</f>
        <v>88947689.255238086</v>
      </c>
      <c r="D8" s="444">
        <f>PresGastosAdmin!E16</f>
        <v>92397468.822618008</v>
      </c>
      <c r="E8" s="444">
        <f>PresGastosAdmin!F16</f>
        <v>95515163.847785875</v>
      </c>
    </row>
    <row r="9" spans="2:7" x14ac:dyDescent="0.25">
      <c r="B9" s="593" t="s">
        <v>510</v>
      </c>
      <c r="C9" s="444">
        <f>C6+(C8*0.4)</f>
        <v>58933777.523428567</v>
      </c>
      <c r="D9" s="444">
        <f>D6+(D8*0.4)</f>
        <v>65003151.162439123</v>
      </c>
      <c r="E9" s="444">
        <f>E6+(E8*0.4)</f>
        <v>67586958.387183875</v>
      </c>
    </row>
    <row r="10" spans="2:7" x14ac:dyDescent="0.25">
      <c r="B10" s="593" t="s">
        <v>508</v>
      </c>
      <c r="C10" s="444">
        <f>C7+(C8*0.6)</f>
        <v>90481863.810624629</v>
      </c>
      <c r="D10" s="444">
        <f>D7+(D8*0.6)</f>
        <v>100712734.9657186</v>
      </c>
      <c r="E10" s="444">
        <f>E7+(E8*0.6)</f>
        <v>104756311.88001555</v>
      </c>
    </row>
    <row r="11" spans="2:7" ht="29.25" x14ac:dyDescent="0.25">
      <c r="B11" s="350" t="s">
        <v>511</v>
      </c>
      <c r="C11" s="471">
        <f>C9/PronósticoDmda!M18</f>
        <v>1403185.1791292515</v>
      </c>
      <c r="D11" s="471">
        <f>D9/PronósticoDmda!M19</f>
        <v>1083385.8527073187</v>
      </c>
      <c r="E11" s="471">
        <f>E9/PronósticoDmda!M20</f>
        <v>1069413.8985313904</v>
      </c>
      <c r="F11" s="43"/>
      <c r="G11" s="43"/>
    </row>
    <row r="12" spans="2:7" ht="29.25" x14ac:dyDescent="0.25">
      <c r="B12" s="350" t="s">
        <v>512</v>
      </c>
      <c r="C12" s="471">
        <f>C10/PronósticoDmda!N18</f>
        <v>1436220.0604861053</v>
      </c>
      <c r="D12" s="471">
        <f>D10/PronósticoDmda!N19</f>
        <v>1119030.3885079843</v>
      </c>
      <c r="E12" s="471">
        <f>E10/PronósticoDmda!N20</f>
        <v>1105024.3869199953</v>
      </c>
      <c r="F12" s="43"/>
      <c r="G12" s="43"/>
    </row>
    <row r="14" spans="2:7" x14ac:dyDescent="0.25">
      <c r="C14" s="43"/>
      <c r="D14" s="43"/>
      <c r="E14" s="43"/>
    </row>
  </sheetData>
  <mergeCells count="1">
    <mergeCell ref="B4:E4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4:O26"/>
  <sheetViews>
    <sheetView topLeftCell="B1" zoomScaleNormal="100" workbookViewId="0">
      <selection activeCell="H18" sqref="H18"/>
    </sheetView>
  </sheetViews>
  <sheetFormatPr baseColWidth="10" defaultColWidth="11.5" defaultRowHeight="15" x14ac:dyDescent="0.25"/>
  <cols>
    <col min="1" max="1" width="19.875" style="1" customWidth="1"/>
    <col min="2" max="2" width="17.125" style="1" customWidth="1"/>
    <col min="3" max="3" width="14.875" style="1" customWidth="1"/>
    <col min="4" max="4" width="11.375" style="1" customWidth="1"/>
    <col min="5" max="7" width="11.5" style="1"/>
    <col min="8" max="8" width="11.875" style="1" customWidth="1"/>
    <col min="9" max="10" width="11.5" style="1"/>
    <col min="11" max="11" width="13.625" style="1" customWidth="1"/>
    <col min="12" max="13" width="14.125" style="1" customWidth="1"/>
    <col min="14" max="14" width="14.125" style="1" bestFit="1" customWidth="1"/>
    <col min="15" max="15" width="10" style="1" customWidth="1"/>
    <col min="16" max="16384" width="11.5" style="1"/>
  </cols>
  <sheetData>
    <row r="4" spans="1:15" x14ac:dyDescent="0.25">
      <c r="B4" s="653" t="s">
        <v>513</v>
      </c>
      <c r="C4" s="654"/>
      <c r="D4" s="654"/>
      <c r="E4" s="654"/>
      <c r="F4" s="654"/>
      <c r="G4" s="655"/>
      <c r="H4" s="653" t="s">
        <v>160</v>
      </c>
      <c r="I4" s="654"/>
      <c r="J4" s="655"/>
      <c r="K4" s="653" t="s">
        <v>161</v>
      </c>
      <c r="L4" s="654"/>
      <c r="M4" s="655"/>
      <c r="N4" s="728" t="s">
        <v>514</v>
      </c>
      <c r="O4" s="728"/>
    </row>
    <row r="5" spans="1:15" ht="28.5" x14ac:dyDescent="0.25">
      <c r="B5" s="728" t="s">
        <v>515</v>
      </c>
      <c r="C5" s="728"/>
      <c r="D5" s="529" t="s">
        <v>516</v>
      </c>
      <c r="E5" s="734" t="s">
        <v>517</v>
      </c>
      <c r="F5" s="734"/>
      <c r="G5" s="734"/>
      <c r="H5" s="527" t="s">
        <v>518</v>
      </c>
      <c r="I5" s="527" t="s">
        <v>519</v>
      </c>
      <c r="J5" s="527" t="s">
        <v>520</v>
      </c>
      <c r="K5" s="527" t="s">
        <v>518</v>
      </c>
      <c r="L5" s="527" t="s">
        <v>519</v>
      </c>
      <c r="M5" s="527" t="s">
        <v>520</v>
      </c>
      <c r="N5" s="527" t="s">
        <v>521</v>
      </c>
      <c r="O5" s="527" t="s">
        <v>522</v>
      </c>
    </row>
    <row r="6" spans="1:15" x14ac:dyDescent="0.25">
      <c r="B6" s="27" t="s">
        <v>523</v>
      </c>
      <c r="C6" s="27" t="s">
        <v>524</v>
      </c>
      <c r="D6" s="351">
        <v>0.4</v>
      </c>
      <c r="E6" s="27">
        <v>1</v>
      </c>
      <c r="F6" s="27" t="s">
        <v>525</v>
      </c>
      <c r="G6" s="34">
        <v>12</v>
      </c>
      <c r="H6" s="279">
        <f>ROUNDUP(PronósticoDmda!$M$18*D6,0)</f>
        <v>17</v>
      </c>
      <c r="I6" s="279">
        <f>ROUNDUP(PronósticoDmda!$M$19*D6,0)</f>
        <v>24</v>
      </c>
      <c r="J6" s="279">
        <f>ROUNDUP(PronósticoDmda!$M$20*D6,0)</f>
        <v>26</v>
      </c>
      <c r="K6" s="279">
        <f>ROUNDUP(PronósticoDmda!$N$18*D6,0)</f>
        <v>26</v>
      </c>
      <c r="L6" s="279">
        <f>ROUNDUP(PronósticoDmda!$N$19*D6,0)</f>
        <v>36</v>
      </c>
      <c r="M6" s="279">
        <f>ROUNDUP(PronósticoDmda!$N$20*D6,0)</f>
        <v>38</v>
      </c>
      <c r="N6" s="351">
        <v>0.5</v>
      </c>
      <c r="O6" s="39">
        <v>0.5</v>
      </c>
    </row>
    <row r="7" spans="1:15" x14ac:dyDescent="0.25">
      <c r="B7" s="27" t="s">
        <v>526</v>
      </c>
      <c r="C7" s="27" t="s">
        <v>527</v>
      </c>
      <c r="D7" s="351">
        <v>0.4</v>
      </c>
      <c r="E7" s="27">
        <v>1</v>
      </c>
      <c r="F7" s="27" t="s">
        <v>525</v>
      </c>
      <c r="G7" s="27">
        <v>12</v>
      </c>
      <c r="H7" s="279">
        <f>ROUNDUP(PronósticoDmda!$M$18*D7,0)</f>
        <v>17</v>
      </c>
      <c r="I7" s="279">
        <f>ROUNDUP(PronósticoDmda!$M$19*D7,0)</f>
        <v>24</v>
      </c>
      <c r="J7" s="279">
        <f>ROUNDUP(PronósticoDmda!$M$20*D7,0)</f>
        <v>26</v>
      </c>
      <c r="K7" s="279">
        <f>ROUNDUP(PronósticoDmda!$N$18*D7,0)</f>
        <v>26</v>
      </c>
      <c r="L7" s="279">
        <f>ROUNDUP(PronósticoDmda!$N$19*D7,0)</f>
        <v>36</v>
      </c>
      <c r="M7" s="279">
        <f>ROUNDUP(PronósticoDmda!$N$20*D7,0)</f>
        <v>38</v>
      </c>
      <c r="N7" s="351">
        <v>0.5</v>
      </c>
      <c r="O7" s="39">
        <v>0.5</v>
      </c>
    </row>
    <row r="8" spans="1:15" x14ac:dyDescent="0.25">
      <c r="B8" s="27" t="s">
        <v>528</v>
      </c>
      <c r="C8" s="27" t="s">
        <v>529</v>
      </c>
      <c r="D8" s="351">
        <v>0.2</v>
      </c>
      <c r="E8" s="27">
        <v>1</v>
      </c>
      <c r="F8" s="27" t="s">
        <v>525</v>
      </c>
      <c r="G8" s="27">
        <v>12</v>
      </c>
      <c r="H8" s="279">
        <f>ROUNDUP(PronósticoDmda!$M$18*D8,0)</f>
        <v>9</v>
      </c>
      <c r="I8" s="279">
        <f>ROUNDUP(PronósticoDmda!$M$19*D8,0)</f>
        <v>12</v>
      </c>
      <c r="J8" s="279">
        <f>ROUNDUP(PronósticoDmda!$M$20*D8,0)</f>
        <v>13</v>
      </c>
      <c r="K8" s="279">
        <f>ROUNDUP(PronósticoDmda!$N$18*D8,0)</f>
        <v>13</v>
      </c>
      <c r="L8" s="279">
        <f>ROUNDUP(PronósticoDmda!$N$19*D8,0)</f>
        <v>18</v>
      </c>
      <c r="M8" s="279">
        <f>ROUNDUP(PronósticoDmda!$N$20*D8,0)</f>
        <v>19</v>
      </c>
      <c r="N8" s="351">
        <v>0.5</v>
      </c>
      <c r="O8" s="39">
        <v>0.5</v>
      </c>
    </row>
    <row r="9" spans="1:15" x14ac:dyDescent="0.25">
      <c r="B9" s="2"/>
      <c r="D9" s="351">
        <f>SUM(D6:D8)</f>
        <v>1</v>
      </c>
    </row>
    <row r="11" spans="1:15" x14ac:dyDescent="0.25">
      <c r="A11" s="52"/>
      <c r="B11" s="2"/>
      <c r="E11" s="735" t="s">
        <v>530</v>
      </c>
      <c r="F11" s="736"/>
      <c r="G11" s="737"/>
      <c r="I11" s="1" t="s">
        <v>255</v>
      </c>
    </row>
    <row r="12" spans="1:15" x14ac:dyDescent="0.25">
      <c r="B12" s="2"/>
      <c r="C12" s="2"/>
      <c r="D12" s="280" t="s">
        <v>531</v>
      </c>
      <c r="E12" s="183" t="s">
        <v>232</v>
      </c>
      <c r="F12" s="184" t="s">
        <v>233</v>
      </c>
      <c r="G12" s="128" t="s">
        <v>215</v>
      </c>
    </row>
    <row r="13" spans="1:15" x14ac:dyDescent="0.25">
      <c r="B13" s="2"/>
      <c r="C13" s="2"/>
      <c r="D13" s="280" t="s">
        <v>152</v>
      </c>
      <c r="E13" s="472">
        <f>PresOperac!C11</f>
        <v>1403185.1791292515</v>
      </c>
      <c r="F13" s="472">
        <f>PresOperac!D11</f>
        <v>1083385.8527073187</v>
      </c>
      <c r="G13" s="472">
        <f>PresOperac!E11</f>
        <v>1069413.8985313904</v>
      </c>
      <c r="J13" s="739" t="s">
        <v>532</v>
      </c>
      <c r="K13" s="739"/>
      <c r="L13" s="739"/>
      <c r="M13" s="739"/>
      <c r="N13" s="739"/>
    </row>
    <row r="14" spans="1:15" x14ac:dyDescent="0.25">
      <c r="B14" s="2"/>
      <c r="C14" s="2"/>
      <c r="D14" s="280" t="s">
        <v>153</v>
      </c>
      <c r="E14" s="472">
        <f>PresOperac!C12</f>
        <v>1436220.0604861053</v>
      </c>
      <c r="F14" s="472">
        <f>PresOperac!D12</f>
        <v>1119030.3885079843</v>
      </c>
      <c r="G14" s="472">
        <f>PresOperac!E12</f>
        <v>1105024.3869199953</v>
      </c>
      <c r="J14" s="740" t="s">
        <v>533</v>
      </c>
      <c r="K14" s="740"/>
      <c r="L14" s="184" t="s">
        <v>232</v>
      </c>
      <c r="M14" s="184" t="s">
        <v>233</v>
      </c>
      <c r="N14" s="184" t="s">
        <v>215</v>
      </c>
    </row>
    <row r="15" spans="1:15" x14ac:dyDescent="0.25">
      <c r="H15" s="54"/>
      <c r="J15" s="53" t="str">
        <f>B6</f>
        <v>Tipo 1</v>
      </c>
      <c r="K15" s="473" t="str">
        <f>C18</f>
        <v>Emprendedor</v>
      </c>
      <c r="L15" s="472">
        <f>E18*H6</f>
        <v>28624977.65423673</v>
      </c>
      <c r="M15" s="472">
        <f t="shared" ref="L15:M17" si="0">F18*I6</f>
        <v>31201512.557970777</v>
      </c>
      <c r="N15" s="472">
        <f t="shared" ref="N15:N16" si="1">G18*J6</f>
        <v>33365713.63417938</v>
      </c>
    </row>
    <row r="16" spans="1:15" x14ac:dyDescent="0.25">
      <c r="B16" s="738" t="s">
        <v>534</v>
      </c>
      <c r="C16" s="738"/>
      <c r="D16" s="738"/>
      <c r="E16" s="738"/>
      <c r="F16" s="738"/>
      <c r="G16" s="738"/>
      <c r="J16" s="53" t="str">
        <f>B7</f>
        <v>Tipo 2</v>
      </c>
      <c r="K16" s="473" t="str">
        <f t="shared" ref="K16:K17" si="2">C19</f>
        <v>Microempresario</v>
      </c>
      <c r="L16" s="472">
        <f t="shared" si="0"/>
        <v>29817685.056496594</v>
      </c>
      <c r="M16" s="472">
        <f t="shared" si="0"/>
        <v>32501575.581219561</v>
      </c>
      <c r="N16" s="472">
        <f t="shared" si="1"/>
        <v>34755951.702270187</v>
      </c>
    </row>
    <row r="17" spans="2:14" x14ac:dyDescent="0.25">
      <c r="B17" s="709" t="s">
        <v>535</v>
      </c>
      <c r="C17" s="711"/>
      <c r="D17" s="281" t="s">
        <v>536</v>
      </c>
      <c r="E17" s="184" t="s">
        <v>232</v>
      </c>
      <c r="F17" s="184" t="s">
        <v>233</v>
      </c>
      <c r="G17" s="184" t="s">
        <v>215</v>
      </c>
      <c r="J17" s="53" t="str">
        <f>B8</f>
        <v>Tipo 3</v>
      </c>
      <c r="K17" s="473" t="str">
        <f t="shared" si="2"/>
        <v>Pequeña empresa</v>
      </c>
      <c r="L17" s="472">
        <f t="shared" si="0"/>
        <v>15785833.265204079</v>
      </c>
      <c r="M17" s="472">
        <f t="shared" si="0"/>
        <v>16250787.790609781</v>
      </c>
      <c r="N17" s="472">
        <f t="shared" ref="N17" si="3">G20*J8</f>
        <v>17377975.851135094</v>
      </c>
    </row>
    <row r="18" spans="2:14" x14ac:dyDescent="0.25">
      <c r="B18" s="473" t="str">
        <f t="shared" ref="B18:C20" si="4">B6</f>
        <v>Tipo 1</v>
      </c>
      <c r="C18" s="473" t="str">
        <f t="shared" si="4"/>
        <v>Emprendedor</v>
      </c>
      <c r="D18" s="352">
        <v>0.2</v>
      </c>
      <c r="E18" s="472">
        <f>E13*(1+D18)</f>
        <v>1683822.2149551017</v>
      </c>
      <c r="F18" s="472">
        <f>F13*(1+D18)</f>
        <v>1300063.0232487824</v>
      </c>
      <c r="G18" s="472">
        <f>G13*(1+D18)</f>
        <v>1283296.6782376685</v>
      </c>
      <c r="H18" s="54"/>
      <c r="J18" s="733" t="s">
        <v>537</v>
      </c>
      <c r="K18" s="733"/>
      <c r="L18" s="142">
        <f>SUM(L15:L17)</f>
        <v>74228495.975937396</v>
      </c>
      <c r="M18" s="142">
        <f>SUM(M15:M17)</f>
        <v>79953875.929800123</v>
      </c>
      <c r="N18" s="142">
        <f>SUM(N15:N17)</f>
        <v>85499641.187584653</v>
      </c>
    </row>
    <row r="19" spans="2:14" x14ac:dyDescent="0.25">
      <c r="B19" s="473" t="str">
        <f t="shared" si="4"/>
        <v>Tipo 2</v>
      </c>
      <c r="C19" s="473" t="str">
        <f t="shared" si="4"/>
        <v>Microempresario</v>
      </c>
      <c r="D19" s="352">
        <v>0.25</v>
      </c>
      <c r="E19" s="472">
        <f>E13*(1+D19)</f>
        <v>1753981.4739115643</v>
      </c>
      <c r="F19" s="472">
        <f>F13*(1+D19)</f>
        <v>1354232.3158841485</v>
      </c>
      <c r="G19" s="472">
        <f>G13*(1+D19)</f>
        <v>1336767.3731642379</v>
      </c>
      <c r="H19" s="54"/>
      <c r="J19" s="739" t="s">
        <v>538</v>
      </c>
      <c r="K19" s="739"/>
      <c r="L19" s="739"/>
      <c r="M19" s="739"/>
      <c r="N19" s="739"/>
    </row>
    <row r="20" spans="2:14" x14ac:dyDescent="0.25">
      <c r="B20" s="473" t="str">
        <f t="shared" si="4"/>
        <v>Tipo 3</v>
      </c>
      <c r="C20" s="473" t="str">
        <f t="shared" si="4"/>
        <v>Pequeña empresa</v>
      </c>
      <c r="D20" s="352">
        <v>0.25</v>
      </c>
      <c r="E20" s="472">
        <f>E13*(1+D20)</f>
        <v>1753981.4739115643</v>
      </c>
      <c r="F20" s="472">
        <f>F13*(1+D20)</f>
        <v>1354232.3158841485</v>
      </c>
      <c r="G20" s="472">
        <f>G13*(1+D20)</f>
        <v>1336767.3731642379</v>
      </c>
      <c r="H20" s="54"/>
      <c r="J20" s="740" t="s">
        <v>533</v>
      </c>
      <c r="K20" s="740"/>
      <c r="L20" s="184" t="s">
        <v>232</v>
      </c>
      <c r="M20" s="184" t="s">
        <v>233</v>
      </c>
      <c r="N20" s="184" t="s">
        <v>215</v>
      </c>
    </row>
    <row r="21" spans="2:14" x14ac:dyDescent="0.25">
      <c r="J21" s="53" t="str">
        <f>B6</f>
        <v>Tipo 1</v>
      </c>
      <c r="K21" s="473" t="str">
        <f>C24</f>
        <v>Emprendedor</v>
      </c>
      <c r="L21" s="472">
        <f>E24*K6</f>
        <v>46677151.965798423</v>
      </c>
      <c r="M21" s="472">
        <f t="shared" ref="M21:N23" si="5">F24*L6</f>
        <v>50356367.482859299</v>
      </c>
      <c r="N21" s="472">
        <f t="shared" si="5"/>
        <v>52488658.37869978</v>
      </c>
    </row>
    <row r="22" spans="2:14" x14ac:dyDescent="0.25">
      <c r="B22" s="738" t="s">
        <v>539</v>
      </c>
      <c r="C22" s="738"/>
      <c r="D22" s="738"/>
      <c r="E22" s="738"/>
      <c r="F22" s="738"/>
      <c r="G22" s="738"/>
      <c r="J22" s="53" t="str">
        <f>B7</f>
        <v>Tipo 2</v>
      </c>
      <c r="K22" s="473" t="str">
        <f t="shared" ref="K22:K23" si="6">C25</f>
        <v>Microempresario</v>
      </c>
      <c r="L22" s="472">
        <f>E25*K7</f>
        <v>48544238.04443036</v>
      </c>
      <c r="M22" s="472">
        <f t="shared" si="5"/>
        <v>52370622.182173669</v>
      </c>
      <c r="N22" s="472">
        <f>G25*M7</f>
        <v>54588204.713847771</v>
      </c>
    </row>
    <row r="23" spans="2:14" x14ac:dyDescent="0.25">
      <c r="B23" s="709" t="s">
        <v>535</v>
      </c>
      <c r="C23" s="711"/>
      <c r="D23" s="281" t="s">
        <v>536</v>
      </c>
      <c r="E23" s="184" t="s">
        <v>232</v>
      </c>
      <c r="F23" s="184" t="s">
        <v>233</v>
      </c>
      <c r="G23" s="184" t="s">
        <v>215</v>
      </c>
      <c r="J23" s="53" t="str">
        <f>B8</f>
        <v>Tipo 3</v>
      </c>
      <c r="K23" s="473" t="str">
        <f t="shared" si="6"/>
        <v>Pequeña empresa</v>
      </c>
      <c r="L23" s="472">
        <f>E26*K8</f>
        <v>24272119.02221518</v>
      </c>
      <c r="M23" s="472">
        <f t="shared" si="5"/>
        <v>26185311.091086835</v>
      </c>
      <c r="N23" s="472">
        <f t="shared" si="5"/>
        <v>27294102.356923886</v>
      </c>
    </row>
    <row r="24" spans="2:14" x14ac:dyDescent="0.25">
      <c r="B24" s="473" t="str">
        <f>B6</f>
        <v>Tipo 1</v>
      </c>
      <c r="C24" s="473" t="str">
        <f>C18</f>
        <v>Emprendedor</v>
      </c>
      <c r="D24" s="352">
        <f>D18+5%</f>
        <v>0.25</v>
      </c>
      <c r="E24" s="472">
        <f>$E$14*(1+D24)</f>
        <v>1795275.0756076316</v>
      </c>
      <c r="F24" s="472">
        <f>$F$14*(1+D24)</f>
        <v>1398787.9856349805</v>
      </c>
      <c r="G24" s="472">
        <f>$G$14*(1+D24)</f>
        <v>1381280.4836499942</v>
      </c>
      <c r="H24" s="54"/>
      <c r="J24" s="733" t="s">
        <v>540</v>
      </c>
      <c r="K24" s="733"/>
      <c r="L24" s="142">
        <f>SUM(L21:L23)</f>
        <v>119493509.03244397</v>
      </c>
      <c r="M24" s="142">
        <f>SUM(M21:M23)</f>
        <v>128912300.7561198</v>
      </c>
      <c r="N24" s="142">
        <f>SUM(N21:N23)</f>
        <v>134370965.44947144</v>
      </c>
    </row>
    <row r="25" spans="2:14" x14ac:dyDescent="0.25">
      <c r="B25" s="473" t="str">
        <f>B7</f>
        <v>Tipo 2</v>
      </c>
      <c r="C25" s="473" t="str">
        <f t="shared" ref="C25:C26" si="7">C19</f>
        <v>Microempresario</v>
      </c>
      <c r="D25" s="352">
        <f t="shared" ref="D25:D26" si="8">D19+5%</f>
        <v>0.3</v>
      </c>
      <c r="E25" s="472">
        <f t="shared" ref="E25:E26" si="9">$E$14*(1+D25)</f>
        <v>1867086.0786319368</v>
      </c>
      <c r="F25" s="472">
        <f t="shared" ref="F25:F26" si="10">$F$14*(1+D25)</f>
        <v>1454739.5050603796</v>
      </c>
      <c r="G25" s="472">
        <f t="shared" ref="G25:G26" si="11">$G$14*(1+D25)</f>
        <v>1436531.7029959939</v>
      </c>
      <c r="H25" s="54"/>
      <c r="J25" s="741" t="s">
        <v>541</v>
      </c>
      <c r="K25" s="741"/>
      <c r="L25" s="474">
        <f>L18+L24</f>
        <v>193722005.00838137</v>
      </c>
      <c r="M25" s="474">
        <f t="shared" ref="M25:N25" si="12">M18+M24</f>
        <v>208866176.68591994</v>
      </c>
      <c r="N25" s="474">
        <f t="shared" si="12"/>
        <v>219870606.63705611</v>
      </c>
    </row>
    <row r="26" spans="2:14" x14ac:dyDescent="0.25">
      <c r="B26" s="473" t="str">
        <f>B8</f>
        <v>Tipo 3</v>
      </c>
      <c r="C26" s="473" t="str">
        <f t="shared" si="7"/>
        <v>Pequeña empresa</v>
      </c>
      <c r="D26" s="352">
        <f t="shared" si="8"/>
        <v>0.3</v>
      </c>
      <c r="E26" s="472">
        <f t="shared" si="9"/>
        <v>1867086.0786319368</v>
      </c>
      <c r="F26" s="472">
        <f t="shared" si="10"/>
        <v>1454739.5050603796</v>
      </c>
      <c r="G26" s="472">
        <f t="shared" si="11"/>
        <v>1436531.7029959939</v>
      </c>
      <c r="H26" s="54"/>
    </row>
  </sheetData>
  <mergeCells count="18">
    <mergeCell ref="B22:G22"/>
    <mergeCell ref="J19:N19"/>
    <mergeCell ref="J20:K20"/>
    <mergeCell ref="J24:K24"/>
    <mergeCell ref="J25:K25"/>
    <mergeCell ref="B23:C23"/>
    <mergeCell ref="J18:K18"/>
    <mergeCell ref="B5:C5"/>
    <mergeCell ref="E5:G5"/>
    <mergeCell ref="N4:O4"/>
    <mergeCell ref="E11:G11"/>
    <mergeCell ref="B16:G16"/>
    <mergeCell ref="B17:C17"/>
    <mergeCell ref="B4:G4"/>
    <mergeCell ref="H4:J4"/>
    <mergeCell ref="K4:M4"/>
    <mergeCell ref="J13:N13"/>
    <mergeCell ref="J14:K14"/>
  </mergeCells>
  <phoneticPr fontId="10" type="noConversion"/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4:U75"/>
  <sheetViews>
    <sheetView topLeftCell="B1" zoomScale="85" zoomScaleNormal="85" workbookViewId="0">
      <selection activeCell="S26" sqref="S26"/>
    </sheetView>
  </sheetViews>
  <sheetFormatPr baseColWidth="10" defaultColWidth="11.5" defaultRowHeight="15" x14ac:dyDescent="0.25"/>
  <cols>
    <col min="1" max="1" width="0" style="1" hidden="1" customWidth="1"/>
    <col min="2" max="2" width="17.5" style="1" bestFit="1" customWidth="1"/>
    <col min="3" max="3" width="21.125" style="1" customWidth="1"/>
    <col min="4" max="15" width="12.25" style="1" bestFit="1" customWidth="1"/>
    <col min="16" max="18" width="13.25" style="1" bestFit="1" customWidth="1"/>
    <col min="19" max="19" width="11.5" style="1"/>
    <col min="20" max="20" width="9.875" style="1" customWidth="1"/>
    <col min="21" max="21" width="7.75" style="1" customWidth="1"/>
    <col min="22" max="16384" width="11.5" style="1"/>
  </cols>
  <sheetData>
    <row r="4" spans="2:21" x14ac:dyDescent="0.25">
      <c r="C4" s="648" t="s">
        <v>542</v>
      </c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  <c r="P4" s="648"/>
      <c r="Q4" s="648"/>
      <c r="R4" s="648"/>
    </row>
    <row r="5" spans="2:21" x14ac:dyDescent="0.25">
      <c r="C5" s="511" t="s">
        <v>205</v>
      </c>
      <c r="D5" s="511" t="s">
        <v>346</v>
      </c>
      <c r="E5" s="511" t="s">
        <v>347</v>
      </c>
      <c r="F5" s="511" t="s">
        <v>348</v>
      </c>
      <c r="G5" s="511" t="s">
        <v>349</v>
      </c>
      <c r="H5" s="511" t="s">
        <v>350</v>
      </c>
      <c r="I5" s="511" t="s">
        <v>351</v>
      </c>
      <c r="J5" s="511" t="s">
        <v>352</v>
      </c>
      <c r="K5" s="511" t="s">
        <v>353</v>
      </c>
      <c r="L5" s="511" t="s">
        <v>354</v>
      </c>
      <c r="M5" s="511" t="s">
        <v>355</v>
      </c>
      <c r="N5" s="511" t="s">
        <v>356</v>
      </c>
      <c r="O5" s="511" t="s">
        <v>357</v>
      </c>
      <c r="P5" s="513" t="s">
        <v>232</v>
      </c>
      <c r="Q5" s="513" t="s">
        <v>233</v>
      </c>
      <c r="R5" s="513" t="s">
        <v>215</v>
      </c>
    </row>
    <row r="6" spans="2:21" x14ac:dyDescent="0.25">
      <c r="B6" s="719" t="s">
        <v>160</v>
      </c>
      <c r="C6" s="477" t="s">
        <v>543</v>
      </c>
      <c r="D6" s="472">
        <f>AtenciónDmda!C14*ProyIngresos!$E$18*ProyIngresos!$D$6</f>
        <v>1347057.7719640816</v>
      </c>
      <c r="E6" s="472">
        <f>AtenciónDmda!D14*ProyIngresos!$E$18*ProyIngresos!$D$6</f>
        <v>2020586.6579461221</v>
      </c>
      <c r="F6" s="472">
        <f>AtenciónDmda!E14*ProyIngresos!$E$18*ProyIngresos!$D$6</f>
        <v>1347057.7719640816</v>
      </c>
      <c r="G6" s="472">
        <f>AtenciónDmda!F14*ProyIngresos!$E$18*ProyIngresos!$D$6</f>
        <v>2020586.6579461221</v>
      </c>
      <c r="H6" s="472">
        <f>AtenciónDmda!G14*ProyIngresos!$E$18*ProyIngresos!$D$6</f>
        <v>2694115.5439281631</v>
      </c>
      <c r="I6" s="472">
        <f>AtenciónDmda!H14*ProyIngresos!$E$18*ProyIngresos!$D$6</f>
        <v>2694115.5439281631</v>
      </c>
      <c r="J6" s="472">
        <f>AtenciónDmda!I14*ProyIngresos!$E$18*ProyIngresos!$D$6</f>
        <v>2694115.5439281631</v>
      </c>
      <c r="K6" s="472">
        <f>AtenciónDmda!J14*ProyIngresos!$E$18*ProyIngresos!$D$6</f>
        <v>3367644.4299102039</v>
      </c>
      <c r="L6" s="472">
        <f>AtenciónDmda!K14*ProyIngresos!$E$18*ProyIngresos!$D$6</f>
        <v>3367644.4299102039</v>
      </c>
      <c r="M6" s="472">
        <f>AtenciónDmda!L14*ProyIngresos!$E$18*ProyIngresos!$D$6</f>
        <v>2694115.5439281631</v>
      </c>
      <c r="N6" s="472">
        <f>AtenciónDmda!M14*ProyIngresos!$E$18*ProyIngresos!$D$6</f>
        <v>3367644.4299102039</v>
      </c>
      <c r="O6" s="472">
        <f>AtenciónDmda!N14*ProyIngresos!$E$18*ProyIngresos!$D$6</f>
        <v>3367644.4299102039</v>
      </c>
      <c r="P6" s="476">
        <f>SUM(D6:O6)</f>
        <v>30982328.755173877</v>
      </c>
      <c r="Q6" s="476">
        <f>ProyIngresos!M15</f>
        <v>31201512.557970777</v>
      </c>
      <c r="R6" s="476">
        <f>ProyIngresos!N15</f>
        <v>33365713.63417938</v>
      </c>
      <c r="T6" s="186" t="s">
        <v>544</v>
      </c>
      <c r="U6" s="5">
        <v>0.19</v>
      </c>
    </row>
    <row r="7" spans="2:21" x14ac:dyDescent="0.25">
      <c r="B7" s="719"/>
      <c r="C7" s="477" t="s">
        <v>545</v>
      </c>
      <c r="D7" s="472">
        <f>AtenciónDmda!C14*ProyIngresos!$E$19*ProyIngresos!$D$7</f>
        <v>1403185.1791292515</v>
      </c>
      <c r="E7" s="472">
        <f>AtenciónDmda!D14*ProyIngresos!$E$19*ProyIngresos!$D$7</f>
        <v>2104777.7686938769</v>
      </c>
      <c r="F7" s="472">
        <f>AtenciónDmda!E14*ProyIngresos!$E$19*ProyIngresos!$D$7</f>
        <v>1403185.1791292515</v>
      </c>
      <c r="G7" s="472">
        <f>AtenciónDmda!F14*ProyIngresos!$E$19*ProyIngresos!$D$7</f>
        <v>2104777.7686938769</v>
      </c>
      <c r="H7" s="472">
        <f>AtenciónDmda!G14*ProyIngresos!$E$19*ProyIngresos!$D$7</f>
        <v>2806370.358258503</v>
      </c>
      <c r="I7" s="472">
        <f>AtenciónDmda!H14*ProyIngresos!$E$19*ProyIngresos!$D$7</f>
        <v>2806370.358258503</v>
      </c>
      <c r="J7" s="472">
        <f>AtenciónDmda!I14*ProyIngresos!$E$19*ProyIngresos!$D$7</f>
        <v>2806370.358258503</v>
      </c>
      <c r="K7" s="472">
        <f>AtenciónDmda!J14*ProyIngresos!$E$19*ProyIngresos!$D$7</f>
        <v>3507962.9478231291</v>
      </c>
      <c r="L7" s="472">
        <f>AtenciónDmda!K14*ProyIngresos!$E$19*ProyIngresos!$D$7</f>
        <v>3507962.9478231291</v>
      </c>
      <c r="M7" s="472">
        <f>AtenciónDmda!L14*ProyIngresos!$E$19*ProyIngresos!$D$7</f>
        <v>2806370.358258503</v>
      </c>
      <c r="N7" s="472">
        <f>AtenciónDmda!M14*ProyIngresos!$E$19*ProyIngresos!$D$7</f>
        <v>3507962.9478231291</v>
      </c>
      <c r="O7" s="472">
        <f>AtenciónDmda!N14*ProyIngresos!$E$19*ProyIngresos!$D$7</f>
        <v>3507962.9478231291</v>
      </c>
      <c r="P7" s="476">
        <f>SUM(D7:O7)</f>
        <v>32273259.119972788</v>
      </c>
      <c r="Q7" s="476">
        <f>ProyIngresos!M16</f>
        <v>32501575.581219561</v>
      </c>
      <c r="R7" s="476">
        <f>ProyIngresos!N16</f>
        <v>34755951.702270187</v>
      </c>
      <c r="T7" s="186" t="s">
        <v>546</v>
      </c>
      <c r="U7" s="5">
        <f>(9.66/1000)</f>
        <v>9.6600000000000002E-3</v>
      </c>
    </row>
    <row r="8" spans="2:21" x14ac:dyDescent="0.25">
      <c r="B8" s="719"/>
      <c r="C8" s="477" t="s">
        <v>547</v>
      </c>
      <c r="D8" s="472">
        <f>AtenciónDmda!C14*ProyIngresos!$E$20*ProyIngresos!$D$8</f>
        <v>701592.58956462576</v>
      </c>
      <c r="E8" s="472">
        <f>AtenciónDmda!D14*ProyIngresos!$E$20*ProyIngresos!$D$8</f>
        <v>1052388.8843469385</v>
      </c>
      <c r="F8" s="472">
        <f>AtenciónDmda!E14*ProyIngresos!$E$20*ProyIngresos!$D$8</f>
        <v>701592.58956462576</v>
      </c>
      <c r="G8" s="472">
        <f>AtenciónDmda!F14*ProyIngresos!$E$20*ProyIngresos!$D$8</f>
        <v>1052388.8843469385</v>
      </c>
      <c r="H8" s="472">
        <f>AtenciónDmda!G14*ProyIngresos!$E$20*ProyIngresos!$D$8</f>
        <v>1403185.1791292515</v>
      </c>
      <c r="I8" s="472">
        <f>AtenciónDmda!H14*ProyIngresos!$E$20*ProyIngresos!$D$8</f>
        <v>1403185.1791292515</v>
      </c>
      <c r="J8" s="472">
        <f>AtenciónDmda!I14*ProyIngresos!$E$20*ProyIngresos!$D$8</f>
        <v>1403185.1791292515</v>
      </c>
      <c r="K8" s="472">
        <f>AtenciónDmda!J14*ProyIngresos!$E$20*ProyIngresos!$D$8</f>
        <v>1753981.4739115646</v>
      </c>
      <c r="L8" s="472">
        <f>AtenciónDmda!K14*ProyIngresos!$E$20*ProyIngresos!$D$8</f>
        <v>1753981.4739115646</v>
      </c>
      <c r="M8" s="472">
        <f>AtenciónDmda!L14*ProyIngresos!$E$20*ProyIngresos!$D$8</f>
        <v>1403185.1791292515</v>
      </c>
      <c r="N8" s="472">
        <f>AtenciónDmda!M14*ProyIngresos!$E$20*ProyIngresos!$D$8</f>
        <v>1753981.4739115646</v>
      </c>
      <c r="O8" s="472">
        <f>AtenciónDmda!N14*ProyIngresos!$E$20*ProyIngresos!$D$8</f>
        <v>1753981.4739115646</v>
      </c>
      <c r="P8" s="476">
        <f>SUM(D8:O8)</f>
        <v>16136629.559986394</v>
      </c>
      <c r="Q8" s="476">
        <f>ProyIngresos!M17</f>
        <v>16250787.790609781</v>
      </c>
      <c r="R8" s="476">
        <f>ProyIngresos!N17</f>
        <v>17377975.851135094</v>
      </c>
      <c r="T8" s="186" t="s">
        <v>548</v>
      </c>
      <c r="U8" s="282">
        <v>3.5000000000000003E-2</v>
      </c>
    </row>
    <row r="9" spans="2:21" x14ac:dyDescent="0.25">
      <c r="B9" s="719" t="s">
        <v>161</v>
      </c>
      <c r="C9" s="477" t="s">
        <v>543</v>
      </c>
      <c r="D9" s="472">
        <f>AtenciónDmda!C15*ProyIngresos!$E$24*ProyIngresos!$D$6</f>
        <v>2154330.0907291579</v>
      </c>
      <c r="E9" s="472">
        <f>AtenciónDmda!D15*ProyIngresos!$E$24*ProyIngresos!$D$6</f>
        <v>2872440.1209722105</v>
      </c>
      <c r="F9" s="472">
        <f>AtenciónDmda!E15*ProyIngresos!$E$24*ProyIngresos!$D$6</f>
        <v>2154330.0907291579</v>
      </c>
      <c r="G9" s="472">
        <f>AtenciónDmda!F15*ProyIngresos!$E$24*ProyIngresos!$D$6</f>
        <v>3590550.1512152636</v>
      </c>
      <c r="H9" s="472">
        <f>AtenciónDmda!G15*ProyIngresos!$E$24*ProyIngresos!$D$6</f>
        <v>3590550.1512152636</v>
      </c>
      <c r="I9" s="472">
        <f>AtenciónDmda!H15*ProyIngresos!$E$24*ProyIngresos!$D$6</f>
        <v>4308660.1814583158</v>
      </c>
      <c r="J9" s="472">
        <f>AtenciónDmda!I15*ProyIngresos!$E$24*ProyIngresos!$D$6</f>
        <v>4308660.1814583158</v>
      </c>
      <c r="K9" s="472">
        <f>AtenciónDmda!J15*ProyIngresos!$E$24*ProyIngresos!$D$6</f>
        <v>5744880.2419444211</v>
      </c>
      <c r="L9" s="472">
        <f>AtenciónDmda!K15*ProyIngresos!$E$24*ProyIngresos!$D$6</f>
        <v>5026770.2117013689</v>
      </c>
      <c r="M9" s="472">
        <f>AtenciónDmda!L15*ProyIngresos!$E$24*ProyIngresos!$D$6</f>
        <v>4308660.1814583158</v>
      </c>
      <c r="N9" s="472">
        <f>AtenciónDmda!M15*ProyIngresos!$E$24*ProyIngresos!$D$6</f>
        <v>5026770.2117013689</v>
      </c>
      <c r="O9" s="472">
        <f>AtenciónDmda!N15*ProyIngresos!$E$24*ProyIngresos!$D$6</f>
        <v>5744880.2419444211</v>
      </c>
      <c r="P9" s="476">
        <f t="shared" ref="P9:P10" si="0">SUM(D9:O9)</f>
        <v>48831482.056527585</v>
      </c>
      <c r="Q9" s="476">
        <f>ProyIngresos!M21</f>
        <v>50356367.482859299</v>
      </c>
      <c r="R9" s="476">
        <f>ProyIngresos!N21</f>
        <v>52488658.37869978</v>
      </c>
    </row>
    <row r="10" spans="2:21" x14ac:dyDescent="0.25">
      <c r="B10" s="719"/>
      <c r="C10" s="477" t="s">
        <v>545</v>
      </c>
      <c r="D10" s="472">
        <f>AtenciónDmda!C15*ProyIngresos!$E$25*ProyIngresos!$D$7</f>
        <v>2240503.2943583243</v>
      </c>
      <c r="E10" s="472">
        <f>AtenciónDmda!D15*ProyIngresos!$E$25*ProyIngresos!$D$7</f>
        <v>2987337.7258110992</v>
      </c>
      <c r="F10" s="472">
        <f>AtenciónDmda!E15*ProyIngresos!$E$25*ProyIngresos!$D$7</f>
        <v>2240503.2943583243</v>
      </c>
      <c r="G10" s="472">
        <f>AtenciónDmda!F15*ProyIngresos!$E$25*ProyIngresos!$D$7</f>
        <v>3734172.1572638736</v>
      </c>
      <c r="H10" s="472">
        <f>AtenciónDmda!G15*ProyIngresos!$E$25*ProyIngresos!$D$7</f>
        <v>3734172.1572638736</v>
      </c>
      <c r="I10" s="472">
        <f>AtenciónDmda!H15*ProyIngresos!$E$25*ProyIngresos!$D$7</f>
        <v>4481006.5887166485</v>
      </c>
      <c r="J10" s="472">
        <f>AtenciónDmda!I15*ProyIngresos!$E$25*ProyIngresos!$D$7</f>
        <v>4481006.5887166485</v>
      </c>
      <c r="K10" s="472">
        <f>AtenciónDmda!J15*ProyIngresos!$E$25*ProyIngresos!$D$7</f>
        <v>5974675.4516221983</v>
      </c>
      <c r="L10" s="472">
        <f>AtenciónDmda!K15*ProyIngresos!$E$25*ProyIngresos!$D$7</f>
        <v>5227841.020169423</v>
      </c>
      <c r="M10" s="472">
        <f>AtenciónDmda!L15*ProyIngresos!$E$25*ProyIngresos!$D$7</f>
        <v>4481006.5887166485</v>
      </c>
      <c r="N10" s="472">
        <f>AtenciónDmda!M15*ProyIngresos!$E$25*ProyIngresos!$D$7</f>
        <v>5227841.020169423</v>
      </c>
      <c r="O10" s="472">
        <f>AtenciónDmda!N15*ProyIngresos!$E$25*ProyIngresos!$D$7</f>
        <v>5974675.4516221983</v>
      </c>
      <c r="P10" s="476">
        <f t="shared" si="0"/>
        <v>50784741.338788681</v>
      </c>
      <c r="Q10" s="476">
        <f>ProyIngresos!M22</f>
        <v>52370622.182173669</v>
      </c>
      <c r="R10" s="476">
        <f>ProyIngresos!N22</f>
        <v>54588204.713847771</v>
      </c>
    </row>
    <row r="11" spans="2:21" x14ac:dyDescent="0.25">
      <c r="B11" s="719"/>
      <c r="C11" s="477" t="s">
        <v>547</v>
      </c>
      <c r="D11" s="472">
        <f>AtenciónDmda!C15*ProyIngresos!$E$26*ProyIngresos!$D$8</f>
        <v>1120251.6471791621</v>
      </c>
      <c r="E11" s="472">
        <f>AtenciónDmda!D15*ProyIngresos!$E$26*ProyIngresos!$D$8</f>
        <v>1493668.8629055496</v>
      </c>
      <c r="F11" s="472">
        <f>AtenciónDmda!E15*ProyIngresos!$E$26*ProyIngresos!$D$8</f>
        <v>1120251.6471791621</v>
      </c>
      <c r="G11" s="472">
        <f>AtenciónDmda!F15*ProyIngresos!$E$26*ProyIngresos!$D$8</f>
        <v>1867086.0786319368</v>
      </c>
      <c r="H11" s="472">
        <f>AtenciónDmda!G15*ProyIngresos!$E$26*ProyIngresos!$D$8</f>
        <v>1867086.0786319368</v>
      </c>
      <c r="I11" s="472">
        <f>AtenciónDmda!H15*ProyIngresos!$E$26*ProyIngresos!$D$8</f>
        <v>2240503.2943583243</v>
      </c>
      <c r="J11" s="472">
        <f>AtenciónDmda!I15*ProyIngresos!$E$26*ProyIngresos!$D$8</f>
        <v>2240503.2943583243</v>
      </c>
      <c r="K11" s="472">
        <f>AtenciónDmda!J15*ProyIngresos!$E$26*ProyIngresos!$D$8</f>
        <v>2987337.7258110992</v>
      </c>
      <c r="L11" s="472">
        <f>AtenciónDmda!K15*ProyIngresos!$E$26*ProyIngresos!$D$8</f>
        <v>2613920.5100847115</v>
      </c>
      <c r="M11" s="472">
        <f>AtenciónDmda!L15*ProyIngresos!$E$26*ProyIngresos!$D$8</f>
        <v>2240503.2943583243</v>
      </c>
      <c r="N11" s="472">
        <f>AtenciónDmda!M15*ProyIngresos!$E$26*ProyIngresos!$D$8</f>
        <v>2613920.5100847115</v>
      </c>
      <c r="O11" s="472">
        <f>AtenciónDmda!N15*ProyIngresos!$E$26*ProyIngresos!$D$8</f>
        <v>2987337.7258110992</v>
      </c>
      <c r="P11" s="476">
        <f>SUM(D11:O11)</f>
        <v>25392370.66939434</v>
      </c>
      <c r="Q11" s="476">
        <f>ProyIngresos!M23</f>
        <v>26185311.091086835</v>
      </c>
      <c r="R11" s="476">
        <f>ProyIngresos!N23</f>
        <v>27294102.356923886</v>
      </c>
    </row>
    <row r="12" spans="2:21" ht="13.9" customHeight="1" x14ac:dyDescent="0.25">
      <c r="B12" s="719" t="s">
        <v>549</v>
      </c>
      <c r="C12" s="478" t="s">
        <v>550</v>
      </c>
      <c r="D12" s="475">
        <f>SUM(D6:D11)</f>
        <v>8966920.5729246028</v>
      </c>
      <c r="E12" s="475">
        <f t="shared" ref="E12:O12" si="1">SUM(E6:E11)</f>
        <v>12531200.020675797</v>
      </c>
      <c r="F12" s="475">
        <f t="shared" si="1"/>
        <v>8966920.5729246028</v>
      </c>
      <c r="G12" s="475">
        <f t="shared" si="1"/>
        <v>14369561.698098013</v>
      </c>
      <c r="H12" s="475">
        <f t="shared" si="1"/>
        <v>16095479.468426991</v>
      </c>
      <c r="I12" s="475">
        <f t="shared" si="1"/>
        <v>17933841.145849206</v>
      </c>
      <c r="J12" s="475">
        <f t="shared" si="1"/>
        <v>17933841.145849206</v>
      </c>
      <c r="K12" s="475">
        <f t="shared" si="1"/>
        <v>23336482.271022614</v>
      </c>
      <c r="L12" s="475">
        <f t="shared" si="1"/>
        <v>21498120.5936004</v>
      </c>
      <c r="M12" s="475">
        <f t="shared" si="1"/>
        <v>17933841.145849206</v>
      </c>
      <c r="N12" s="475">
        <f t="shared" si="1"/>
        <v>21498120.5936004</v>
      </c>
      <c r="O12" s="475">
        <f t="shared" si="1"/>
        <v>23336482.271022614</v>
      </c>
      <c r="P12" s="475">
        <f>SUM(P6:P11)</f>
        <v>204400811.49984366</v>
      </c>
      <c r="Q12" s="475">
        <f>SUM(Q6:Q11)</f>
        <v>208866176.68591991</v>
      </c>
      <c r="R12" s="475">
        <f>SUM(R6:R11)</f>
        <v>219870606.63705605</v>
      </c>
    </row>
    <row r="13" spans="2:21" x14ac:dyDescent="0.25">
      <c r="B13" s="719"/>
      <c r="C13" s="477" t="s">
        <v>551</v>
      </c>
      <c r="D13" s="472">
        <f>D12*$U$6</f>
        <v>1703714.9088556746</v>
      </c>
      <c r="E13" s="472">
        <f t="shared" ref="E13:G13" si="2">E12*$U$6</f>
        <v>2380928.0039284015</v>
      </c>
      <c r="F13" s="472">
        <f t="shared" si="2"/>
        <v>1703714.9088556746</v>
      </c>
      <c r="G13" s="472">
        <f t="shared" si="2"/>
        <v>2730216.7226386224</v>
      </c>
      <c r="H13" s="472">
        <f t="shared" ref="H13" si="3">H12*$U$6</f>
        <v>3058141.0990011282</v>
      </c>
      <c r="I13" s="472">
        <f t="shared" ref="I13:J13" si="4">I12*$U$6</f>
        <v>3407429.8177113491</v>
      </c>
      <c r="J13" s="472">
        <f t="shared" si="4"/>
        <v>3407429.8177113491</v>
      </c>
      <c r="K13" s="472">
        <f t="shared" ref="K13" si="5">K12*$U$6</f>
        <v>4433931.6314942967</v>
      </c>
      <c r="L13" s="472">
        <f t="shared" ref="L13:M13" si="6">L12*$U$6</f>
        <v>4084642.9127840758</v>
      </c>
      <c r="M13" s="472">
        <f t="shared" si="6"/>
        <v>3407429.8177113491</v>
      </c>
      <c r="N13" s="472">
        <f t="shared" ref="N13" si="7">N12*$U$6</f>
        <v>4084642.9127840758</v>
      </c>
      <c r="O13" s="472">
        <f t="shared" ref="O13" si="8">O12*$U$6</f>
        <v>4433931.6314942967</v>
      </c>
      <c r="P13" s="476">
        <f>P12*$U$6</f>
        <v>38836154.184970297</v>
      </c>
      <c r="Q13" s="476">
        <f t="shared" ref="Q13:R13" si="9">Q12*$U$6</f>
        <v>39684573.570324786</v>
      </c>
      <c r="R13" s="476">
        <f t="shared" si="9"/>
        <v>41775415.26104065</v>
      </c>
    </row>
    <row r="14" spans="2:21" x14ac:dyDescent="0.25">
      <c r="B14" s="719"/>
      <c r="C14" s="477" t="s">
        <v>548</v>
      </c>
      <c r="D14" s="472">
        <f>D12*$U$8</f>
        <v>313842.22005236114</v>
      </c>
      <c r="E14" s="472">
        <f t="shared" ref="E14:O14" si="10">E12*$U$8</f>
        <v>438592.00072365295</v>
      </c>
      <c r="F14" s="472">
        <f t="shared" si="10"/>
        <v>313842.22005236114</v>
      </c>
      <c r="G14" s="472">
        <f t="shared" si="10"/>
        <v>502934.65943343053</v>
      </c>
      <c r="H14" s="472">
        <f t="shared" si="10"/>
        <v>563341.78139494476</v>
      </c>
      <c r="I14" s="472">
        <f t="shared" si="10"/>
        <v>627684.44010472228</v>
      </c>
      <c r="J14" s="472">
        <f t="shared" si="10"/>
        <v>627684.44010472228</v>
      </c>
      <c r="K14" s="472">
        <f t="shared" si="10"/>
        <v>816776.87948579155</v>
      </c>
      <c r="L14" s="472">
        <f t="shared" si="10"/>
        <v>752434.22077601403</v>
      </c>
      <c r="M14" s="472">
        <f t="shared" si="10"/>
        <v>627684.44010472228</v>
      </c>
      <c r="N14" s="472">
        <f t="shared" si="10"/>
        <v>752434.22077601403</v>
      </c>
      <c r="O14" s="472">
        <f t="shared" si="10"/>
        <v>816776.87948579155</v>
      </c>
      <c r="P14" s="476">
        <f>P12*$U$8</f>
        <v>7154028.4024945283</v>
      </c>
      <c r="Q14" s="476">
        <f t="shared" ref="Q14:R14" si="11">Q12*$U$8</f>
        <v>7310316.1840071976</v>
      </c>
      <c r="R14" s="476">
        <f t="shared" si="11"/>
        <v>7695471.2322969623</v>
      </c>
    </row>
    <row r="15" spans="2:21" x14ac:dyDescent="0.25">
      <c r="B15" s="719"/>
      <c r="C15" s="477" t="s">
        <v>552</v>
      </c>
      <c r="D15" s="472">
        <f>D12*$U$7</f>
        <v>86620.452734451668</v>
      </c>
      <c r="E15" s="472">
        <f>E12*$U$7</f>
        <v>121051.3921997282</v>
      </c>
      <c r="F15" s="472">
        <f t="shared" ref="F15:O15" si="12">F12*$U$7</f>
        <v>86620.452734451668</v>
      </c>
      <c r="G15" s="472">
        <f t="shared" si="12"/>
        <v>138809.96600362682</v>
      </c>
      <c r="H15" s="472">
        <f t="shared" si="12"/>
        <v>155482.33166500475</v>
      </c>
      <c r="I15" s="472">
        <f t="shared" si="12"/>
        <v>173240.90546890334</v>
      </c>
      <c r="J15" s="472">
        <f t="shared" si="12"/>
        <v>173240.90546890334</v>
      </c>
      <c r="K15" s="472">
        <f t="shared" si="12"/>
        <v>225430.41873807844</v>
      </c>
      <c r="L15" s="472">
        <f t="shared" si="12"/>
        <v>207671.84493417986</v>
      </c>
      <c r="M15" s="472">
        <f t="shared" si="12"/>
        <v>173240.90546890334</v>
      </c>
      <c r="N15" s="472">
        <f t="shared" si="12"/>
        <v>207671.84493417986</v>
      </c>
      <c r="O15" s="472">
        <f t="shared" si="12"/>
        <v>225430.41873807844</v>
      </c>
      <c r="P15" s="476">
        <f>P12*$U$7</f>
        <v>1974511.8390884898</v>
      </c>
      <c r="Q15" s="476">
        <f t="shared" ref="Q15:R15" si="13">Q12*$U$7</f>
        <v>2017647.2667859865</v>
      </c>
      <c r="R15" s="476">
        <f t="shared" si="13"/>
        <v>2123950.0601139613</v>
      </c>
    </row>
    <row r="16" spans="2:21" x14ac:dyDescent="0.25">
      <c r="C16" s="478" t="s">
        <v>553</v>
      </c>
      <c r="D16" s="475">
        <f>D12+D13-D14-D15</f>
        <v>10270172.808993464</v>
      </c>
      <c r="E16" s="475">
        <f t="shared" ref="E16:O16" si="14">E12+E13-E14-E15</f>
        <v>14352484.631680816</v>
      </c>
      <c r="F16" s="475">
        <f t="shared" si="14"/>
        <v>10270172.808993464</v>
      </c>
      <c r="G16" s="475">
        <f t="shared" si="14"/>
        <v>16458033.79529958</v>
      </c>
      <c r="H16" s="475">
        <f>H12+H13-H14-H15</f>
        <v>18434796.45436817</v>
      </c>
      <c r="I16" s="475">
        <f t="shared" si="14"/>
        <v>20540345.617986929</v>
      </c>
      <c r="J16" s="475">
        <f t="shared" si="14"/>
        <v>20540345.617986929</v>
      </c>
      <c r="K16" s="475">
        <f t="shared" si="14"/>
        <v>26728206.604293037</v>
      </c>
      <c r="L16" s="475">
        <f t="shared" si="14"/>
        <v>24622657.440674283</v>
      </c>
      <c r="M16" s="475">
        <f t="shared" si="14"/>
        <v>20540345.617986929</v>
      </c>
      <c r="N16" s="475">
        <f t="shared" si="14"/>
        <v>24622657.440674283</v>
      </c>
      <c r="O16" s="475">
        <f t="shared" si="14"/>
        <v>26728206.604293037</v>
      </c>
      <c r="P16" s="475">
        <f>P12+P13-P14-P15</f>
        <v>234108425.44323093</v>
      </c>
      <c r="Q16" s="475">
        <f>Q12+Q13-Q14-Q15</f>
        <v>239222786.80545151</v>
      </c>
      <c r="R16" s="475">
        <f>R12+R13-R14-R15</f>
        <v>251826600.60568577</v>
      </c>
    </row>
    <row r="17" spans="2:18" x14ac:dyDescent="0.25">
      <c r="C17" s="477" t="s">
        <v>554</v>
      </c>
      <c r="D17" s="472">
        <f>((D9+D6)*ProyIngresos!$N$6)+((D10+D7)*ProyIngresos!$N$7)+((D11+D8)*ProyIngresos!$N$8)+((D13-D14-D15)*50%)</f>
        <v>5135086.4044967322</v>
      </c>
      <c r="E17" s="472">
        <f>((E9+E6)*ProyIngresos!$N$6)+((E10+E7)*ProyIngresos!$N$7)+((E11+E8)*ProyIngresos!$N$8)+((E13-E14-E15)*50%)</f>
        <v>7176242.3158404082</v>
      </c>
      <c r="F17" s="472">
        <f>((F9+F6)*ProyIngresos!$N$6)+((F10+F7)*ProyIngresos!$N$7)+((F11+F8)*ProyIngresos!$N$8)+((F13-F14-F15)*50%)</f>
        <v>5135086.4044967322</v>
      </c>
      <c r="G17" s="472">
        <f>((G9+G6)*ProyIngresos!$N$6)+((G10+G7)*ProyIngresos!$N$7)+((G11+G8)*ProyIngresos!$N$8)+((G13-G14-G15)*50%)</f>
        <v>8229016.8976497883</v>
      </c>
      <c r="H17" s="472">
        <f>((H9+H6)*ProyIngresos!$N$6)+((H10+H7)*ProyIngresos!$N$7)+((H11+H8)*ProyIngresos!$N$8)+((H13-H14-H15)*50%)</f>
        <v>9217398.2271840852</v>
      </c>
      <c r="I17" s="472">
        <f>((I9+I6)*ProyIngresos!$N$6)+((I10+I7)*ProyIngresos!$N$7)+((I11+I8)*ProyIngresos!$N$8)+((I13-I14-I15)*50%)</f>
        <v>10270172.808993464</v>
      </c>
      <c r="J17" s="472">
        <f>((J9+J6)*ProyIngresos!$N$6)+((J10+J7)*ProyIngresos!$N$7)+((J11+J8)*ProyIngresos!$N$8)+((J13-J14-J15)*50%)</f>
        <v>10270172.808993464</v>
      </c>
      <c r="K17" s="472">
        <f>((K9+K6)*ProyIngresos!$N$6)+((K10+K7)*ProyIngresos!$N$7)+((K11+K8)*ProyIngresos!$N$8)+((K13-K14-K15)*50%)</f>
        <v>13364103.30214652</v>
      </c>
      <c r="L17" s="472">
        <f>((L9+L6)*ProyIngresos!$N$6)+((L10+L7)*ProyIngresos!$N$7)+((L11+L8)*ProyIngresos!$N$8)+((L13-L14-L15)*50%)</f>
        <v>12311328.720337141</v>
      </c>
      <c r="M17" s="472">
        <f>((M9+M6)*ProyIngresos!$N$6)+((M10+M7)*ProyIngresos!$N$7)+((M11+M8)*ProyIngresos!$N$8)+((M13-M14-M15)*50%)</f>
        <v>10270172.808993464</v>
      </c>
      <c r="N17" s="472">
        <f>((N9+N6)*ProyIngresos!$N$6)+((N10+N7)*ProyIngresos!$N$7)+((N11+N8)*ProyIngresos!$N$8)+((N13-N14-N15)*50%)</f>
        <v>12311328.720337141</v>
      </c>
      <c r="O17" s="472">
        <f>((O9+O6)*ProyIngresos!$N$6)+((O10+O7)*ProyIngresos!$N$7)+((O11+O8)*ProyIngresos!$N$8)+((O13-O14-O15)*50%)</f>
        <v>13364103.30214652</v>
      </c>
      <c r="P17" s="476">
        <f>((P9+P6)*ProyIngresos!$N$6)+((P10+P7)*ProyIngresos!$N$7)+((P11+P8)*ProyIngresos!$N$8)+((P13-P14-P15)*50%)</f>
        <v>117054212.72161546</v>
      </c>
      <c r="Q17" s="476">
        <f>((Q9+Q6)*ProyIngresos!$N$6)+((Q10+Q7)*ProyIngresos!$N$7)+((Q11+Q8)*ProyIngresos!$N$8)+((Q13-Q14-Q15)*50%)</f>
        <v>119611393.40272576</v>
      </c>
      <c r="R17" s="476">
        <f>((R9+R6)*ProyIngresos!$N$6)+((R10+R7)*ProyIngresos!$N$7)+((R11+R8)*ProyIngresos!$N$8)+((R13-R14-R15)*50%)</f>
        <v>125913300.30284292</v>
      </c>
    </row>
    <row r="18" spans="2:18" x14ac:dyDescent="0.25">
      <c r="C18" s="477" t="s">
        <v>555</v>
      </c>
      <c r="D18" s="472">
        <f>D16-D17</f>
        <v>5135086.4044967322</v>
      </c>
      <c r="E18" s="472">
        <f>E16-E17</f>
        <v>7176242.3158404082</v>
      </c>
      <c r="F18" s="472">
        <f t="shared" ref="F18:N18" si="15">F16-F17</f>
        <v>5135086.4044967322</v>
      </c>
      <c r="G18" s="472">
        <f t="shared" si="15"/>
        <v>8229016.897649792</v>
      </c>
      <c r="H18" s="472">
        <f t="shared" si="15"/>
        <v>9217398.2271840852</v>
      </c>
      <c r="I18" s="472">
        <f t="shared" si="15"/>
        <v>10270172.808993464</v>
      </c>
      <c r="J18" s="472">
        <f t="shared" si="15"/>
        <v>10270172.808993464</v>
      </c>
      <c r="K18" s="472">
        <f t="shared" si="15"/>
        <v>13364103.302146517</v>
      </c>
      <c r="L18" s="472">
        <f t="shared" si="15"/>
        <v>12311328.720337141</v>
      </c>
      <c r="M18" s="472">
        <f t="shared" si="15"/>
        <v>10270172.808993464</v>
      </c>
      <c r="N18" s="472">
        <f t="shared" si="15"/>
        <v>12311328.720337141</v>
      </c>
      <c r="O18" s="472">
        <f>O16-O17</f>
        <v>13364103.302146517</v>
      </c>
      <c r="P18" s="476">
        <f>P16-P17</f>
        <v>117054212.72161546</v>
      </c>
      <c r="Q18" s="476">
        <f>Q16-Q17</f>
        <v>119611393.40272576</v>
      </c>
      <c r="R18" s="476">
        <f>R16-R17</f>
        <v>125913300.30284286</v>
      </c>
    </row>
    <row r="19" spans="2:18" x14ac:dyDescent="0.25">
      <c r="C19" s="477" t="s">
        <v>556</v>
      </c>
      <c r="D19" s="472">
        <v>0</v>
      </c>
      <c r="E19" s="472">
        <f>D18</f>
        <v>5135086.4044967322</v>
      </c>
      <c r="F19" s="472">
        <f>E18</f>
        <v>7176242.3158404082</v>
      </c>
      <c r="G19" s="472">
        <f>F18</f>
        <v>5135086.4044967322</v>
      </c>
      <c r="H19" s="472">
        <f>G18</f>
        <v>8229016.897649792</v>
      </c>
      <c r="I19" s="472">
        <f>H18</f>
        <v>9217398.2271840852</v>
      </c>
      <c r="J19" s="472">
        <f t="shared" ref="J19:N19" si="16">I18</f>
        <v>10270172.808993464</v>
      </c>
      <c r="K19" s="472">
        <f t="shared" si="16"/>
        <v>10270172.808993464</v>
      </c>
      <c r="L19" s="472">
        <f t="shared" si="16"/>
        <v>13364103.302146517</v>
      </c>
      <c r="M19" s="472">
        <f t="shared" si="16"/>
        <v>12311328.720337141</v>
      </c>
      <c r="N19" s="472">
        <f t="shared" si="16"/>
        <v>10270172.808993464</v>
      </c>
      <c r="O19" s="472">
        <f>N18</f>
        <v>12311328.720337141</v>
      </c>
      <c r="P19" s="476">
        <f>SUM(D19:O19)</f>
        <v>103690109.41946894</v>
      </c>
      <c r="Q19" s="476">
        <f>($P$19*Q12)/$P$12</f>
        <v>105955336.26149881</v>
      </c>
      <c r="R19" s="476">
        <f>($P$19*R12)/$P$12</f>
        <v>111537753.16757387</v>
      </c>
    </row>
    <row r="20" spans="2:18" x14ac:dyDescent="0.25">
      <c r="C20" s="477" t="s">
        <v>557</v>
      </c>
      <c r="D20" s="472">
        <f>D19+D17</f>
        <v>5135086.4044967322</v>
      </c>
      <c r="E20" s="472">
        <f>E19+E17</f>
        <v>12311328.720337141</v>
      </c>
      <c r="F20" s="472">
        <f>F19+F17</f>
        <v>12311328.720337141</v>
      </c>
      <c r="G20" s="472">
        <f>G19+G17</f>
        <v>13364103.30214652</v>
      </c>
      <c r="H20" s="472">
        <f t="shared" ref="H20:N20" si="17">H19+H17</f>
        <v>17446415.124833878</v>
      </c>
      <c r="I20" s="472">
        <f t="shared" si="17"/>
        <v>19487571.03617755</v>
      </c>
      <c r="J20" s="472">
        <f>J19+J17</f>
        <v>20540345.617986929</v>
      </c>
      <c r="K20" s="472">
        <f t="shared" si="17"/>
        <v>23634276.111139983</v>
      </c>
      <c r="L20" s="472">
        <f t="shared" si="17"/>
        <v>25675432.022483658</v>
      </c>
      <c r="M20" s="472">
        <f t="shared" si="17"/>
        <v>22581501.529330604</v>
      </c>
      <c r="N20" s="472">
        <f t="shared" si="17"/>
        <v>22581501.529330604</v>
      </c>
      <c r="O20" s="472">
        <f>O19+O17</f>
        <v>25675432.022483662</v>
      </c>
      <c r="P20" s="476">
        <f>P19+P17</f>
        <v>220744322.1410844</v>
      </c>
      <c r="Q20" s="476">
        <f>Q19+Q17</f>
        <v>225566729.66422457</v>
      </c>
      <c r="R20" s="476">
        <f>R19+R17</f>
        <v>237451053.47041678</v>
      </c>
    </row>
    <row r="21" spans="2:18" x14ac:dyDescent="0.25">
      <c r="C21" s="133" t="s">
        <v>558</v>
      </c>
      <c r="D21" s="472">
        <f>D18</f>
        <v>5135086.4044967322</v>
      </c>
      <c r="E21" s="472">
        <f t="shared" ref="E21:N21" si="18">E18</f>
        <v>7176242.3158404082</v>
      </c>
      <c r="F21" s="472">
        <f t="shared" si="18"/>
        <v>5135086.4044967322</v>
      </c>
      <c r="G21" s="472">
        <f t="shared" si="18"/>
        <v>8229016.897649792</v>
      </c>
      <c r="H21" s="472">
        <f t="shared" si="18"/>
        <v>9217398.2271840852</v>
      </c>
      <c r="I21" s="472">
        <f t="shared" si="18"/>
        <v>10270172.808993464</v>
      </c>
      <c r="J21" s="472">
        <f t="shared" si="18"/>
        <v>10270172.808993464</v>
      </c>
      <c r="K21" s="472">
        <f t="shared" si="18"/>
        <v>13364103.302146517</v>
      </c>
      <c r="L21" s="472">
        <f t="shared" si="18"/>
        <v>12311328.720337141</v>
      </c>
      <c r="M21" s="472">
        <f t="shared" si="18"/>
        <v>10270172.808993464</v>
      </c>
      <c r="N21" s="472">
        <f t="shared" si="18"/>
        <v>12311328.720337141</v>
      </c>
      <c r="O21" s="472">
        <f>O18</f>
        <v>13364103.302146517</v>
      </c>
      <c r="P21" s="476">
        <f>P18-P19</f>
        <v>13364103.302146524</v>
      </c>
      <c r="Q21" s="476">
        <f>Q18-Q19</f>
        <v>13656057.141226947</v>
      </c>
      <c r="R21" s="476">
        <f>R18-R19</f>
        <v>14375547.135268986</v>
      </c>
    </row>
    <row r="23" spans="2:18" x14ac:dyDescent="0.25">
      <c r="B23" s="1" t="s">
        <v>255</v>
      </c>
      <c r="R23" s="195"/>
    </row>
    <row r="24" spans="2:18" x14ac:dyDescent="0.25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</row>
    <row r="25" spans="2:18" x14ac:dyDescent="0.25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</row>
    <row r="26" spans="2:18" x14ac:dyDescent="0.25">
      <c r="C26" s="177"/>
      <c r="D26" s="177"/>
      <c r="E26" s="177"/>
      <c r="F26" s="177"/>
      <c r="G26" s="177"/>
      <c r="H26" s="177"/>
      <c r="I26" s="177"/>
      <c r="J26" s="177"/>
      <c r="K26" s="177"/>
      <c r="L26" s="177" t="s">
        <v>559</v>
      </c>
      <c r="M26" s="177"/>
      <c r="N26" s="177"/>
    </row>
    <row r="27" spans="2:18" x14ac:dyDescent="0.25">
      <c r="C27" s="177"/>
      <c r="D27" s="177"/>
      <c r="E27" s="177"/>
      <c r="F27" s="177"/>
      <c r="G27" s="177"/>
      <c r="H27" s="177"/>
      <c r="I27" s="177"/>
      <c r="J27" s="177"/>
      <c r="K27" s="177"/>
      <c r="L27" s="178" t="s">
        <v>560</v>
      </c>
      <c r="M27" s="177"/>
      <c r="N27" s="177"/>
    </row>
    <row r="28" spans="2:18" x14ac:dyDescent="0.25">
      <c r="C28" s="177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54"/>
      <c r="P28" s="54"/>
    </row>
    <row r="29" spans="2:18" x14ac:dyDescent="0.25"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</row>
    <row r="30" spans="2:18" x14ac:dyDescent="0.25"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</row>
    <row r="31" spans="2:18" x14ac:dyDescent="0.25"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</row>
    <row r="32" spans="2:18" x14ac:dyDescent="0.25"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</row>
    <row r="33" spans="3:14" x14ac:dyDescent="0.25"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</row>
    <row r="34" spans="3:14" x14ac:dyDescent="0.25"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</row>
    <row r="35" spans="3:14" x14ac:dyDescent="0.25"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</row>
    <row r="36" spans="3:14" x14ac:dyDescent="0.25"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</row>
    <row r="37" spans="3:14" x14ac:dyDescent="0.25"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</row>
    <row r="38" spans="3:14" x14ac:dyDescent="0.25"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</row>
    <row r="39" spans="3:14" x14ac:dyDescent="0.25"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</row>
    <row r="40" spans="3:14" x14ac:dyDescent="0.25"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</row>
    <row r="41" spans="3:14" x14ac:dyDescent="0.25"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</row>
    <row r="42" spans="3:14" x14ac:dyDescent="0.25"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</row>
    <row r="43" spans="3:14" x14ac:dyDescent="0.25"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</row>
    <row r="44" spans="3:14" x14ac:dyDescent="0.25"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</row>
    <row r="45" spans="3:14" x14ac:dyDescent="0.25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</row>
    <row r="46" spans="3:14" x14ac:dyDescent="0.25"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</row>
    <row r="47" spans="3:14" x14ac:dyDescent="0.25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</row>
    <row r="48" spans="3:14" x14ac:dyDescent="0.25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</row>
    <row r="49" spans="3:14" x14ac:dyDescent="0.25"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</row>
    <row r="50" spans="3:14" x14ac:dyDescent="0.25"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</row>
    <row r="51" spans="3:14" x14ac:dyDescent="0.25"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</row>
    <row r="52" spans="3:14" x14ac:dyDescent="0.25"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</row>
    <row r="53" spans="3:14" x14ac:dyDescent="0.25"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</row>
    <row r="54" spans="3:14" x14ac:dyDescent="0.25"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</row>
    <row r="55" spans="3:14" x14ac:dyDescent="0.25"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</row>
    <row r="56" spans="3:14" x14ac:dyDescent="0.25"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</row>
    <row r="57" spans="3:14" x14ac:dyDescent="0.25"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</row>
    <row r="58" spans="3:14" x14ac:dyDescent="0.25"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</row>
    <row r="59" spans="3:14" x14ac:dyDescent="0.25"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</row>
    <row r="60" spans="3:14" x14ac:dyDescent="0.25"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</row>
    <row r="61" spans="3:14" x14ac:dyDescent="0.25"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</row>
    <row r="62" spans="3:14" x14ac:dyDescent="0.25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3:14" x14ac:dyDescent="0.25"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spans="3:14" x14ac:dyDescent="0.25"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</row>
    <row r="65" spans="3:14" x14ac:dyDescent="0.25"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</row>
    <row r="66" spans="3:14" x14ac:dyDescent="0.25"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</row>
    <row r="67" spans="3:14" x14ac:dyDescent="0.25"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</row>
    <row r="68" spans="3:14" x14ac:dyDescent="0.25"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</row>
    <row r="69" spans="3:14" x14ac:dyDescent="0.25"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</row>
    <row r="70" spans="3:14" x14ac:dyDescent="0.25"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</row>
    <row r="71" spans="3:14" x14ac:dyDescent="0.25"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</row>
    <row r="72" spans="3:14" x14ac:dyDescent="0.25"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</row>
    <row r="73" spans="3:14" x14ac:dyDescent="0.25"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</row>
    <row r="74" spans="3:14" x14ac:dyDescent="0.25"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</row>
    <row r="75" spans="3:14" x14ac:dyDescent="0.25"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</row>
  </sheetData>
  <mergeCells count="4">
    <mergeCell ref="C4:R4"/>
    <mergeCell ref="B6:B8"/>
    <mergeCell ref="B9:B11"/>
    <mergeCell ref="B12:B15"/>
  </mergeCells>
  <pageMargins left="0.7" right="0.7" top="0.75" bottom="0.75" header="0.3" footer="0.3"/>
  <pageSetup orientation="portrait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4:Q41"/>
  <sheetViews>
    <sheetView zoomScaleNormal="100" workbookViewId="0">
      <selection activeCell="J6" sqref="J6"/>
    </sheetView>
  </sheetViews>
  <sheetFormatPr baseColWidth="10" defaultColWidth="11.5" defaultRowHeight="15" x14ac:dyDescent="0.25"/>
  <cols>
    <col min="1" max="1" width="11.5" style="1"/>
    <col min="2" max="2" width="40.5" style="1" customWidth="1"/>
    <col min="3" max="17" width="10.625" style="1" customWidth="1"/>
    <col min="18" max="16384" width="11.5" style="1"/>
  </cols>
  <sheetData>
    <row r="4" spans="2:17" x14ac:dyDescent="0.25">
      <c r="B4" s="742" t="s">
        <v>561</v>
      </c>
      <c r="C4" s="742"/>
      <c r="D4" s="742"/>
      <c r="E4" s="742"/>
    </row>
    <row r="5" spans="2:17" x14ac:dyDescent="0.25">
      <c r="B5" s="519" t="s">
        <v>205</v>
      </c>
      <c r="C5" s="533" t="s">
        <v>232</v>
      </c>
      <c r="D5" s="533" t="s">
        <v>233</v>
      </c>
      <c r="E5" s="533" t="s">
        <v>215</v>
      </c>
      <c r="I5" s="49"/>
    </row>
    <row r="6" spans="2:17" x14ac:dyDescent="0.25">
      <c r="B6" s="353" t="s">
        <v>562</v>
      </c>
      <c r="C6" s="472">
        <f>PresIngresos!P12*GastosVentas!$H$6</f>
        <v>6132024.3449953096</v>
      </c>
      <c r="D6" s="472">
        <f>PresIngresos!Q12*GastosVentas!$H$6</f>
        <v>6265985.3005775968</v>
      </c>
      <c r="E6" s="472">
        <f>PresIngresos!R12*GastosVentas!$H$6</f>
        <v>6596118.1991116814</v>
      </c>
      <c r="G6" s="283" t="s">
        <v>564</v>
      </c>
      <c r="H6" s="356">
        <v>0.03</v>
      </c>
    </row>
    <row r="7" spans="2:17" x14ac:dyDescent="0.25">
      <c r="B7" s="353" t="s">
        <v>563</v>
      </c>
      <c r="C7" s="472">
        <f>O14</f>
        <v>1974511.8390884898</v>
      </c>
      <c r="D7" s="472">
        <f>PresIngresos!Q12*$H$8</f>
        <v>2017647.2667859865</v>
      </c>
      <c r="E7" s="472">
        <f>PresIngresos!R12*$H$8</f>
        <v>2123950.0601139613</v>
      </c>
      <c r="G7" s="283" t="s">
        <v>566</v>
      </c>
      <c r="H7" s="356">
        <v>0.15</v>
      </c>
    </row>
    <row r="8" spans="2:17" x14ac:dyDescent="0.25">
      <c r="B8" s="353" t="s">
        <v>565</v>
      </c>
      <c r="C8" s="472">
        <f>C7*$H$7</f>
        <v>296176.77586327348</v>
      </c>
      <c r="D8" s="472">
        <f>D7*$H$7</f>
        <v>302647.09001789795</v>
      </c>
      <c r="E8" s="472">
        <f>E7*$H$7</f>
        <v>318592.50901709421</v>
      </c>
      <c r="G8" s="283" t="s">
        <v>567</v>
      </c>
      <c r="H8" s="346">
        <f>9.66/1000</f>
        <v>9.6600000000000002E-3</v>
      </c>
    </row>
    <row r="9" spans="2:17" x14ac:dyDescent="0.25">
      <c r="B9" s="519" t="s">
        <v>568</v>
      </c>
      <c r="C9" s="479">
        <f>SUM(C6:C8)</f>
        <v>8402712.959947072</v>
      </c>
      <c r="D9" s="479">
        <f>SUM(D6:D8)</f>
        <v>8586279.6573814806</v>
      </c>
      <c r="E9" s="480">
        <f>SUM(E6:E8)</f>
        <v>9038660.7682427373</v>
      </c>
    </row>
    <row r="12" spans="2:17" x14ac:dyDescent="0.25">
      <c r="B12" s="186" t="s">
        <v>569</v>
      </c>
      <c r="C12" s="525" t="s">
        <v>570</v>
      </c>
      <c r="D12" s="525" t="s">
        <v>347</v>
      </c>
      <c r="E12" s="525" t="s">
        <v>348</v>
      </c>
      <c r="F12" s="525" t="s">
        <v>349</v>
      </c>
      <c r="G12" s="525" t="s">
        <v>350</v>
      </c>
      <c r="H12" s="525" t="s">
        <v>351</v>
      </c>
      <c r="I12" s="525" t="s">
        <v>352</v>
      </c>
      <c r="J12" s="525" t="s">
        <v>353</v>
      </c>
      <c r="K12" s="525" t="s">
        <v>354</v>
      </c>
      <c r="L12" s="525" t="s">
        <v>355</v>
      </c>
      <c r="M12" s="525" t="s">
        <v>356</v>
      </c>
      <c r="N12" s="525" t="s">
        <v>357</v>
      </c>
      <c r="O12" s="525" t="s">
        <v>232</v>
      </c>
      <c r="P12" s="525" t="s">
        <v>233</v>
      </c>
      <c r="Q12" s="525" t="s">
        <v>215</v>
      </c>
    </row>
    <row r="13" spans="2:17" x14ac:dyDescent="0.25">
      <c r="B13" s="354" t="s">
        <v>562</v>
      </c>
      <c r="C13" s="472">
        <f>$H$6*PresIngresos!D12</f>
        <v>269007.61718773807</v>
      </c>
      <c r="D13" s="472">
        <f>$H$6*PresIngresos!E12</f>
        <v>375936.00062027387</v>
      </c>
      <c r="E13" s="472">
        <f>$H$6*PresIngresos!F12</f>
        <v>269007.61718773807</v>
      </c>
      <c r="F13" s="472">
        <f>$H$6*PresIngresos!G12</f>
        <v>431086.85094294039</v>
      </c>
      <c r="G13" s="472">
        <f>$H$6*PresIngresos!H12</f>
        <v>482864.38405280974</v>
      </c>
      <c r="H13" s="472">
        <f>$H$6*PresIngresos!I12</f>
        <v>538015.23437547614</v>
      </c>
      <c r="I13" s="472">
        <f>$H$6*PresIngresos!J12</f>
        <v>538015.23437547614</v>
      </c>
      <c r="J13" s="472">
        <f>$H$6*PresIngresos!K12</f>
        <v>700094.4681306784</v>
      </c>
      <c r="K13" s="472">
        <f>$H$6*PresIngresos!L12</f>
        <v>644943.61780801194</v>
      </c>
      <c r="L13" s="472">
        <f>$H$6*PresIngresos!M12</f>
        <v>538015.23437547614</v>
      </c>
      <c r="M13" s="472">
        <f>$H$6*PresIngresos!N12</f>
        <v>644943.61780801194</v>
      </c>
      <c r="N13" s="472">
        <f>$H$6*PresIngresos!O12</f>
        <v>700094.4681306784</v>
      </c>
      <c r="O13" s="475">
        <f>SUM(C13:N13)</f>
        <v>6132024.3449953087</v>
      </c>
      <c r="P13" s="475">
        <f>PresIngresos!Q12*$H$6</f>
        <v>6265985.3005775968</v>
      </c>
      <c r="Q13" s="475">
        <f>PresIngresos!R12*$H$6</f>
        <v>6596118.1991116814</v>
      </c>
    </row>
    <row r="14" spans="2:17" x14ac:dyDescent="0.25">
      <c r="B14" s="355" t="s">
        <v>563</v>
      </c>
      <c r="C14" s="472">
        <f>(PresIngresos!D12)*$H$8</f>
        <v>86620.452734451668</v>
      </c>
      <c r="D14" s="472">
        <f>(PresIngresos!E12)*$H$8</f>
        <v>121051.3921997282</v>
      </c>
      <c r="E14" s="472">
        <f>(PresIngresos!F12)*$H$8</f>
        <v>86620.452734451668</v>
      </c>
      <c r="F14" s="472">
        <f>(PresIngresos!G12)*$H$8</f>
        <v>138809.96600362682</v>
      </c>
      <c r="G14" s="472">
        <f>(PresIngresos!H12)*$H$8</f>
        <v>155482.33166500475</v>
      </c>
      <c r="H14" s="472">
        <f>(PresIngresos!I12)*$H$8</f>
        <v>173240.90546890334</v>
      </c>
      <c r="I14" s="472">
        <f>(PresIngresos!J12)*$H$8</f>
        <v>173240.90546890334</v>
      </c>
      <c r="J14" s="472">
        <f>(PresIngresos!K12)*$H$8</f>
        <v>225430.41873807844</v>
      </c>
      <c r="K14" s="472">
        <f>(PresIngresos!L12)*$H$8</f>
        <v>207671.84493417986</v>
      </c>
      <c r="L14" s="472">
        <f>(PresIngresos!M12)*$H$8</f>
        <v>173240.90546890334</v>
      </c>
      <c r="M14" s="472">
        <f>(PresIngresos!N12)*$H$8</f>
        <v>207671.84493417986</v>
      </c>
      <c r="N14" s="472">
        <f>(PresIngresos!O12)*$H$8</f>
        <v>225430.41873807844</v>
      </c>
      <c r="O14" s="475">
        <f>SUM(C14:N14)</f>
        <v>1974511.8390884898</v>
      </c>
      <c r="P14" s="475">
        <f>PresIngresos!Q12*$H$8</f>
        <v>2017647.2667859865</v>
      </c>
      <c r="Q14" s="475">
        <f>PresIngresos!R12*$H$8</f>
        <v>2123950.0601139613</v>
      </c>
    </row>
    <row r="15" spans="2:17" x14ac:dyDescent="0.25">
      <c r="B15" s="355" t="s">
        <v>565</v>
      </c>
      <c r="C15" s="472">
        <f t="shared" ref="C15:Q15" si="0">C14*$H$7</f>
        <v>12993.067910167751</v>
      </c>
      <c r="D15" s="472">
        <f t="shared" si="0"/>
        <v>18157.708829959229</v>
      </c>
      <c r="E15" s="472">
        <f t="shared" si="0"/>
        <v>12993.067910167751</v>
      </c>
      <c r="F15" s="472">
        <f t="shared" si="0"/>
        <v>20821.494900544021</v>
      </c>
      <c r="G15" s="472">
        <f t="shared" si="0"/>
        <v>23322.349749750712</v>
      </c>
      <c r="H15" s="472">
        <f t="shared" si="0"/>
        <v>25986.135820335501</v>
      </c>
      <c r="I15" s="472">
        <f t="shared" si="0"/>
        <v>25986.135820335501</v>
      </c>
      <c r="J15" s="472">
        <f t="shared" si="0"/>
        <v>33814.562810711766</v>
      </c>
      <c r="K15" s="472">
        <f t="shared" si="0"/>
        <v>31150.776740126978</v>
      </c>
      <c r="L15" s="472">
        <f t="shared" si="0"/>
        <v>25986.135820335501</v>
      </c>
      <c r="M15" s="472">
        <f t="shared" si="0"/>
        <v>31150.776740126978</v>
      </c>
      <c r="N15" s="472">
        <f t="shared" si="0"/>
        <v>33814.562810711766</v>
      </c>
      <c r="O15" s="475">
        <f t="shared" si="0"/>
        <v>296176.77586327348</v>
      </c>
      <c r="P15" s="475">
        <f t="shared" si="0"/>
        <v>302647.09001789795</v>
      </c>
      <c r="Q15" s="475">
        <f t="shared" si="0"/>
        <v>318592.50901709421</v>
      </c>
    </row>
    <row r="16" spans="2:17" x14ac:dyDescent="0.25">
      <c r="P16" s="180">
        <f>+(PresIngresos!N12+PresIngresos!O12)*$H$8</f>
        <v>433102.2636722583</v>
      </c>
    </row>
    <row r="41" spans="7:7" x14ac:dyDescent="0.25">
      <c r="G41" s="1" t="s">
        <v>571</v>
      </c>
    </row>
  </sheetData>
  <mergeCells count="1">
    <mergeCell ref="B4:E4"/>
  </mergeCells>
  <pageMargins left="0.7" right="0.7" top="0.75" bottom="0.75" header="0.3" footer="0.3"/>
  <pageSetup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4:J22"/>
  <sheetViews>
    <sheetView topLeftCell="A4" workbookViewId="0">
      <selection activeCell="J12" sqref="J12"/>
    </sheetView>
  </sheetViews>
  <sheetFormatPr baseColWidth="10" defaultColWidth="11.5" defaultRowHeight="15" x14ac:dyDescent="0.25"/>
  <cols>
    <col min="1" max="1" width="11.5" style="1"/>
    <col min="2" max="2" width="8.125" style="1" customWidth="1"/>
    <col min="3" max="3" width="6.875" style="1" customWidth="1"/>
    <col min="4" max="5" width="11.5" style="1"/>
    <col min="6" max="6" width="9.625" style="1" customWidth="1"/>
    <col min="7" max="9" width="16.875" style="1" customWidth="1"/>
    <col min="10" max="10" width="12.5" style="1" customWidth="1"/>
    <col min="11" max="11" width="11.5" style="1"/>
    <col min="12" max="12" width="7.125" style="1" customWidth="1"/>
    <col min="13" max="13" width="10.625" style="1" customWidth="1"/>
    <col min="14" max="14" width="49" style="1" customWidth="1"/>
    <col min="15" max="15" width="13.375" style="1" customWidth="1"/>
    <col min="16" max="16" width="13.625" style="1" customWidth="1"/>
    <col min="17" max="16384" width="11.5" style="1"/>
  </cols>
  <sheetData>
    <row r="4" spans="2:10" ht="15.75" thickBot="1" x14ac:dyDescent="0.3"/>
    <row r="5" spans="2:10" ht="11.25" customHeight="1" x14ac:dyDescent="0.25">
      <c r="B5" s="743" t="s">
        <v>572</v>
      </c>
      <c r="C5" s="744"/>
      <c r="D5" s="744"/>
      <c r="E5" s="744"/>
      <c r="F5" s="744"/>
      <c r="G5" s="744"/>
      <c r="H5" s="744"/>
      <c r="I5" s="745"/>
    </row>
    <row r="6" spans="2:10" ht="12" customHeight="1" x14ac:dyDescent="0.25">
      <c r="B6" s="746"/>
      <c r="C6" s="747"/>
      <c r="D6" s="747"/>
      <c r="E6" s="747"/>
      <c r="F6" s="747"/>
      <c r="G6" s="747"/>
      <c r="H6" s="747"/>
      <c r="I6" s="748"/>
    </row>
    <row r="7" spans="2:10" x14ac:dyDescent="0.25">
      <c r="B7" s="749" t="s">
        <v>205</v>
      </c>
      <c r="C7" s="656"/>
      <c r="D7" s="656"/>
      <c r="E7" s="656"/>
      <c r="F7" s="656"/>
      <c r="G7" s="513" t="s">
        <v>213</v>
      </c>
      <c r="H7" s="513" t="s">
        <v>214</v>
      </c>
      <c r="I7" s="277" t="s">
        <v>573</v>
      </c>
    </row>
    <row r="8" spans="2:10" x14ac:dyDescent="0.25">
      <c r="B8" s="700" t="s">
        <v>574</v>
      </c>
      <c r="C8" s="648"/>
      <c r="D8" s="750" t="s">
        <v>501</v>
      </c>
      <c r="E8" s="750"/>
      <c r="F8" s="750"/>
      <c r="G8" s="357">
        <v>0</v>
      </c>
      <c r="H8" s="158">
        <f>PresGastosAdmin!E14</f>
        <v>313606.24650000001</v>
      </c>
      <c r="I8" s="358">
        <f>PresGastosAdmin!F14</f>
        <v>323739.49153690797</v>
      </c>
    </row>
    <row r="9" spans="2:10" x14ac:dyDescent="0.25">
      <c r="B9" s="700"/>
      <c r="C9" s="648"/>
      <c r="D9" s="750" t="s">
        <v>575</v>
      </c>
      <c r="E9" s="750"/>
      <c r="F9" s="750"/>
      <c r="G9" s="158">
        <v>0</v>
      </c>
      <c r="H9" s="158">
        <f>PresGastosAdmin!E15</f>
        <v>37579.362465000006</v>
      </c>
      <c r="I9" s="358">
        <f>PresGastosAdmin!F15</f>
        <v>38793.626824969084</v>
      </c>
    </row>
    <row r="10" spans="2:10" x14ac:dyDescent="0.25">
      <c r="B10" s="700"/>
      <c r="C10" s="648"/>
      <c r="D10" s="751" t="s">
        <v>576</v>
      </c>
      <c r="E10" s="751"/>
      <c r="F10" s="751"/>
      <c r="G10" s="46">
        <f>PresPersonal!G18</f>
        <v>94373934.879999995</v>
      </c>
      <c r="H10" s="46">
        <f>PresPersonal!H18</f>
        <v>99403971.235169113</v>
      </c>
      <c r="I10" s="56">
        <f>PresPersonal!I18</f>
        <v>104603991.77842328</v>
      </c>
    </row>
    <row r="11" spans="2:10" x14ac:dyDescent="0.25">
      <c r="B11" s="700"/>
      <c r="C11" s="648"/>
      <c r="D11" s="751" t="s">
        <v>577</v>
      </c>
      <c r="E11" s="751"/>
      <c r="F11" s="751"/>
      <c r="G11" s="46">
        <f>PresGastosAdmin!D6</f>
        <v>9000000</v>
      </c>
      <c r="H11" s="46">
        <f>PresGastosAdmin!E6</f>
        <v>9299691</v>
      </c>
      <c r="I11" s="56">
        <f>PresGastosAdmin!F6</f>
        <v>9600182.6155919991</v>
      </c>
    </row>
    <row r="12" spans="2:10" x14ac:dyDescent="0.25">
      <c r="B12" s="700"/>
      <c r="C12" s="648"/>
      <c r="D12" s="751" t="s">
        <v>578</v>
      </c>
      <c r="E12" s="751"/>
      <c r="F12" s="751"/>
      <c r="G12" s="46">
        <f>PresGastosAdmin!D9</f>
        <v>0</v>
      </c>
      <c r="H12" s="46">
        <f>PresGastosAdmin!E9</f>
        <v>0</v>
      </c>
      <c r="I12" s="56">
        <f>PresGastosAdmin!F9</f>
        <v>0</v>
      </c>
    </row>
    <row r="13" spans="2:10" x14ac:dyDescent="0.25">
      <c r="B13" s="700"/>
      <c r="C13" s="648"/>
      <c r="D13" s="751" t="s">
        <v>579</v>
      </c>
      <c r="E13" s="751"/>
      <c r="F13" s="751"/>
      <c r="G13" s="46">
        <f>PresGastosAdmin!D10+InvActivosFijos!E44</f>
        <v>1135000</v>
      </c>
      <c r="H13" s="46">
        <f>PresGastosAdmin!E10+InvActivosFijos!E44*(1+ProyecciónIPC!E27)</f>
        <v>1172794.365</v>
      </c>
      <c r="I13" s="56">
        <f>PresGastosAdmin!F10+InvActivosFijos!E44*(1+ProyecciónIPC!E28)</f>
        <v>1208799.0738710398</v>
      </c>
    </row>
    <row r="14" spans="2:10" x14ac:dyDescent="0.25">
      <c r="B14" s="700"/>
      <c r="C14" s="648"/>
      <c r="D14" s="751" t="s">
        <v>580</v>
      </c>
      <c r="E14" s="751"/>
      <c r="F14" s="751"/>
      <c r="G14" s="46">
        <f>DepreciaciónActFijos!C20</f>
        <v>4064000</v>
      </c>
      <c r="H14" s="46">
        <f>DepreciaciónActFijos!D20</f>
        <v>4064000</v>
      </c>
      <c r="I14" s="56">
        <f>DepreciaciónActFijos!E20</f>
        <v>4064000</v>
      </c>
    </row>
    <row r="15" spans="2:10" x14ac:dyDescent="0.25">
      <c r="B15" s="700"/>
      <c r="C15" s="648"/>
      <c r="D15" s="751" t="s">
        <v>581</v>
      </c>
      <c r="E15" s="751"/>
      <c r="F15" s="751"/>
      <c r="G15" s="46">
        <f>PresGastosAdmin!D13</f>
        <v>1569904.7619047619</v>
      </c>
      <c r="H15" s="46">
        <f>PresGastosAdmin!E13</f>
        <v>1766142.857142857</v>
      </c>
      <c r="I15" s="56">
        <f>PresGastosAdmin!F13</f>
        <v>1962380.9523809522</v>
      </c>
    </row>
    <row r="16" spans="2:10" x14ac:dyDescent="0.25">
      <c r="B16" s="700"/>
      <c r="C16" s="648"/>
      <c r="D16" s="656" t="s">
        <v>582</v>
      </c>
      <c r="E16" s="656"/>
      <c r="F16" s="656"/>
      <c r="G16" s="275">
        <f>SUM(G8:G15)</f>
        <v>110142839.64190476</v>
      </c>
      <c r="H16" s="275">
        <f>SUM(H8:H15)</f>
        <v>116057785.06627695</v>
      </c>
      <c r="I16" s="359">
        <f>SUM(I8:I15)</f>
        <v>121801887.53862916</v>
      </c>
      <c r="J16" s="49"/>
    </row>
    <row r="17" spans="2:9" x14ac:dyDescent="0.25">
      <c r="B17" s="754" t="s">
        <v>583</v>
      </c>
      <c r="C17" s="755"/>
      <c r="D17" s="751" t="s">
        <v>584</v>
      </c>
      <c r="E17" s="751">
        <f>'Egre$PlanOrgá'!U41</f>
        <v>0</v>
      </c>
      <c r="F17" s="751">
        <f>'Egre$PlanOrgá'!V41</f>
        <v>0</v>
      </c>
      <c r="G17" s="46">
        <f>'Egre$PlanOrgá'!T27</f>
        <v>12061708.333333334</v>
      </c>
      <c r="H17" s="46">
        <f>'Egre$PlanOrgá'!U27</f>
        <v>16254439.081875</v>
      </c>
      <c r="I17" s="56">
        <f>'Egre$PlanOrgá'!V27</f>
        <v>17104988.312599994</v>
      </c>
    </row>
    <row r="18" spans="2:9" x14ac:dyDescent="0.25">
      <c r="B18" s="756"/>
      <c r="C18" s="757"/>
      <c r="D18" s="751" t="s">
        <v>585</v>
      </c>
      <c r="E18" s="751">
        <f>'Egre$PlanMix'!U44</f>
        <v>0</v>
      </c>
      <c r="F18" s="751">
        <f>'Egre$PlanMix'!V44</f>
        <v>0</v>
      </c>
      <c r="G18" s="46">
        <f>'Egre$PlanMix'!T30</f>
        <v>20173760.025481768</v>
      </c>
      <c r="H18" s="46">
        <f>'Egre$PlanMix'!U30</f>
        <v>27589666.84487243</v>
      </c>
      <c r="I18" s="56">
        <f>'Egre$PlanMix'!V30</f>
        <v>29033356.768139742</v>
      </c>
    </row>
    <row r="19" spans="2:9" x14ac:dyDescent="0.25">
      <c r="B19" s="756"/>
      <c r="C19" s="757"/>
      <c r="D19" s="751" t="s">
        <v>586</v>
      </c>
      <c r="E19" s="751"/>
      <c r="F19" s="751"/>
      <c r="G19" s="46">
        <f>'HE-PersonalTemp'!O25</f>
        <v>0</v>
      </c>
      <c r="H19" s="46">
        <f>'HE-PersonalTemp'!P25</f>
        <v>0</v>
      </c>
      <c r="I19" s="56">
        <f>'HE-PersonalTemp'!Q25</f>
        <v>0</v>
      </c>
    </row>
    <row r="20" spans="2:9" x14ac:dyDescent="0.25">
      <c r="B20" s="756"/>
      <c r="C20" s="757"/>
      <c r="D20" s="751" t="s">
        <v>587</v>
      </c>
      <c r="E20" s="751"/>
      <c r="F20" s="751"/>
      <c r="G20" s="46">
        <f>GastosVentas!C9</f>
        <v>8402712.959947072</v>
      </c>
      <c r="H20" s="46">
        <f>GastosVentas!D9</f>
        <v>8586279.6573814806</v>
      </c>
      <c r="I20" s="56">
        <f>GastosVentas!E9</f>
        <v>9038660.7682427373</v>
      </c>
    </row>
    <row r="21" spans="2:9" x14ac:dyDescent="0.25">
      <c r="B21" s="758"/>
      <c r="C21" s="759"/>
      <c r="D21" s="656" t="s">
        <v>588</v>
      </c>
      <c r="E21" s="656"/>
      <c r="F21" s="656"/>
      <c r="G21" s="275">
        <f>SUM(G17:G20)</f>
        <v>40638181.318762176</v>
      </c>
      <c r="H21" s="275">
        <f t="shared" ref="H21:I21" si="0">SUM(H17:H20)</f>
        <v>52430385.584128909</v>
      </c>
      <c r="I21" s="359">
        <f t="shared" si="0"/>
        <v>55177005.848982476</v>
      </c>
    </row>
    <row r="22" spans="2:9" ht="15.75" thickBot="1" x14ac:dyDescent="0.3">
      <c r="B22" s="752" t="s">
        <v>589</v>
      </c>
      <c r="C22" s="753"/>
      <c r="D22" s="753"/>
      <c r="E22" s="753"/>
      <c r="F22" s="753"/>
      <c r="G22" s="284">
        <f>G16+G21</f>
        <v>150781020.96066692</v>
      </c>
      <c r="H22" s="284">
        <f>H16+H21</f>
        <v>168488170.65040585</v>
      </c>
      <c r="I22" s="360">
        <f>I16+I21</f>
        <v>176978893.38761163</v>
      </c>
    </row>
  </sheetData>
  <mergeCells count="19">
    <mergeCell ref="D21:F21"/>
    <mergeCell ref="B22:F22"/>
    <mergeCell ref="D19:F19"/>
    <mergeCell ref="D20:F20"/>
    <mergeCell ref="D17:F17"/>
    <mergeCell ref="D18:F18"/>
    <mergeCell ref="B17:C21"/>
    <mergeCell ref="B5:I6"/>
    <mergeCell ref="B7:F7"/>
    <mergeCell ref="B8:C16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5:R26"/>
  <sheetViews>
    <sheetView zoomScale="80" zoomScaleNormal="80" workbookViewId="0">
      <selection activeCell="C17" sqref="C17:O17"/>
    </sheetView>
  </sheetViews>
  <sheetFormatPr baseColWidth="10" defaultColWidth="11.5" defaultRowHeight="15" x14ac:dyDescent="0.25"/>
  <cols>
    <col min="1" max="1" width="5.5" style="3" customWidth="1"/>
    <col min="2" max="2" width="17.5" style="3" customWidth="1"/>
    <col min="3" max="18" width="13.625" style="3" customWidth="1"/>
    <col min="19" max="16384" width="11.5" style="3"/>
  </cols>
  <sheetData>
    <row r="5" spans="2:18" x14ac:dyDescent="0.25">
      <c r="B5" s="740" t="s">
        <v>590</v>
      </c>
      <c r="C5" s="740"/>
      <c r="D5" s="740"/>
      <c r="E5" s="740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</row>
    <row r="6" spans="2:18" x14ac:dyDescent="0.25">
      <c r="B6" s="595" t="s">
        <v>205</v>
      </c>
      <c r="C6" s="533" t="s">
        <v>346</v>
      </c>
      <c r="D6" s="533" t="s">
        <v>347</v>
      </c>
      <c r="E6" s="533" t="s">
        <v>348</v>
      </c>
      <c r="F6" s="533" t="s">
        <v>349</v>
      </c>
      <c r="G6" s="533" t="s">
        <v>350</v>
      </c>
      <c r="H6" s="533" t="s">
        <v>351</v>
      </c>
      <c r="I6" s="533" t="s">
        <v>352</v>
      </c>
      <c r="J6" s="533" t="s">
        <v>353</v>
      </c>
      <c r="K6" s="533" t="s">
        <v>354</v>
      </c>
      <c r="L6" s="533" t="s">
        <v>355</v>
      </c>
      <c r="M6" s="533" t="s">
        <v>356</v>
      </c>
      <c r="N6" s="533" t="s">
        <v>357</v>
      </c>
      <c r="O6" s="533" t="s">
        <v>159</v>
      </c>
      <c r="P6" s="533" t="s">
        <v>162</v>
      </c>
      <c r="Q6" s="533" t="s">
        <v>163</v>
      </c>
    </row>
    <row r="7" spans="2:18" x14ac:dyDescent="0.25">
      <c r="B7" s="513" t="s">
        <v>591</v>
      </c>
      <c r="C7" s="472">
        <f>PresIngresos!D12</f>
        <v>8966920.5729246028</v>
      </c>
      <c r="D7" s="472">
        <f>PresIngresos!E12</f>
        <v>12531200.020675797</v>
      </c>
      <c r="E7" s="472">
        <f>PresIngresos!F12</f>
        <v>8966920.5729246028</v>
      </c>
      <c r="F7" s="472">
        <f>PresIngresos!G12</f>
        <v>14369561.698098013</v>
      </c>
      <c r="G7" s="472">
        <f>PresIngresos!H12</f>
        <v>16095479.468426991</v>
      </c>
      <c r="H7" s="472">
        <f>PresIngresos!I12</f>
        <v>17933841.145849206</v>
      </c>
      <c r="I7" s="472">
        <f>PresIngresos!J12</f>
        <v>17933841.145849206</v>
      </c>
      <c r="J7" s="472">
        <f>PresIngresos!K12</f>
        <v>23336482.271022614</v>
      </c>
      <c r="K7" s="472">
        <f>PresIngresos!L12</f>
        <v>21498120.5936004</v>
      </c>
      <c r="L7" s="472">
        <f>PresIngresos!M12</f>
        <v>17933841.145849206</v>
      </c>
      <c r="M7" s="472">
        <f>PresIngresos!N12</f>
        <v>21498120.5936004</v>
      </c>
      <c r="N7" s="472">
        <f>PresIngresos!O12</f>
        <v>23336482.271022614</v>
      </c>
      <c r="O7" s="476">
        <f>PresIngresos!P12</f>
        <v>204400811.49984366</v>
      </c>
      <c r="P7" s="476">
        <f>PresIngresos!Q12</f>
        <v>208866176.68591991</v>
      </c>
      <c r="Q7" s="476">
        <f>PresIngresos!R12</f>
        <v>219870606.63705605</v>
      </c>
      <c r="R7" s="145"/>
    </row>
    <row r="8" spans="2:18" x14ac:dyDescent="0.25">
      <c r="B8" s="513" t="s">
        <v>592</v>
      </c>
      <c r="C8" s="472">
        <f>(ClasifCostos!$G$16/12)+'Egre$PlanOrgá'!H27+'Egre$PlanMix'!H30+'HE-PersonalTemp'!C20+(GastosVentas!C14+GastosVentas!C15+GastosVentas!C13)</f>
        <v>10961564.099311359</v>
      </c>
      <c r="D8" s="472">
        <f>(ClasifCostos!$G$16/12)+'Egre$PlanOrgá'!I27+'Egre$PlanMix'!I30+'HE-PersonalTemp'!D20+(GastosVentas!D14+GastosVentas!D15+GastosVentas!D13)</f>
        <v>11666938.0880135</v>
      </c>
      <c r="E8" s="472">
        <f>(ClasifCostos!$G$16/12)+'Egre$PlanOrgá'!J27+'Egre$PlanMix'!J30+'HE-PersonalTemp'!E20+(GastosVentas!E14+GastosVentas!E15+GastosVentas!E13)</f>
        <v>10961564.099311359</v>
      </c>
      <c r="F8" s="472">
        <f>(ClasifCostos!$G$16/12)+'Egre$PlanOrgá'!K27+'Egre$PlanMix'!K30+'HE-PersonalTemp'!F20+(GastosVentas!F14+GastosVentas!F15+GastosVentas!F13)</f>
        <v>12039184.239761854</v>
      </c>
      <c r="G8" s="472">
        <f>(ClasifCostos!$G$16/12)+'Egre$PlanOrgá'!L27+'Egre$PlanMix'!L30+'HE-PersonalTemp'!G20+(GastosVentas!G14+GastosVentas!G15+GastosVentas!G13)</f>
        <v>12372312.076715641</v>
      </c>
      <c r="H8" s="472">
        <f>(ClasifCostos!$G$16/12)+'Egre$PlanOrgá'!M27+'Egre$PlanMix'!M30+'HE-PersonalTemp'!H20+(GastosVentas!H14+GastosVentas!H15+GastosVentas!H13)</f>
        <v>12744558.228463994</v>
      </c>
      <c r="I8" s="472">
        <f>(ClasifCostos!$G$16/12)+'Egre$PlanOrgá'!N27+'Egre$PlanMix'!N30+'HE-PersonalTemp'!I20+(GastosVentas!I14+GastosVentas!I15+GastosVentas!I13)</f>
        <v>12744558.228463994</v>
      </c>
      <c r="J8" s="472">
        <f>(ClasifCostos!$G$16/12)+'Egre$PlanOrgá'!O27+'Egre$PlanMix'!O30+'HE-PersonalTemp'!J20+(GastosVentas!J14+GastosVentas!J15+GastosVentas!J13)</f>
        <v>13822178.368914483</v>
      </c>
      <c r="K8" s="472">
        <f>(ClasifCostos!$G$16/12)+'Egre$PlanOrgá'!P27+'Egre$PlanMix'!P30+'HE-PersonalTemp'!K20+(GastosVentas!K14+GastosVentas!K15+GastosVentas!K13)</f>
        <v>13449932.217166131</v>
      </c>
      <c r="L8" s="472">
        <f>(ClasifCostos!$G$16/12)+'Egre$PlanOrgá'!Q27+'Egre$PlanMix'!Q30+'HE-PersonalTemp'!L20+(GastosVentas!L14+GastosVentas!L15+GastosVentas!L13)</f>
        <v>12744558.228463994</v>
      </c>
      <c r="M8" s="472">
        <f>(ClasifCostos!$G$16/12)+'Egre$PlanOrgá'!R27+'Egre$PlanMix'!R30+'HE-PersonalTemp'!M20+(GastosVentas!M14+GastosVentas!M15+GastosVentas!M13)</f>
        <v>13449932.217166131</v>
      </c>
      <c r="N8" s="472">
        <f>(ClasifCostos!$G$16/12)+'Egre$PlanOrgá'!S27+'Egre$PlanMix'!S30+'HE-PersonalTemp'!N20+(GastosVentas!N14+GastosVentas!N15+GastosVentas!N13)</f>
        <v>13822178.368914483</v>
      </c>
      <c r="O8" s="476">
        <f>SUM(C8:N8)-O22</f>
        <v>150779458.46066692</v>
      </c>
      <c r="P8" s="476">
        <f>ClasifCostos!H22</f>
        <v>168488170.65040585</v>
      </c>
      <c r="Q8" s="476">
        <f>ClasifCostos!I22</f>
        <v>176978893.38761163</v>
      </c>
      <c r="R8" s="4"/>
    </row>
    <row r="9" spans="2:18" x14ac:dyDescent="0.25">
      <c r="B9" s="513" t="s">
        <v>593</v>
      </c>
      <c r="C9" s="493">
        <f>C7-C8</f>
        <v>-1994643.5263867564</v>
      </c>
      <c r="D9" s="493">
        <f t="shared" ref="D9:N9" si="0">D7-D8</f>
        <v>864261.93266229704</v>
      </c>
      <c r="E9" s="493">
        <f t="shared" si="0"/>
        <v>-1994643.5263867564</v>
      </c>
      <c r="F9" s="493">
        <f t="shared" si="0"/>
        <v>2330377.4583361596</v>
      </c>
      <c r="G9" s="493">
        <f t="shared" si="0"/>
        <v>3723167.3917113505</v>
      </c>
      <c r="H9" s="493">
        <f t="shared" si="0"/>
        <v>5189282.9173852112</v>
      </c>
      <c r="I9" s="493">
        <f t="shared" si="0"/>
        <v>5189282.9173852112</v>
      </c>
      <c r="J9" s="493">
        <f t="shared" si="0"/>
        <v>9514303.902108131</v>
      </c>
      <c r="K9" s="493">
        <f t="shared" si="0"/>
        <v>8048188.3764342684</v>
      </c>
      <c r="L9" s="493">
        <f t="shared" si="0"/>
        <v>5189282.9173852112</v>
      </c>
      <c r="M9" s="493">
        <f t="shared" si="0"/>
        <v>8048188.3764342684</v>
      </c>
      <c r="N9" s="493">
        <f t="shared" si="0"/>
        <v>9514303.902108131</v>
      </c>
      <c r="O9" s="486">
        <f>O7-O8</f>
        <v>53621353.039176732</v>
      </c>
      <c r="P9" s="486">
        <f>P7-P8</f>
        <v>40378006.035514057</v>
      </c>
      <c r="Q9" s="486">
        <f t="shared" ref="Q9" si="1">Q7-Q8</f>
        <v>42891713.249444425</v>
      </c>
    </row>
    <row r="10" spans="2:18" x14ac:dyDescent="0.25">
      <c r="O10" s="145"/>
    </row>
    <row r="11" spans="2:18" x14ac:dyDescent="0.25">
      <c r="B11" s="760" t="s">
        <v>590</v>
      </c>
      <c r="C11" s="761"/>
      <c r="D11" s="761"/>
      <c r="E11" s="762"/>
      <c r="F11" s="146"/>
      <c r="G11" s="146"/>
      <c r="H11" s="146"/>
      <c r="I11" s="146"/>
      <c r="J11" s="146"/>
      <c r="K11" s="146"/>
      <c r="L11" s="146"/>
      <c r="M11" s="146"/>
      <c r="N11" s="146"/>
    </row>
    <row r="12" spans="2:18" x14ac:dyDescent="0.25">
      <c r="B12" s="595" t="s">
        <v>205</v>
      </c>
      <c r="C12" s="533" t="s">
        <v>159</v>
      </c>
      <c r="D12" s="533" t="s">
        <v>162</v>
      </c>
      <c r="E12" s="533" t="s">
        <v>163</v>
      </c>
      <c r="F12" s="147"/>
      <c r="G12" s="147"/>
      <c r="H12" s="147"/>
      <c r="I12" s="147"/>
      <c r="J12" s="147"/>
      <c r="K12" s="147"/>
      <c r="L12" s="147"/>
      <c r="M12" s="147"/>
      <c r="N12" s="147"/>
    </row>
    <row r="13" spans="2:18" x14ac:dyDescent="0.25">
      <c r="B13" s="513" t="s">
        <v>591</v>
      </c>
      <c r="C13" s="472">
        <f>O7</f>
        <v>204400811.49984366</v>
      </c>
      <c r="D13" s="472">
        <f t="shared" ref="D13:E13" si="2">P7</f>
        <v>208866176.68591991</v>
      </c>
      <c r="E13" s="472">
        <f t="shared" si="2"/>
        <v>219870606.63705605</v>
      </c>
      <c r="F13" s="148"/>
      <c r="H13" s="148"/>
      <c r="I13" s="148"/>
      <c r="J13" s="148"/>
      <c r="K13" s="148"/>
      <c r="L13" s="148"/>
      <c r="M13" s="148"/>
      <c r="N13" s="148"/>
    </row>
    <row r="14" spans="2:18" x14ac:dyDescent="0.25">
      <c r="B14" s="513" t="s">
        <v>592</v>
      </c>
      <c r="C14" s="472">
        <f>O8</f>
        <v>150779458.46066692</v>
      </c>
      <c r="D14" s="472">
        <f t="shared" ref="D14:E14" si="3">P8</f>
        <v>168488170.65040585</v>
      </c>
      <c r="E14" s="472">
        <f t="shared" si="3"/>
        <v>176978893.38761163</v>
      </c>
      <c r="F14" s="148"/>
      <c r="G14" s="148"/>
      <c r="H14" s="148"/>
      <c r="I14" s="148"/>
      <c r="J14" s="148"/>
      <c r="K14" s="148"/>
      <c r="L14" s="148"/>
      <c r="M14" s="148"/>
      <c r="N14" s="148"/>
    </row>
    <row r="15" spans="2:18" x14ac:dyDescent="0.25">
      <c r="B15" s="513" t="s">
        <v>593</v>
      </c>
      <c r="C15" s="481">
        <f>C13-C14</f>
        <v>53621353.039176732</v>
      </c>
      <c r="D15" s="481">
        <f>D13-D14</f>
        <v>40378006.035514057</v>
      </c>
      <c r="E15" s="481">
        <f>E13-E14</f>
        <v>42891713.249444425</v>
      </c>
      <c r="F15" s="149"/>
      <c r="G15" s="149"/>
      <c r="H15" s="149"/>
      <c r="I15" s="149"/>
      <c r="J15" s="149"/>
      <c r="K15" s="149"/>
      <c r="L15" s="149"/>
      <c r="M15" s="149"/>
      <c r="N15" s="149"/>
    </row>
    <row r="17" spans="2:17" x14ac:dyDescent="0.25">
      <c r="C17" s="742" t="s">
        <v>594</v>
      </c>
      <c r="D17" s="742"/>
      <c r="E17" s="742"/>
      <c r="F17" s="742"/>
      <c r="G17" s="742"/>
      <c r="H17" s="742"/>
      <c r="I17" s="742"/>
      <c r="J17" s="742"/>
      <c r="K17" s="742"/>
      <c r="L17" s="742"/>
      <c r="M17" s="742"/>
      <c r="N17" s="742"/>
      <c r="O17" s="742"/>
    </row>
    <row r="18" spans="2:17" x14ac:dyDescent="0.25">
      <c r="C18" s="533" t="s">
        <v>346</v>
      </c>
      <c r="D18" s="533" t="s">
        <v>347</v>
      </c>
      <c r="E18" s="533" t="s">
        <v>348</v>
      </c>
      <c r="F18" s="533" t="s">
        <v>349</v>
      </c>
      <c r="G18" s="533" t="s">
        <v>350</v>
      </c>
      <c r="H18" s="533" t="s">
        <v>351</v>
      </c>
      <c r="I18" s="533" t="s">
        <v>352</v>
      </c>
      <c r="J18" s="533" t="s">
        <v>353</v>
      </c>
      <c r="K18" s="533" t="s">
        <v>354</v>
      </c>
      <c r="L18" s="533" t="s">
        <v>355</v>
      </c>
      <c r="M18" s="533" t="s">
        <v>356</v>
      </c>
      <c r="N18" s="533" t="s">
        <v>357</v>
      </c>
      <c r="O18" s="533" t="s">
        <v>159</v>
      </c>
      <c r="Q18" s="148"/>
    </row>
    <row r="19" spans="2:17" x14ac:dyDescent="0.25">
      <c r="B19" s="185" t="s">
        <v>595</v>
      </c>
      <c r="C19" s="482">
        <f>ClasifCostos!$G$16/12</f>
        <v>9178569.9701587297</v>
      </c>
      <c r="D19" s="483">
        <f>ClasifCostos!$G$16/12</f>
        <v>9178569.9701587297</v>
      </c>
      <c r="E19" s="483">
        <f>ClasifCostos!$G$16/12</f>
        <v>9178569.9701587297</v>
      </c>
      <c r="F19" s="483">
        <f>ClasifCostos!$G$16/12</f>
        <v>9178569.9701587297</v>
      </c>
      <c r="G19" s="483">
        <f>ClasifCostos!$G$16/12</f>
        <v>9178569.9701587297</v>
      </c>
      <c r="H19" s="483">
        <f>ClasifCostos!$G$16/12</f>
        <v>9178569.9701587297</v>
      </c>
      <c r="I19" s="483">
        <f>ClasifCostos!$G$16/12</f>
        <v>9178569.9701587297</v>
      </c>
      <c r="J19" s="483">
        <f>ClasifCostos!$G$16/12</f>
        <v>9178569.9701587297</v>
      </c>
      <c r="K19" s="483">
        <f>ClasifCostos!$G$16/12</f>
        <v>9178569.9701587297</v>
      </c>
      <c r="L19" s="483">
        <f>ClasifCostos!$G$16/12</f>
        <v>9178569.9701587297</v>
      </c>
      <c r="M19" s="483">
        <f>ClasifCostos!$G$16/12</f>
        <v>9178569.9701587297</v>
      </c>
      <c r="N19" s="483">
        <f>ClasifCostos!$G$16/12</f>
        <v>9178569.9701587297</v>
      </c>
      <c r="O19" s="487">
        <f>SUM(C19:N19)</f>
        <v>110142839.64190473</v>
      </c>
    </row>
    <row r="20" spans="2:17" x14ac:dyDescent="0.25">
      <c r="B20" s="185" t="s">
        <v>584</v>
      </c>
      <c r="C20" s="482">
        <f>'Egre$PlanOrgá'!H27</f>
        <v>524354.16666666663</v>
      </c>
      <c r="D20" s="483">
        <f>'Egre$PlanOrgá'!I27</f>
        <v>786531.25</v>
      </c>
      <c r="E20" s="483">
        <f>'Egre$PlanOrgá'!J27</f>
        <v>524354.16666666663</v>
      </c>
      <c r="F20" s="483">
        <f>'Egre$PlanOrgá'!K27</f>
        <v>786531.25</v>
      </c>
      <c r="G20" s="483">
        <f>'Egre$PlanOrgá'!L27</f>
        <v>1048708.3333333333</v>
      </c>
      <c r="H20" s="483">
        <f>'Egre$PlanOrgá'!M27</f>
        <v>1048708.3333333333</v>
      </c>
      <c r="I20" s="483">
        <f>'Egre$PlanOrgá'!N27</f>
        <v>1048708.3333333333</v>
      </c>
      <c r="J20" s="483">
        <f>'Egre$PlanOrgá'!O27</f>
        <v>1310885.4166666667</v>
      </c>
      <c r="K20" s="483">
        <f>'Egre$PlanOrgá'!P27</f>
        <v>1310885.4166666667</v>
      </c>
      <c r="L20" s="483">
        <f>'Egre$PlanOrgá'!Q27</f>
        <v>1048708.3333333333</v>
      </c>
      <c r="M20" s="483">
        <f>'Egre$PlanOrgá'!R27</f>
        <v>1310885.4166666667</v>
      </c>
      <c r="N20" s="483">
        <f>'Egre$PlanOrgá'!S27</f>
        <v>1310885.4166666667</v>
      </c>
      <c r="O20" s="487">
        <f>SUM(C20:N20)</f>
        <v>12060145.833333332</v>
      </c>
    </row>
    <row r="21" spans="2:17" x14ac:dyDescent="0.25">
      <c r="B21" s="185" t="s">
        <v>585</v>
      </c>
      <c r="C21" s="482">
        <f>'Egre$PlanMix'!H30</f>
        <v>890018.82465360733</v>
      </c>
      <c r="D21" s="483">
        <f>'Egre$PlanMix'!I30</f>
        <v>1186691.7662048095</v>
      </c>
      <c r="E21" s="483">
        <f>'Egre$PlanMix'!J30</f>
        <v>890018.82465360733</v>
      </c>
      <c r="F21" s="483">
        <f>'Egre$PlanMix'!K30</f>
        <v>1483364.7077560122</v>
      </c>
      <c r="G21" s="483">
        <f>'Egre$PlanMix'!L30</f>
        <v>1483364.7077560122</v>
      </c>
      <c r="H21" s="483">
        <f>'Egre$PlanMix'!M30</f>
        <v>1780037.6493072147</v>
      </c>
      <c r="I21" s="483">
        <f>'Egre$PlanMix'!N30</f>
        <v>1780037.6493072147</v>
      </c>
      <c r="J21" s="483">
        <f>'Egre$PlanMix'!O30</f>
        <v>2373383.5324096191</v>
      </c>
      <c r="K21" s="483">
        <f>'Egre$PlanMix'!P30</f>
        <v>2076710.5908584169</v>
      </c>
      <c r="L21" s="483">
        <f>'Egre$PlanMix'!Q30</f>
        <v>1780037.6493072147</v>
      </c>
      <c r="M21" s="483">
        <f>'Egre$PlanMix'!R30</f>
        <v>2076710.5908584169</v>
      </c>
      <c r="N21" s="483">
        <f>'Egre$PlanMix'!S30</f>
        <v>2373383.5324096191</v>
      </c>
      <c r="O21" s="487">
        <f>SUM(C21:N21)</f>
        <v>20173760.025481768</v>
      </c>
    </row>
    <row r="22" spans="2:17" x14ac:dyDescent="0.25">
      <c r="B22" s="285" t="s">
        <v>596</v>
      </c>
      <c r="C22" s="482">
        <f>'HE-PersonalTemp'!C20</f>
        <v>0</v>
      </c>
      <c r="D22" s="482">
        <f>'HE-PersonalTemp'!D20</f>
        <v>0</v>
      </c>
      <c r="E22" s="482">
        <f>'HE-PersonalTemp'!E20</f>
        <v>0</v>
      </c>
      <c r="F22" s="482">
        <f>'HE-PersonalTemp'!F20</f>
        <v>0</v>
      </c>
      <c r="G22" s="482">
        <f>'HE-PersonalTemp'!G20</f>
        <v>0</v>
      </c>
      <c r="H22" s="482">
        <f>'HE-PersonalTemp'!H20</f>
        <v>0</v>
      </c>
      <c r="I22" s="482">
        <f>'HE-PersonalTemp'!I20</f>
        <v>0</v>
      </c>
      <c r="J22" s="482">
        <f>'HE-PersonalTemp'!J20</f>
        <v>0</v>
      </c>
      <c r="K22" s="482">
        <f>'HE-PersonalTemp'!K20</f>
        <v>0</v>
      </c>
      <c r="L22" s="482">
        <f>'HE-PersonalTemp'!L20</f>
        <v>0</v>
      </c>
      <c r="M22" s="482">
        <f>'HE-PersonalTemp'!M20</f>
        <v>0</v>
      </c>
      <c r="N22" s="482">
        <f>'HE-PersonalTemp'!N20</f>
        <v>0</v>
      </c>
      <c r="O22" s="487">
        <f t="shared" ref="O22" si="4">SUM(C22:N22)</f>
        <v>0</v>
      </c>
    </row>
    <row r="23" spans="2:17" x14ac:dyDescent="0.25">
      <c r="B23" s="186" t="s">
        <v>597</v>
      </c>
      <c r="C23" s="482">
        <f>GastosVentas!C13+GastosVentas!C14+GastosVentas!C15</f>
        <v>368621.13783235749</v>
      </c>
      <c r="D23" s="482">
        <f>GastosVentas!D13+GastosVentas!D14+GastosVentas!D15</f>
        <v>515145.10164996126</v>
      </c>
      <c r="E23" s="482">
        <f>GastosVentas!E13+GastosVentas!E14+GastosVentas!E15</f>
        <v>368621.13783235749</v>
      </c>
      <c r="F23" s="482">
        <f>GastosVentas!F13+GastosVentas!F14+GastosVentas!F15</f>
        <v>590718.31184711133</v>
      </c>
      <c r="G23" s="482">
        <f>GastosVentas!G13+GastosVentas!G14+GastosVentas!G15</f>
        <v>661669.0654675652</v>
      </c>
      <c r="H23" s="482">
        <f>GastosVentas!H13+GastosVentas!H14+GastosVentas!H15</f>
        <v>737242.27566471498</v>
      </c>
      <c r="I23" s="482">
        <f>GastosVentas!I13+GastosVentas!I14+GastosVentas!I15</f>
        <v>737242.27566471498</v>
      </c>
      <c r="J23" s="482">
        <f>GastosVentas!J13+GastosVentas!J14+GastosVentas!J15</f>
        <v>959339.44967946864</v>
      </c>
      <c r="K23" s="482">
        <f>GastosVentas!K13+GastosVentas!K14+GastosVentas!K15</f>
        <v>883766.23948231875</v>
      </c>
      <c r="L23" s="482">
        <f>GastosVentas!L13+GastosVentas!L14+GastosVentas!L15</f>
        <v>737242.27566471498</v>
      </c>
      <c r="M23" s="482">
        <f>GastosVentas!M13+GastosVentas!M14+GastosVentas!M15</f>
        <v>883766.23948231875</v>
      </c>
      <c r="N23" s="482">
        <f>GastosVentas!N13+GastosVentas!N14+GastosVentas!N15</f>
        <v>959339.44967946864</v>
      </c>
      <c r="O23" s="488">
        <f>SUM(C23:N23)</f>
        <v>8402712.9599470738</v>
      </c>
    </row>
    <row r="24" spans="2:17" x14ac:dyDescent="0.25">
      <c r="B24" s="286" t="s">
        <v>202</v>
      </c>
      <c r="C24" s="484">
        <f>SUM(C19:C23)</f>
        <v>10961564.099311359</v>
      </c>
      <c r="D24" s="485">
        <f>SUM(D19:D23)</f>
        <v>11666938.0880135</v>
      </c>
      <c r="E24" s="485">
        <f t="shared" ref="E24:N24" si="5">SUM(E19:E23)</f>
        <v>10961564.099311359</v>
      </c>
      <c r="F24" s="485">
        <f t="shared" si="5"/>
        <v>12039184.239761854</v>
      </c>
      <c r="G24" s="485">
        <f t="shared" si="5"/>
        <v>12372312.076715641</v>
      </c>
      <c r="H24" s="485">
        <f t="shared" si="5"/>
        <v>12744558.228463994</v>
      </c>
      <c r="I24" s="485">
        <f t="shared" si="5"/>
        <v>12744558.228463994</v>
      </c>
      <c r="J24" s="485">
        <f t="shared" si="5"/>
        <v>13822178.368914483</v>
      </c>
      <c r="K24" s="485">
        <f t="shared" si="5"/>
        <v>13449932.217166131</v>
      </c>
      <c r="L24" s="485">
        <f t="shared" si="5"/>
        <v>12744558.228463994</v>
      </c>
      <c r="M24" s="485">
        <f t="shared" si="5"/>
        <v>13449932.217166131</v>
      </c>
      <c r="N24" s="485">
        <f t="shared" si="5"/>
        <v>13822178.368914483</v>
      </c>
      <c r="O24" s="487">
        <f>SUM(C24:N24)</f>
        <v>150779458.46066692</v>
      </c>
    </row>
    <row r="25" spans="2:17" x14ac:dyDescent="0.25">
      <c r="C25" s="55"/>
    </row>
    <row r="26" spans="2:17" x14ac:dyDescent="0.25">
      <c r="C26" s="55"/>
    </row>
  </sheetData>
  <mergeCells count="3">
    <mergeCell ref="B5:Q5"/>
    <mergeCell ref="B11:E11"/>
    <mergeCell ref="C17:O17"/>
  </mergeCells>
  <phoneticPr fontId="10" type="noConversion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5:F14"/>
  <sheetViews>
    <sheetView zoomScaleNormal="100" workbookViewId="0">
      <selection activeCell="H6" sqref="H6"/>
    </sheetView>
  </sheetViews>
  <sheetFormatPr baseColWidth="10" defaultColWidth="11.5" defaultRowHeight="15" x14ac:dyDescent="0.25"/>
  <cols>
    <col min="1" max="1" width="11.5" style="1"/>
    <col min="2" max="2" width="31.625" style="1" customWidth="1"/>
    <col min="3" max="5" width="14.125" style="1" customWidth="1"/>
    <col min="6" max="6" width="13.25" style="1" bestFit="1" customWidth="1"/>
    <col min="7" max="16384" width="11.5" style="1"/>
  </cols>
  <sheetData>
    <row r="5" spans="2:6" x14ac:dyDescent="0.25">
      <c r="B5" s="742" t="s">
        <v>598</v>
      </c>
      <c r="C5" s="742"/>
      <c r="D5" s="742"/>
      <c r="E5" s="742"/>
    </row>
    <row r="6" spans="2:6" x14ac:dyDescent="0.25">
      <c r="B6" s="533" t="s">
        <v>205</v>
      </c>
      <c r="C6" s="533" t="s">
        <v>346</v>
      </c>
      <c r="D6" s="533" t="s">
        <v>347</v>
      </c>
      <c r="E6" s="533" t="s">
        <v>348</v>
      </c>
      <c r="F6" s="533" t="s">
        <v>83</v>
      </c>
    </row>
    <row r="7" spans="2:6" x14ac:dyDescent="0.25">
      <c r="B7" s="186" t="s">
        <v>592</v>
      </c>
      <c r="C7" s="57">
        <f>IngVsEgr!C8</f>
        <v>10961564.099311359</v>
      </c>
      <c r="D7" s="57">
        <f>IngVsEgr!D8</f>
        <v>11666938.0880135</v>
      </c>
      <c r="E7" s="57">
        <f>IngVsEgr!E8</f>
        <v>10961564.099311359</v>
      </c>
      <c r="F7" s="57">
        <f>SUM(C7:E7)</f>
        <v>33590066.286636218</v>
      </c>
    </row>
    <row r="8" spans="2:6" x14ac:dyDescent="0.25">
      <c r="B8" s="186" t="s">
        <v>599</v>
      </c>
      <c r="C8" s="57">
        <f>C7*20%</f>
        <v>2192312.8198622721</v>
      </c>
      <c r="D8" s="57">
        <f t="shared" ref="D8:E8" si="0">D7*20%</f>
        <v>2333387.6176026999</v>
      </c>
      <c r="E8" s="57">
        <f t="shared" si="0"/>
        <v>2192312.8198622721</v>
      </c>
      <c r="F8" s="57">
        <f>SUM(C8:E8)</f>
        <v>6718013.2573272437</v>
      </c>
    </row>
    <row r="9" spans="2:6" x14ac:dyDescent="0.25">
      <c r="F9" s="58">
        <f>SUM(F7:F8)</f>
        <v>40308079.543963462</v>
      </c>
    </row>
    <row r="10" spans="2:6" x14ac:dyDescent="0.25">
      <c r="B10" s="742" t="s">
        <v>600</v>
      </c>
      <c r="C10" s="742"/>
    </row>
    <row r="11" spans="2:6" x14ac:dyDescent="0.25">
      <c r="B11" s="186" t="s">
        <v>601</v>
      </c>
      <c r="C11" s="57">
        <f>InvActivosFijos!J7</f>
        <v>8060000</v>
      </c>
    </row>
    <row r="12" spans="2:6" x14ac:dyDescent="0.25">
      <c r="B12" s="186" t="s">
        <v>602</v>
      </c>
      <c r="C12" s="57">
        <f>GastosArranque!C11</f>
        <v>1373666.6666666667</v>
      </c>
    </row>
    <row r="13" spans="2:6" x14ac:dyDescent="0.25">
      <c r="B13" s="186" t="s">
        <v>603</v>
      </c>
      <c r="C13" s="57">
        <f>F9</f>
        <v>40308079.543963462</v>
      </c>
    </row>
    <row r="14" spans="2:6" x14ac:dyDescent="0.25">
      <c r="B14" s="513" t="s">
        <v>83</v>
      </c>
      <c r="C14" s="58">
        <f>SUM(C11:C13)</f>
        <v>49741746.210630126</v>
      </c>
    </row>
  </sheetData>
  <mergeCells count="2">
    <mergeCell ref="B10:C10"/>
    <mergeCell ref="B5:E5"/>
  </mergeCells>
  <phoneticPr fontId="10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15"/>
  <sheetViews>
    <sheetView showGridLines="0" topLeftCell="B1" zoomScale="10" zoomScaleNormal="10" zoomScaleSheetLayoutView="20" workbookViewId="0">
      <selection activeCell="CD9" sqref="CD9"/>
    </sheetView>
  </sheetViews>
  <sheetFormatPr baseColWidth="10" defaultColWidth="11.5" defaultRowHeight="15" x14ac:dyDescent="0.25"/>
  <cols>
    <col min="1" max="16384" width="11.5" style="4"/>
  </cols>
  <sheetData>
    <row r="1" ht="87.6" customHeight="1" x14ac:dyDescent="0.25"/>
    <row r="2" ht="87.75" customHeight="1" x14ac:dyDescent="0.25"/>
    <row r="3" ht="110.25" customHeight="1" x14ac:dyDescent="0.25"/>
    <row r="5" ht="40.5" customHeight="1" x14ac:dyDescent="0.25"/>
    <row r="7" ht="302.25" customHeight="1" x14ac:dyDescent="0.25"/>
    <row r="8" ht="300" customHeight="1" x14ac:dyDescent="0.25"/>
    <row r="9" ht="300" customHeight="1" x14ac:dyDescent="0.25"/>
    <row r="10" ht="300" customHeight="1" x14ac:dyDescent="0.25"/>
    <row r="11" ht="305.25" customHeight="1" x14ac:dyDescent="0.25"/>
    <row r="12" ht="300" customHeight="1" x14ac:dyDescent="0.25"/>
    <row r="14" ht="87" customHeight="1" x14ac:dyDescent="0.25"/>
    <row r="15" ht="19.5" customHeight="1" x14ac:dyDescent="0.25"/>
  </sheetData>
  <pageMargins left="0.7" right="0.7" top="0.75" bottom="0.75" header="0.3" footer="0.3"/>
  <pageSetup scale="10" orientation="landscape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3:I19"/>
  <sheetViews>
    <sheetView zoomScaleNormal="100" workbookViewId="0">
      <selection activeCell="J5" sqref="J5"/>
    </sheetView>
  </sheetViews>
  <sheetFormatPr baseColWidth="10" defaultColWidth="11.5" defaultRowHeight="15" x14ac:dyDescent="0.25"/>
  <cols>
    <col min="1" max="1" width="11.5" style="1"/>
    <col min="2" max="2" width="21.5" style="1" customWidth="1"/>
    <col min="3" max="3" width="14.125" style="1" customWidth="1"/>
    <col min="4" max="4" width="13.5" style="1" customWidth="1"/>
    <col min="5" max="5" width="11.875" style="1" customWidth="1"/>
    <col min="6" max="6" width="14.875" style="1" customWidth="1"/>
    <col min="7" max="7" width="11.5" style="1"/>
    <col min="8" max="8" width="13.75" style="1" customWidth="1"/>
    <col min="9" max="9" width="33.375" style="1" bestFit="1" customWidth="1"/>
    <col min="10" max="10" width="27.625" style="1" customWidth="1"/>
    <col min="11" max="11" width="11.5" style="1"/>
    <col min="12" max="12" width="14.625" style="1" customWidth="1"/>
    <col min="13" max="16384" width="11.5" style="1"/>
  </cols>
  <sheetData>
    <row r="3" spans="2:9" x14ac:dyDescent="0.25">
      <c r="G3" s="134" t="s">
        <v>604</v>
      </c>
      <c r="H3" s="548">
        <f>D12*G8</f>
        <v>3357567.8692175336</v>
      </c>
    </row>
    <row r="4" spans="2:9" x14ac:dyDescent="0.25">
      <c r="G4" s="134" t="s">
        <v>605</v>
      </c>
      <c r="H4" s="548">
        <f>G6*D12</f>
        <v>4103694.0623769858</v>
      </c>
    </row>
    <row r="5" spans="2:9" ht="28.5" customHeight="1" x14ac:dyDescent="0.25">
      <c r="B5" s="533" t="s">
        <v>606</v>
      </c>
      <c r="C5" s="533" t="s">
        <v>69</v>
      </c>
      <c r="D5" s="533" t="s">
        <v>70</v>
      </c>
      <c r="F5" s="526" t="s">
        <v>607</v>
      </c>
      <c r="G5" s="597" t="s">
        <v>608</v>
      </c>
      <c r="H5" s="526" t="s">
        <v>609</v>
      </c>
      <c r="I5" s="526" t="s">
        <v>610</v>
      </c>
    </row>
    <row r="6" spans="2:9" x14ac:dyDescent="0.25">
      <c r="B6" s="186" t="s">
        <v>611</v>
      </c>
      <c r="C6" s="57">
        <f>InvCapital!$C$11</f>
        <v>8060000</v>
      </c>
      <c r="D6" s="361">
        <f>C6/$C$9</f>
        <v>0.1620369330395065</v>
      </c>
      <c r="F6" s="769" t="s">
        <v>612</v>
      </c>
      <c r="G6" s="764">
        <v>0.55000000000000004</v>
      </c>
      <c r="H6" s="57">
        <f>H4/1.3</f>
        <v>3156687.7402899889</v>
      </c>
      <c r="I6" s="57" t="s">
        <v>613</v>
      </c>
    </row>
    <row r="7" spans="2:9" x14ac:dyDescent="0.25">
      <c r="B7" s="186" t="s">
        <v>602</v>
      </c>
      <c r="C7" s="57">
        <f>InvCapital!$C$12</f>
        <v>1373666.6666666667</v>
      </c>
      <c r="D7" s="361">
        <f>C7/$C$9</f>
        <v>2.7615971921249229E-2</v>
      </c>
      <c r="F7" s="770"/>
      <c r="G7" s="765"/>
      <c r="H7" s="57">
        <f>H4-H6</f>
        <v>947006.32208699686</v>
      </c>
      <c r="I7" s="57" t="s">
        <v>614</v>
      </c>
    </row>
    <row r="8" spans="2:9" ht="18" customHeight="1" x14ac:dyDescent="0.25">
      <c r="B8" s="186" t="s">
        <v>603</v>
      </c>
      <c r="C8" s="57">
        <f>InvCapital!$C$13</f>
        <v>40308079.543963462</v>
      </c>
      <c r="D8" s="361">
        <f>C8/$C$9</f>
        <v>0.81034709503924429</v>
      </c>
      <c r="F8" s="768" t="s">
        <v>615</v>
      </c>
      <c r="G8" s="766">
        <v>0.45</v>
      </c>
      <c r="H8" s="57">
        <f>H3-H9</f>
        <v>1259087.9509565751</v>
      </c>
      <c r="I8" s="57" t="s">
        <v>616</v>
      </c>
    </row>
    <row r="9" spans="2:9" x14ac:dyDescent="0.25">
      <c r="B9" s="513" t="s">
        <v>83</v>
      </c>
      <c r="C9" s="368">
        <f>SUM(C6:C8)</f>
        <v>49741746.210630126</v>
      </c>
      <c r="D9" s="445">
        <f>SUM(D6:D8)</f>
        <v>1</v>
      </c>
      <c r="F9" s="768"/>
      <c r="G9" s="767"/>
      <c r="H9" s="57">
        <f>H3/1.6</f>
        <v>2098479.9182609585</v>
      </c>
      <c r="I9" s="57" t="s">
        <v>617</v>
      </c>
    </row>
    <row r="10" spans="2:9" x14ac:dyDescent="0.25">
      <c r="F10" s="546" t="s">
        <v>202</v>
      </c>
      <c r="G10" s="547">
        <f>SUM(G6:G8)</f>
        <v>1</v>
      </c>
      <c r="H10" s="57">
        <f>SUM(H6:H9)</f>
        <v>7461261.9315945189</v>
      </c>
      <c r="I10" s="57"/>
    </row>
    <row r="11" spans="2:9" x14ac:dyDescent="0.25">
      <c r="B11" s="742" t="s">
        <v>618</v>
      </c>
      <c r="C11" s="742"/>
      <c r="D11" s="742"/>
    </row>
    <row r="12" spans="2:9" x14ac:dyDescent="0.25">
      <c r="B12" s="133" t="s">
        <v>619</v>
      </c>
      <c r="C12" s="59">
        <v>0.15</v>
      </c>
      <c r="D12" s="57">
        <f>C12*$C$9</f>
        <v>7461261.9315945189</v>
      </c>
      <c r="E12" s="1" t="s">
        <v>904</v>
      </c>
    </row>
    <row r="13" spans="2:9" x14ac:dyDescent="0.25">
      <c r="B13" s="133" t="s">
        <v>620</v>
      </c>
      <c r="C13" s="59">
        <v>0.85</v>
      </c>
      <c r="D13" s="57">
        <f>C13*$C$9</f>
        <v>42280484.279035605</v>
      </c>
    </row>
    <row r="14" spans="2:9" x14ac:dyDescent="0.25">
      <c r="B14" s="763" t="s">
        <v>621</v>
      </c>
      <c r="C14" s="763"/>
      <c r="D14" s="763"/>
    </row>
    <row r="19" spans="5:5" x14ac:dyDescent="0.25">
      <c r="E19" s="60"/>
    </row>
  </sheetData>
  <mergeCells count="6">
    <mergeCell ref="B11:D11"/>
    <mergeCell ref="B14:D14"/>
    <mergeCell ref="G6:G7"/>
    <mergeCell ref="G8:G9"/>
    <mergeCell ref="F8:F9"/>
    <mergeCell ref="F6:F7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5:G77"/>
  <sheetViews>
    <sheetView zoomScaleNormal="100" workbookViewId="0">
      <selection activeCell="I10" sqref="I10"/>
    </sheetView>
  </sheetViews>
  <sheetFormatPr baseColWidth="10" defaultColWidth="11.5" defaultRowHeight="15" x14ac:dyDescent="0.25"/>
  <cols>
    <col min="1" max="1" width="11.5" style="4"/>
    <col min="2" max="2" width="22.375" style="4" customWidth="1"/>
    <col min="3" max="3" width="17" style="4" customWidth="1"/>
    <col min="4" max="4" width="15.75" style="4" customWidth="1"/>
    <col min="5" max="5" width="20.375" style="4" customWidth="1"/>
    <col min="6" max="6" width="16.75" style="4" customWidth="1"/>
    <col min="7" max="7" width="17" style="4" customWidth="1"/>
    <col min="8" max="16384" width="11.5" style="4"/>
  </cols>
  <sheetData>
    <row r="5" spans="1:7" x14ac:dyDescent="0.25">
      <c r="B5" s="596" t="s">
        <v>622</v>
      </c>
      <c r="C5" s="46">
        <f>InvTotal!D13</f>
        <v>42280484.279035605</v>
      </c>
      <c r="E5" s="596" t="s">
        <v>623</v>
      </c>
      <c r="F5" s="22">
        <v>36</v>
      </c>
      <c r="G5" s="22" t="s">
        <v>624</v>
      </c>
    </row>
    <row r="6" spans="1:7" x14ac:dyDescent="0.25">
      <c r="B6" s="596" t="s">
        <v>625</v>
      </c>
      <c r="C6" s="22">
        <v>0</v>
      </c>
      <c r="E6" s="596" t="s">
        <v>626</v>
      </c>
      <c r="F6" s="22">
        <v>12</v>
      </c>
      <c r="G6" s="22" t="s">
        <v>624</v>
      </c>
    </row>
    <row r="7" spans="1:7" x14ac:dyDescent="0.25">
      <c r="B7" s="596" t="s">
        <v>905</v>
      </c>
      <c r="C7" s="150">
        <v>0.19</v>
      </c>
      <c r="E7" s="596" t="s">
        <v>906</v>
      </c>
      <c r="F7" s="161">
        <f>((1+C7)^(1/F6))-1</f>
        <v>1.4601687054440093E-2</v>
      </c>
      <c r="G7" s="22"/>
    </row>
    <row r="8" spans="1:7" x14ac:dyDescent="0.25">
      <c r="B8" s="596" t="s">
        <v>627</v>
      </c>
      <c r="C8" s="46">
        <f>PMT(F7,(F5-C6),-C5)</f>
        <v>1518422.0672541878</v>
      </c>
      <c r="E8" s="596" t="s">
        <v>628</v>
      </c>
      <c r="F8" s="771"/>
      <c r="G8" s="772"/>
    </row>
    <row r="10" spans="1:7" x14ac:dyDescent="0.25">
      <c r="A10" s="949" t="s">
        <v>629</v>
      </c>
      <c r="B10" s="949" t="s">
        <v>630</v>
      </c>
      <c r="C10" s="949" t="s">
        <v>631</v>
      </c>
      <c r="D10" s="949" t="s">
        <v>627</v>
      </c>
      <c r="E10" s="949" t="s">
        <v>632</v>
      </c>
      <c r="F10" s="949" t="s">
        <v>633</v>
      </c>
      <c r="G10" s="949" t="s">
        <v>634</v>
      </c>
    </row>
    <row r="11" spans="1:7" x14ac:dyDescent="0.25">
      <c r="A11" s="133"/>
      <c r="B11" s="337" t="s">
        <v>635</v>
      </c>
      <c r="C11" s="337" t="s">
        <v>636</v>
      </c>
      <c r="D11" s="336"/>
      <c r="E11" s="336"/>
      <c r="F11" s="368"/>
      <c r="G11" s="368"/>
    </row>
    <row r="12" spans="1:7" x14ac:dyDescent="0.25">
      <c r="A12" s="133">
        <v>1</v>
      </c>
      <c r="B12" s="364">
        <f>C5</f>
        <v>42280484.279035605</v>
      </c>
      <c r="C12" s="365">
        <f>B12*$F$7</f>
        <v>617366.39995265205</v>
      </c>
      <c r="D12" s="364">
        <f>IF(B12+C12&gt;=$C$8,$C$8,B12+C12)</f>
        <v>1518422.0672541878</v>
      </c>
      <c r="E12" s="364"/>
      <c r="F12" s="365">
        <f xml:space="preserve"> IF(D12&gt;0,(D12-C12+E12),0)</f>
        <v>901055.66730153572</v>
      </c>
      <c r="G12" s="365">
        <f>IF(D12=0,B12+C12,B12-F12)</f>
        <v>41379428.61173407</v>
      </c>
    </row>
    <row r="13" spans="1:7" x14ac:dyDescent="0.25">
      <c r="A13" s="133">
        <v>2</v>
      </c>
      <c r="B13" s="364">
        <f t="shared" ref="B13:B18" si="0">G12</f>
        <v>41379428.61173407</v>
      </c>
      <c r="C13" s="365">
        <f t="shared" ref="C13:C18" si="1">B13*$F$7</f>
        <v>604209.46708008542</v>
      </c>
      <c r="D13" s="364">
        <f t="shared" ref="D13" si="2">IF(B13+C13&gt;=$C$8,$C$8,B13+C13)</f>
        <v>1518422.0672541878</v>
      </c>
      <c r="E13" s="364"/>
      <c r="F13" s="365">
        <f t="shared" ref="F13:F18" si="3" xml:space="preserve"> IF(D13&gt;0,(D13-C13+E13),0)</f>
        <v>914212.60017410235</v>
      </c>
      <c r="G13" s="365">
        <f>IF(D13=0,B13+C13,B13-F13)</f>
        <v>40465216.011559971</v>
      </c>
    </row>
    <row r="14" spans="1:7" x14ac:dyDescent="0.25">
      <c r="A14" s="133">
        <v>3</v>
      </c>
      <c r="B14" s="364">
        <f t="shared" si="0"/>
        <v>40465216.011559971</v>
      </c>
      <c r="C14" s="365">
        <f t="shared" si="1"/>
        <v>590860.42079111724</v>
      </c>
      <c r="D14" s="364">
        <f>IF(B14+C14&gt;=$C$8,$C$8,B14+C14)</f>
        <v>1518422.0672541878</v>
      </c>
      <c r="E14" s="364"/>
      <c r="F14" s="365">
        <f t="shared" si="3"/>
        <v>927561.64646307053</v>
      </c>
      <c r="G14" s="365">
        <f>B14-F14</f>
        <v>39537654.365096897</v>
      </c>
    </row>
    <row r="15" spans="1:7" x14ac:dyDescent="0.25">
      <c r="A15" s="133">
        <v>4</v>
      </c>
      <c r="B15" s="364">
        <f t="shared" si="0"/>
        <v>39537654.365096897</v>
      </c>
      <c r="C15" s="365">
        <f t="shared" si="1"/>
        <v>577316.45590576215</v>
      </c>
      <c r="D15" s="364">
        <f>IF(B15+C15&gt;=$C$8,$C$8,B15+C15)</f>
        <v>1518422.0672541878</v>
      </c>
      <c r="E15" s="364"/>
      <c r="F15" s="365">
        <f t="shared" si="3"/>
        <v>941105.61134842562</v>
      </c>
      <c r="G15" s="365">
        <f>B15-F15</f>
        <v>38596548.753748469</v>
      </c>
    </row>
    <row r="16" spans="1:7" x14ac:dyDescent="0.25">
      <c r="A16" s="133">
        <v>5</v>
      </c>
      <c r="B16" s="364">
        <f t="shared" si="0"/>
        <v>38596548.753748469</v>
      </c>
      <c r="C16" s="365">
        <f t="shared" si="1"/>
        <v>563574.72628367494</v>
      </c>
      <c r="D16" s="364">
        <f>IF(B16+C16&gt;=$C$8,$C$8,B16+C16)</f>
        <v>1518422.0672541878</v>
      </c>
      <c r="E16" s="364"/>
      <c r="F16" s="365">
        <f t="shared" si="3"/>
        <v>954847.34097051283</v>
      </c>
      <c r="G16" s="365">
        <f>B16-F16</f>
        <v>37641701.412777953</v>
      </c>
    </row>
    <row r="17" spans="1:7" x14ac:dyDescent="0.25">
      <c r="A17" s="133">
        <v>6</v>
      </c>
      <c r="B17" s="364">
        <f t="shared" si="0"/>
        <v>37641701.412777953</v>
      </c>
      <c r="C17" s="365">
        <f t="shared" si="1"/>
        <v>549632.34422605915</v>
      </c>
      <c r="D17" s="364">
        <f>IF(B17+C17&gt;=$C$8,$C$8,B17+C17)</f>
        <v>1518422.0672541878</v>
      </c>
      <c r="E17" s="364"/>
      <c r="F17" s="365">
        <f t="shared" si="3"/>
        <v>968789.72302812862</v>
      </c>
      <c r="G17" s="365">
        <f>B17-F17</f>
        <v>36672911.689749822</v>
      </c>
    </row>
    <row r="18" spans="1:7" x14ac:dyDescent="0.25">
      <c r="A18" s="133">
        <v>7</v>
      </c>
      <c r="B18" s="364">
        <f t="shared" si="0"/>
        <v>36672911.689749822</v>
      </c>
      <c r="C18" s="365">
        <f t="shared" si="1"/>
        <v>535486.37986884476</v>
      </c>
      <c r="D18" s="364">
        <f>IF(B18+C18&gt;=$C$8,$C$8,B18+C18)</f>
        <v>1518422.0672541878</v>
      </c>
      <c r="E18" s="364"/>
      <c r="F18" s="365">
        <f t="shared" si="3"/>
        <v>982935.68738534302</v>
      </c>
      <c r="G18" s="365">
        <f>B18-F18</f>
        <v>35689976.002364479</v>
      </c>
    </row>
    <row r="19" spans="1:7" x14ac:dyDescent="0.25">
      <c r="A19" s="133">
        <v>8</v>
      </c>
      <c r="B19" s="364">
        <f t="shared" ref="B19:B47" si="4">G18</f>
        <v>35689976.002364479</v>
      </c>
      <c r="C19" s="365">
        <f t="shared" ref="C19:C47" si="5">B19*$F$7</f>
        <v>521133.86056700302</v>
      </c>
      <c r="D19" s="364">
        <f t="shared" ref="D19:D47" si="6">IF(B19+C19&gt;=$C$8,$C$8,B19+C19)</f>
        <v>1518422.0672541878</v>
      </c>
      <c r="E19" s="364"/>
      <c r="F19" s="365">
        <f t="shared" ref="F19:F47" si="7" xml:space="preserve"> IF(D19&gt;0,(D19-C19+E19),0)</f>
        <v>997288.20668718475</v>
      </c>
      <c r="G19" s="365">
        <f t="shared" ref="G19:G47" si="8">B19-F19</f>
        <v>34692687.795677297</v>
      </c>
    </row>
    <row r="20" spans="1:7" x14ac:dyDescent="0.25">
      <c r="A20" s="133">
        <v>9</v>
      </c>
      <c r="B20" s="364">
        <f t="shared" si="4"/>
        <v>34692687.795677297</v>
      </c>
      <c r="C20" s="365">
        <f t="shared" si="5"/>
        <v>506571.77026987303</v>
      </c>
      <c r="D20" s="364">
        <f t="shared" si="6"/>
        <v>1518422.0672541878</v>
      </c>
      <c r="E20" s="364"/>
      <c r="F20" s="365">
        <f t="shared" si="7"/>
        <v>1011850.2969843147</v>
      </c>
      <c r="G20" s="365">
        <f t="shared" si="8"/>
        <v>33680837.498692982</v>
      </c>
    </row>
    <row r="21" spans="1:7" x14ac:dyDescent="0.25">
      <c r="A21" s="133">
        <v>10</v>
      </c>
      <c r="B21" s="364">
        <f t="shared" si="4"/>
        <v>33680837.498692982</v>
      </c>
      <c r="C21" s="365">
        <f t="shared" si="5"/>
        <v>491797.04888736579</v>
      </c>
      <c r="D21" s="364">
        <f t="shared" si="6"/>
        <v>1518422.0672541878</v>
      </c>
      <c r="E21" s="364"/>
      <c r="F21" s="365">
        <f t="shared" si="7"/>
        <v>1026625.018366822</v>
      </c>
      <c r="G21" s="365">
        <f t="shared" si="8"/>
        <v>32654212.480326161</v>
      </c>
    </row>
    <row r="22" spans="1:7" x14ac:dyDescent="0.25">
      <c r="A22" s="133">
        <v>11</v>
      </c>
      <c r="B22" s="364">
        <f t="shared" si="4"/>
        <v>32654212.480326161</v>
      </c>
      <c r="C22" s="365">
        <f t="shared" si="5"/>
        <v>476806.59164691466</v>
      </c>
      <c r="D22" s="364">
        <f t="shared" si="6"/>
        <v>1518422.0672541878</v>
      </c>
      <c r="E22" s="364"/>
      <c r="F22" s="365">
        <f t="shared" si="7"/>
        <v>1041615.4756072732</v>
      </c>
      <c r="G22" s="365">
        <f t="shared" si="8"/>
        <v>31612597.004718889</v>
      </c>
    </row>
    <row r="23" spans="1:7" x14ac:dyDescent="0.25">
      <c r="A23" s="133">
        <v>12</v>
      </c>
      <c r="B23" s="364">
        <f t="shared" si="4"/>
        <v>31612597.004718889</v>
      </c>
      <c r="C23" s="365">
        <f t="shared" si="5"/>
        <v>461597.24844103545</v>
      </c>
      <c r="D23" s="364">
        <f t="shared" si="6"/>
        <v>1518422.0672541878</v>
      </c>
      <c r="E23" s="364"/>
      <c r="F23" s="365">
        <f t="shared" si="7"/>
        <v>1056824.8188131524</v>
      </c>
      <c r="G23" s="365">
        <f>B23-F23</f>
        <v>30555772.185905736</v>
      </c>
    </row>
    <row r="24" spans="1:7" x14ac:dyDescent="0.25">
      <c r="A24" s="133">
        <v>13</v>
      </c>
      <c r="B24" s="362">
        <f t="shared" si="4"/>
        <v>30555772.185905736</v>
      </c>
      <c r="C24" s="363">
        <f t="shared" si="5"/>
        <v>446165.82316536043</v>
      </c>
      <c r="D24" s="362">
        <f t="shared" si="6"/>
        <v>1518422.0672541878</v>
      </c>
      <c r="E24" s="362"/>
      <c r="F24" s="363">
        <f t="shared" si="7"/>
        <v>1072256.2440888274</v>
      </c>
      <c r="G24" s="363">
        <f t="shared" si="8"/>
        <v>29483515.941816907</v>
      </c>
    </row>
    <row r="25" spans="1:7" x14ac:dyDescent="0.25">
      <c r="A25" s="133">
        <v>14</v>
      </c>
      <c r="B25" s="362">
        <f t="shared" si="4"/>
        <v>29483515.941816907</v>
      </c>
      <c r="C25" s="363">
        <f t="shared" si="5"/>
        <v>430509.07304700604</v>
      </c>
      <c r="D25" s="362">
        <f t="shared" si="6"/>
        <v>1518422.0672541878</v>
      </c>
      <c r="E25" s="362"/>
      <c r="F25" s="363">
        <f t="shared" si="7"/>
        <v>1087912.9942071817</v>
      </c>
      <c r="G25" s="363">
        <f t="shared" si="8"/>
        <v>28395602.947609726</v>
      </c>
    </row>
    <row r="26" spans="1:7" x14ac:dyDescent="0.25">
      <c r="A26" s="133">
        <v>15</v>
      </c>
      <c r="B26" s="362">
        <f t="shared" si="4"/>
        <v>28395602.947609726</v>
      </c>
      <c r="C26" s="363">
        <f t="shared" si="5"/>
        <v>414623.70796313387</v>
      </c>
      <c r="D26" s="362">
        <f t="shared" si="6"/>
        <v>1518422.0672541878</v>
      </c>
      <c r="E26" s="362"/>
      <c r="F26" s="363">
        <f t="shared" si="7"/>
        <v>1103798.3592910538</v>
      </c>
      <c r="G26" s="363">
        <f t="shared" si="8"/>
        <v>27291804.588318672</v>
      </c>
    </row>
    <row r="27" spans="1:7" x14ac:dyDescent="0.25">
      <c r="A27" s="133">
        <v>16</v>
      </c>
      <c r="B27" s="362">
        <f t="shared" si="4"/>
        <v>27291804.588318672</v>
      </c>
      <c r="C27" s="363">
        <f t="shared" si="5"/>
        <v>398506.38974956149</v>
      </c>
      <c r="D27" s="362">
        <f t="shared" si="6"/>
        <v>1518422.0672541878</v>
      </c>
      <c r="E27" s="362"/>
      <c r="F27" s="363">
        <f t="shared" si="7"/>
        <v>1119915.6775046263</v>
      </c>
      <c r="G27" s="363">
        <f t="shared" si="8"/>
        <v>26171888.910814047</v>
      </c>
    </row>
    <row r="28" spans="1:7" x14ac:dyDescent="0.25">
      <c r="A28" s="133">
        <v>17</v>
      </c>
      <c r="B28" s="362">
        <f t="shared" si="4"/>
        <v>26171888.910814047</v>
      </c>
      <c r="C28" s="363">
        <f t="shared" si="5"/>
        <v>382153.7314992777</v>
      </c>
      <c r="D28" s="362">
        <f t="shared" si="6"/>
        <v>1518422.0672541878</v>
      </c>
      <c r="E28" s="362"/>
      <c r="F28" s="363">
        <f t="shared" si="7"/>
        <v>1136268.33575491</v>
      </c>
      <c r="G28" s="363">
        <f t="shared" si="8"/>
        <v>25035620.575059138</v>
      </c>
    </row>
    <row r="29" spans="1:7" x14ac:dyDescent="0.25">
      <c r="A29" s="133">
        <v>18</v>
      </c>
      <c r="B29" s="362">
        <f t="shared" si="4"/>
        <v>25035620.575059138</v>
      </c>
      <c r="C29" s="363">
        <f t="shared" si="5"/>
        <v>365562.29685071507</v>
      </c>
      <c r="D29" s="362">
        <f t="shared" si="6"/>
        <v>1518422.0672541878</v>
      </c>
      <c r="E29" s="362"/>
      <c r="F29" s="363">
        <f t="shared" si="7"/>
        <v>1152859.7704034727</v>
      </c>
      <c r="G29" s="363">
        <f t="shared" si="8"/>
        <v>23882760.804655664</v>
      </c>
    </row>
    <row r="30" spans="1:7" x14ac:dyDescent="0.25">
      <c r="A30" s="133">
        <v>19</v>
      </c>
      <c r="B30" s="362">
        <f t="shared" si="4"/>
        <v>23882760.804655664</v>
      </c>
      <c r="C30" s="363">
        <f t="shared" si="5"/>
        <v>348728.59926562989</v>
      </c>
      <c r="D30" s="362">
        <f t="shared" si="6"/>
        <v>1518422.0672541878</v>
      </c>
      <c r="E30" s="362"/>
      <c r="F30" s="363">
        <f t="shared" si="7"/>
        <v>1169693.4679885579</v>
      </c>
      <c r="G30" s="363">
        <f t="shared" si="8"/>
        <v>22713067.336667106</v>
      </c>
    </row>
    <row r="31" spans="1:7" x14ac:dyDescent="0.25">
      <c r="A31" s="133">
        <v>20</v>
      </c>
      <c r="B31" s="362">
        <f t="shared" si="4"/>
        <v>22713067.336667106</v>
      </c>
      <c r="C31" s="363">
        <f t="shared" si="5"/>
        <v>331649.1012964382</v>
      </c>
      <c r="D31" s="362">
        <f t="shared" si="6"/>
        <v>1518422.0672541878</v>
      </c>
      <c r="E31" s="362"/>
      <c r="F31" s="363">
        <f t="shared" si="7"/>
        <v>1186772.9659577496</v>
      </c>
      <c r="G31" s="363">
        <f t="shared" si="8"/>
        <v>21526294.370709356</v>
      </c>
    </row>
    <row r="32" spans="1:7" x14ac:dyDescent="0.25">
      <c r="A32" s="133">
        <v>21</v>
      </c>
      <c r="B32" s="362">
        <f t="shared" si="4"/>
        <v>21526294.370709356</v>
      </c>
      <c r="C32" s="363">
        <f t="shared" si="5"/>
        <v>314320.21384285344</v>
      </c>
      <c r="D32" s="362">
        <f t="shared" si="6"/>
        <v>1518422.0672541878</v>
      </c>
      <c r="E32" s="362"/>
      <c r="F32" s="363">
        <f t="shared" si="7"/>
        <v>1204101.8534113343</v>
      </c>
      <c r="G32" s="363">
        <f t="shared" si="8"/>
        <v>20322192.51729802</v>
      </c>
    </row>
    <row r="33" spans="1:7" x14ac:dyDescent="0.25">
      <c r="A33" s="133">
        <v>22</v>
      </c>
      <c r="B33" s="362">
        <f t="shared" si="4"/>
        <v>20322192.51729802</v>
      </c>
      <c r="C33" s="363">
        <f t="shared" si="5"/>
        <v>296738.29539766983</v>
      </c>
      <c r="D33" s="362">
        <f t="shared" si="6"/>
        <v>1518422.0672541878</v>
      </c>
      <c r="E33" s="362"/>
      <c r="F33" s="363">
        <f t="shared" si="7"/>
        <v>1221683.771856518</v>
      </c>
      <c r="G33" s="363">
        <f t="shared" si="8"/>
        <v>19100508.745441504</v>
      </c>
    </row>
    <row r="34" spans="1:7" x14ac:dyDescent="0.25">
      <c r="A34" s="133">
        <v>23</v>
      </c>
      <c r="B34" s="362">
        <f t="shared" si="4"/>
        <v>19100508.745441504</v>
      </c>
      <c r="C34" s="363">
        <f t="shared" si="5"/>
        <v>278899.65128153301</v>
      </c>
      <c r="D34" s="362">
        <f t="shared" si="6"/>
        <v>1518422.0672541878</v>
      </c>
      <c r="E34" s="362"/>
      <c r="F34" s="363">
        <f t="shared" si="7"/>
        <v>1239522.4159726547</v>
      </c>
      <c r="G34" s="363">
        <f t="shared" si="8"/>
        <v>17860986.32946885</v>
      </c>
    </row>
    <row r="35" spans="1:7" x14ac:dyDescent="0.25">
      <c r="A35" s="133">
        <v>24</v>
      </c>
      <c r="B35" s="362">
        <f t="shared" si="4"/>
        <v>17860986.32946885</v>
      </c>
      <c r="C35" s="363">
        <f t="shared" si="5"/>
        <v>260800.53286653679</v>
      </c>
      <c r="D35" s="362">
        <f t="shared" si="6"/>
        <v>1518422.0672541878</v>
      </c>
      <c r="E35" s="362"/>
      <c r="F35" s="363">
        <f t="shared" si="7"/>
        <v>1257621.5343876509</v>
      </c>
      <c r="G35" s="363">
        <f t="shared" si="8"/>
        <v>16603364.795081198</v>
      </c>
    </row>
    <row r="36" spans="1:7" x14ac:dyDescent="0.25">
      <c r="A36" s="133">
        <v>25</v>
      </c>
      <c r="B36" s="366">
        <f t="shared" si="4"/>
        <v>16603364.795081198</v>
      </c>
      <c r="C36" s="367">
        <f t="shared" si="5"/>
        <v>242437.13678848353</v>
      </c>
      <c r="D36" s="366">
        <f t="shared" si="6"/>
        <v>1518422.0672541878</v>
      </c>
      <c r="E36" s="366"/>
      <c r="F36" s="367">
        <f t="shared" si="7"/>
        <v>1275984.9304657043</v>
      </c>
      <c r="G36" s="367">
        <f t="shared" si="8"/>
        <v>15327379.864615494</v>
      </c>
    </row>
    <row r="37" spans="1:7" x14ac:dyDescent="0.25">
      <c r="A37" s="133">
        <v>26</v>
      </c>
      <c r="B37" s="366">
        <f t="shared" si="4"/>
        <v>15327379.864615494</v>
      </c>
      <c r="C37" s="367">
        <f t="shared" si="5"/>
        <v>223805.6041476418</v>
      </c>
      <c r="D37" s="366">
        <f t="shared" si="6"/>
        <v>1518422.0672541878</v>
      </c>
      <c r="E37" s="366"/>
      <c r="F37" s="367">
        <f t="shared" si="7"/>
        <v>1294616.4631065461</v>
      </c>
      <c r="G37" s="367">
        <f t="shared" si="8"/>
        <v>14032763.401508948</v>
      </c>
    </row>
    <row r="38" spans="1:7" x14ac:dyDescent="0.25">
      <c r="A38" s="133">
        <v>27</v>
      </c>
      <c r="B38" s="366">
        <f t="shared" si="4"/>
        <v>14032763.401508948</v>
      </c>
      <c r="C38" s="367">
        <f t="shared" si="5"/>
        <v>204902.01969783392</v>
      </c>
      <c r="D38" s="366">
        <f t="shared" si="6"/>
        <v>1518422.0672541878</v>
      </c>
      <c r="E38" s="366"/>
      <c r="F38" s="367">
        <f t="shared" si="7"/>
        <v>1313520.0475563537</v>
      </c>
      <c r="G38" s="367">
        <f t="shared" si="8"/>
        <v>12719243.353952594</v>
      </c>
    </row>
    <row r="39" spans="1:7" x14ac:dyDescent="0.25">
      <c r="A39" s="133">
        <v>28</v>
      </c>
      <c r="B39" s="366">
        <f t="shared" si="4"/>
        <v>12719243.353952594</v>
      </c>
      <c r="C39" s="367">
        <f t="shared" si="5"/>
        <v>185722.4110236828</v>
      </c>
      <c r="D39" s="366">
        <f t="shared" si="6"/>
        <v>1518422.0672541878</v>
      </c>
      <c r="E39" s="366"/>
      <c r="F39" s="367">
        <f t="shared" si="7"/>
        <v>1332699.6562305051</v>
      </c>
      <c r="G39" s="367">
        <f t="shared" si="8"/>
        <v>11386543.697722089</v>
      </c>
    </row>
    <row r="40" spans="1:7" x14ac:dyDescent="0.25">
      <c r="A40" s="133">
        <v>29</v>
      </c>
      <c r="B40" s="366">
        <f t="shared" si="4"/>
        <v>11386543.697722089</v>
      </c>
      <c r="C40" s="367">
        <f t="shared" si="5"/>
        <v>166262.74770584505</v>
      </c>
      <c r="D40" s="366">
        <f t="shared" si="6"/>
        <v>1518422.0672541878</v>
      </c>
      <c r="E40" s="366"/>
      <c r="F40" s="367">
        <f t="shared" si="7"/>
        <v>1352159.3195483428</v>
      </c>
      <c r="G40" s="367">
        <f t="shared" si="8"/>
        <v>10034384.378173746</v>
      </c>
    </row>
    <row r="41" spans="1:7" x14ac:dyDescent="0.25">
      <c r="A41" s="133">
        <v>30</v>
      </c>
      <c r="B41" s="366">
        <f t="shared" si="4"/>
        <v>10034384.378173746</v>
      </c>
      <c r="C41" s="367">
        <f t="shared" si="5"/>
        <v>146518.9404740555</v>
      </c>
      <c r="D41" s="366">
        <f>IF(B41+C41&gt;=$C$8,$C$8,B41+C41)</f>
        <v>1518422.0672541878</v>
      </c>
      <c r="E41" s="366"/>
      <c r="F41" s="367">
        <f t="shared" si="7"/>
        <v>1371903.1267801323</v>
      </c>
      <c r="G41" s="367">
        <f t="shared" si="8"/>
        <v>8662481.2513936143</v>
      </c>
    </row>
    <row r="42" spans="1:7" x14ac:dyDescent="0.25">
      <c r="A42" s="133">
        <v>31</v>
      </c>
      <c r="B42" s="366">
        <f t="shared" si="4"/>
        <v>8662481.2513936143</v>
      </c>
      <c r="C42" s="367">
        <f t="shared" si="5"/>
        <v>126486.84034780416</v>
      </c>
      <c r="D42" s="366">
        <f t="shared" si="6"/>
        <v>1518422.0672541878</v>
      </c>
      <c r="E42" s="366"/>
      <c r="F42" s="367">
        <f t="shared" si="7"/>
        <v>1391935.2269063836</v>
      </c>
      <c r="G42" s="367">
        <f t="shared" si="8"/>
        <v>7270546.0244872309</v>
      </c>
    </row>
    <row r="43" spans="1:7" x14ac:dyDescent="0.25">
      <c r="A43" s="133">
        <v>32</v>
      </c>
      <c r="B43" s="366">
        <f t="shared" si="4"/>
        <v>7270546.0244872309</v>
      </c>
      <c r="C43" s="367">
        <f t="shared" si="5"/>
        <v>106162.23776446609</v>
      </c>
      <c r="D43" s="366">
        <f t="shared" si="6"/>
        <v>1518422.0672541878</v>
      </c>
      <c r="E43" s="366"/>
      <c r="F43" s="367">
        <f t="shared" si="7"/>
        <v>1412259.8294897217</v>
      </c>
      <c r="G43" s="367">
        <f t="shared" si="8"/>
        <v>5858286.194997509</v>
      </c>
    </row>
    <row r="44" spans="1:7" x14ac:dyDescent="0.25">
      <c r="A44" s="133">
        <v>33</v>
      </c>
      <c r="B44" s="366">
        <f t="shared" si="4"/>
        <v>5858286.194997509</v>
      </c>
      <c r="C44" s="367">
        <f t="shared" si="5"/>
        <v>85540.861694700245</v>
      </c>
      <c r="D44" s="366">
        <f t="shared" si="6"/>
        <v>1518422.0672541878</v>
      </c>
      <c r="E44" s="366"/>
      <c r="F44" s="367">
        <f t="shared" si="7"/>
        <v>1432881.2055594875</v>
      </c>
      <c r="G44" s="367">
        <f t="shared" si="8"/>
        <v>4425404.9894380216</v>
      </c>
    </row>
    <row r="45" spans="1:7" x14ac:dyDescent="0.25">
      <c r="A45" s="133">
        <v>34</v>
      </c>
      <c r="B45" s="366">
        <f t="shared" si="4"/>
        <v>4425404.9894380216</v>
      </c>
      <c r="C45" s="367">
        <f t="shared" si="5"/>
        <v>64618.378744931761</v>
      </c>
      <c r="D45" s="366">
        <f t="shared" si="6"/>
        <v>1518422.0672541878</v>
      </c>
      <c r="E45" s="366"/>
      <c r="F45" s="367">
        <f t="shared" si="7"/>
        <v>1453803.6885092561</v>
      </c>
      <c r="G45" s="367">
        <f t="shared" si="8"/>
        <v>2971601.3009287654</v>
      </c>
    </row>
    <row r="46" spans="1:7" x14ac:dyDescent="0.25">
      <c r="A46" s="133">
        <v>35</v>
      </c>
      <c r="B46" s="366">
        <f t="shared" si="4"/>
        <v>2971601.3009287654</v>
      </c>
      <c r="C46" s="367">
        <f t="shared" si="5"/>
        <v>43390.392246728894</v>
      </c>
      <c r="D46" s="366">
        <f t="shared" si="6"/>
        <v>1518422.0672541878</v>
      </c>
      <c r="E46" s="366"/>
      <c r="F46" s="367">
        <f t="shared" si="7"/>
        <v>1475031.6750074588</v>
      </c>
      <c r="G46" s="367">
        <f t="shared" si="8"/>
        <v>1496569.6259213067</v>
      </c>
    </row>
    <row r="47" spans="1:7" x14ac:dyDescent="0.25">
      <c r="A47" s="133">
        <v>36</v>
      </c>
      <c r="B47" s="366">
        <f t="shared" si="4"/>
        <v>1496569.6259213067</v>
      </c>
      <c r="C47" s="367">
        <f t="shared" si="5"/>
        <v>21852.441332883398</v>
      </c>
      <c r="D47" s="366">
        <f t="shared" si="6"/>
        <v>1518422.0672541878</v>
      </c>
      <c r="E47" s="366"/>
      <c r="F47" s="367">
        <f t="shared" si="7"/>
        <v>1496569.6259213043</v>
      </c>
      <c r="G47" s="367">
        <f t="shared" si="8"/>
        <v>2.3283064365386963E-9</v>
      </c>
    </row>
    <row r="48" spans="1:7" x14ac:dyDescent="0.25">
      <c r="A48" s="133">
        <v>37</v>
      </c>
      <c r="B48" s="366">
        <f t="shared" ref="B48:B61" si="9">G47</f>
        <v>2.3283064365386963E-9</v>
      </c>
      <c r="C48" s="367">
        <f t="shared" ref="C48:C61" si="10">B48*$F$7</f>
        <v>3.3997201953176626E-11</v>
      </c>
      <c r="D48" s="366">
        <f t="shared" ref="D48:D61" si="11">IF(B48+C48&gt;=$C$8,$C$8,B48+C48)</f>
        <v>2.3623036384918728E-9</v>
      </c>
      <c r="E48" s="366"/>
      <c r="F48" s="367">
        <f t="shared" ref="F48:F61" si="12" xml:space="preserve"> IF(D48&gt;0,(D48-C48+E48),0)</f>
        <v>2.3283064365386963E-9</v>
      </c>
      <c r="G48" s="367">
        <f t="shared" ref="G48:G61" si="13">B48-F48</f>
        <v>0</v>
      </c>
    </row>
    <row r="49" spans="1:7" hidden="1" x14ac:dyDescent="0.25">
      <c r="A49" s="22">
        <v>38</v>
      </c>
      <c r="B49" s="151">
        <f t="shared" si="9"/>
        <v>0</v>
      </c>
      <c r="C49" s="153">
        <f t="shared" si="10"/>
        <v>0</v>
      </c>
      <c r="D49" s="154">
        <f t="shared" si="11"/>
        <v>0</v>
      </c>
      <c r="E49" s="46"/>
      <c r="F49" s="152">
        <f t="shared" si="12"/>
        <v>0</v>
      </c>
      <c r="G49" s="155">
        <f t="shared" si="13"/>
        <v>0</v>
      </c>
    </row>
    <row r="50" spans="1:7" hidden="1" x14ac:dyDescent="0.25">
      <c r="A50" s="22">
        <v>39</v>
      </c>
      <c r="B50" s="151">
        <f t="shared" si="9"/>
        <v>0</v>
      </c>
      <c r="C50" s="153">
        <f t="shared" si="10"/>
        <v>0</v>
      </c>
      <c r="D50" s="154">
        <f t="shared" si="11"/>
        <v>0</v>
      </c>
      <c r="E50" s="46"/>
      <c r="F50" s="152">
        <f t="shared" si="12"/>
        <v>0</v>
      </c>
      <c r="G50" s="155">
        <f t="shared" si="13"/>
        <v>0</v>
      </c>
    </row>
    <row r="51" spans="1:7" hidden="1" x14ac:dyDescent="0.25">
      <c r="A51" s="22">
        <v>40</v>
      </c>
      <c r="B51" s="151">
        <f t="shared" si="9"/>
        <v>0</v>
      </c>
      <c r="C51" s="153">
        <f t="shared" si="10"/>
        <v>0</v>
      </c>
      <c r="D51" s="154">
        <f t="shared" si="11"/>
        <v>0</v>
      </c>
      <c r="E51" s="46"/>
      <c r="F51" s="152">
        <f t="shared" si="12"/>
        <v>0</v>
      </c>
      <c r="G51" s="155">
        <f t="shared" si="13"/>
        <v>0</v>
      </c>
    </row>
    <row r="52" spans="1:7" hidden="1" x14ac:dyDescent="0.25">
      <c r="A52" s="22">
        <v>41</v>
      </c>
      <c r="B52" s="151">
        <f t="shared" si="9"/>
        <v>0</v>
      </c>
      <c r="C52" s="153">
        <f t="shared" si="10"/>
        <v>0</v>
      </c>
      <c r="D52" s="154">
        <f t="shared" si="11"/>
        <v>0</v>
      </c>
      <c r="E52" s="46"/>
      <c r="F52" s="152">
        <f t="shared" si="12"/>
        <v>0</v>
      </c>
      <c r="G52" s="155">
        <f t="shared" si="13"/>
        <v>0</v>
      </c>
    </row>
    <row r="53" spans="1:7" hidden="1" x14ac:dyDescent="0.25">
      <c r="A53" s="22">
        <v>42</v>
      </c>
      <c r="B53" s="151">
        <f t="shared" si="9"/>
        <v>0</v>
      </c>
      <c r="C53" s="153">
        <f t="shared" si="10"/>
        <v>0</v>
      </c>
      <c r="D53" s="154">
        <f t="shared" si="11"/>
        <v>0</v>
      </c>
      <c r="E53" s="46"/>
      <c r="F53" s="152">
        <f t="shared" si="12"/>
        <v>0</v>
      </c>
      <c r="G53" s="155">
        <f t="shared" si="13"/>
        <v>0</v>
      </c>
    </row>
    <row r="54" spans="1:7" hidden="1" x14ac:dyDescent="0.25">
      <c r="A54" s="22">
        <v>43</v>
      </c>
      <c r="B54" s="151">
        <f t="shared" si="9"/>
        <v>0</v>
      </c>
      <c r="C54" s="153">
        <f t="shared" si="10"/>
        <v>0</v>
      </c>
      <c r="D54" s="154">
        <f t="shared" si="11"/>
        <v>0</v>
      </c>
      <c r="E54" s="46"/>
      <c r="F54" s="152">
        <f t="shared" si="12"/>
        <v>0</v>
      </c>
      <c r="G54" s="155">
        <f t="shared" si="13"/>
        <v>0</v>
      </c>
    </row>
    <row r="55" spans="1:7" hidden="1" x14ac:dyDescent="0.25">
      <c r="A55" s="22">
        <v>44</v>
      </c>
      <c r="B55" s="151">
        <f t="shared" si="9"/>
        <v>0</v>
      </c>
      <c r="C55" s="153">
        <f t="shared" si="10"/>
        <v>0</v>
      </c>
      <c r="D55" s="154">
        <f t="shared" si="11"/>
        <v>0</v>
      </c>
      <c r="E55" s="46"/>
      <c r="F55" s="152">
        <f t="shared" si="12"/>
        <v>0</v>
      </c>
      <c r="G55" s="155">
        <f t="shared" si="13"/>
        <v>0</v>
      </c>
    </row>
    <row r="56" spans="1:7" hidden="1" x14ac:dyDescent="0.25">
      <c r="A56" s="22">
        <v>45</v>
      </c>
      <c r="B56" s="151">
        <f t="shared" si="9"/>
        <v>0</v>
      </c>
      <c r="C56" s="153">
        <f t="shared" si="10"/>
        <v>0</v>
      </c>
      <c r="D56" s="154">
        <f t="shared" si="11"/>
        <v>0</v>
      </c>
      <c r="E56" s="46"/>
      <c r="F56" s="152">
        <f t="shared" si="12"/>
        <v>0</v>
      </c>
      <c r="G56" s="155">
        <f t="shared" si="13"/>
        <v>0</v>
      </c>
    </row>
    <row r="57" spans="1:7" hidden="1" x14ac:dyDescent="0.25">
      <c r="A57" s="22">
        <v>46</v>
      </c>
      <c r="B57" s="151">
        <f t="shared" si="9"/>
        <v>0</v>
      </c>
      <c r="C57" s="153">
        <f t="shared" si="10"/>
        <v>0</v>
      </c>
      <c r="D57" s="154">
        <f t="shared" si="11"/>
        <v>0</v>
      </c>
      <c r="E57" s="46"/>
      <c r="F57" s="152">
        <f t="shared" si="12"/>
        <v>0</v>
      </c>
      <c r="G57" s="155">
        <f t="shared" si="13"/>
        <v>0</v>
      </c>
    </row>
    <row r="58" spans="1:7" hidden="1" x14ac:dyDescent="0.25">
      <c r="A58" s="22">
        <v>47</v>
      </c>
      <c r="B58" s="151">
        <f t="shared" si="9"/>
        <v>0</v>
      </c>
      <c r="C58" s="153">
        <f t="shared" si="10"/>
        <v>0</v>
      </c>
      <c r="D58" s="154">
        <f t="shared" si="11"/>
        <v>0</v>
      </c>
      <c r="E58" s="46"/>
      <c r="F58" s="152">
        <f t="shared" si="12"/>
        <v>0</v>
      </c>
      <c r="G58" s="155">
        <f t="shared" si="13"/>
        <v>0</v>
      </c>
    </row>
    <row r="59" spans="1:7" hidden="1" x14ac:dyDescent="0.25">
      <c r="A59" s="22">
        <v>48</v>
      </c>
      <c r="B59" s="151">
        <f t="shared" si="9"/>
        <v>0</v>
      </c>
      <c r="C59" s="153">
        <f t="shared" si="10"/>
        <v>0</v>
      </c>
      <c r="D59" s="154">
        <f t="shared" si="11"/>
        <v>0</v>
      </c>
      <c r="E59" s="46"/>
      <c r="F59" s="152">
        <f t="shared" si="12"/>
        <v>0</v>
      </c>
      <c r="G59" s="155">
        <f t="shared" si="13"/>
        <v>0</v>
      </c>
    </row>
    <row r="60" spans="1:7" hidden="1" x14ac:dyDescent="0.25">
      <c r="A60" s="22">
        <v>49</v>
      </c>
      <c r="B60" s="151">
        <f t="shared" si="9"/>
        <v>0</v>
      </c>
      <c r="C60" s="153">
        <f t="shared" si="10"/>
        <v>0</v>
      </c>
      <c r="D60" s="154">
        <f t="shared" si="11"/>
        <v>0</v>
      </c>
      <c r="E60" s="46"/>
      <c r="F60" s="152">
        <f t="shared" si="12"/>
        <v>0</v>
      </c>
      <c r="G60" s="155">
        <f t="shared" si="13"/>
        <v>0</v>
      </c>
    </row>
    <row r="61" spans="1:7" hidden="1" x14ac:dyDescent="0.25">
      <c r="A61" s="22">
        <v>50</v>
      </c>
      <c r="B61" s="151">
        <f t="shared" si="9"/>
        <v>0</v>
      </c>
      <c r="C61" s="153">
        <f t="shared" si="10"/>
        <v>0</v>
      </c>
      <c r="D61" s="154">
        <f t="shared" si="11"/>
        <v>0</v>
      </c>
      <c r="E61" s="46"/>
      <c r="F61" s="152">
        <f t="shared" si="12"/>
        <v>0</v>
      </c>
      <c r="G61" s="155">
        <f t="shared" si="13"/>
        <v>0</v>
      </c>
    </row>
    <row r="62" spans="1:7" hidden="1" x14ac:dyDescent="0.25">
      <c r="A62" s="22">
        <v>51</v>
      </c>
      <c r="B62" s="151">
        <f t="shared" ref="B62:B71" si="14">G61</f>
        <v>0</v>
      </c>
      <c r="C62" s="153">
        <f t="shared" ref="C62:C71" si="15">B62*$F$7</f>
        <v>0</v>
      </c>
      <c r="D62" s="154">
        <f t="shared" ref="D62:D71" si="16">IF(B62+C62&gt;=$C$8,$C$8,B62+C62)</f>
        <v>0</v>
      </c>
      <c r="E62" s="46"/>
      <c r="F62" s="152">
        <f t="shared" ref="F62:F71" si="17" xml:space="preserve"> IF(D62&gt;0,(D62-C62+E62),0)</f>
        <v>0</v>
      </c>
      <c r="G62" s="155">
        <f t="shared" ref="G62:G71" si="18">B62-F62</f>
        <v>0</v>
      </c>
    </row>
    <row r="63" spans="1:7" hidden="1" x14ac:dyDescent="0.25">
      <c r="A63" s="22">
        <v>52</v>
      </c>
      <c r="B63" s="151">
        <f t="shared" si="14"/>
        <v>0</v>
      </c>
      <c r="C63" s="153">
        <f t="shared" si="15"/>
        <v>0</v>
      </c>
      <c r="D63" s="154">
        <f t="shared" si="16"/>
        <v>0</v>
      </c>
      <c r="E63" s="46"/>
      <c r="F63" s="152">
        <f t="shared" si="17"/>
        <v>0</v>
      </c>
      <c r="G63" s="155">
        <f t="shared" si="18"/>
        <v>0</v>
      </c>
    </row>
    <row r="64" spans="1:7" hidden="1" x14ac:dyDescent="0.25">
      <c r="A64" s="22">
        <v>53</v>
      </c>
      <c r="B64" s="151">
        <f t="shared" si="14"/>
        <v>0</v>
      </c>
      <c r="C64" s="153">
        <f t="shared" si="15"/>
        <v>0</v>
      </c>
      <c r="D64" s="154">
        <f t="shared" si="16"/>
        <v>0</v>
      </c>
      <c r="E64" s="46"/>
      <c r="F64" s="152">
        <f t="shared" si="17"/>
        <v>0</v>
      </c>
      <c r="G64" s="155">
        <f t="shared" si="18"/>
        <v>0</v>
      </c>
    </row>
    <row r="65" spans="1:7" hidden="1" x14ac:dyDescent="0.25">
      <c r="A65" s="22">
        <v>54</v>
      </c>
      <c r="B65" s="151">
        <f t="shared" si="14"/>
        <v>0</v>
      </c>
      <c r="C65" s="153">
        <f t="shared" si="15"/>
        <v>0</v>
      </c>
      <c r="D65" s="154">
        <f t="shared" si="16"/>
        <v>0</v>
      </c>
      <c r="E65" s="46"/>
      <c r="F65" s="152">
        <f t="shared" si="17"/>
        <v>0</v>
      </c>
      <c r="G65" s="155">
        <f t="shared" si="18"/>
        <v>0</v>
      </c>
    </row>
    <row r="66" spans="1:7" hidden="1" x14ac:dyDescent="0.25">
      <c r="A66" s="22">
        <v>55</v>
      </c>
      <c r="B66" s="151">
        <f t="shared" si="14"/>
        <v>0</v>
      </c>
      <c r="C66" s="153">
        <f t="shared" si="15"/>
        <v>0</v>
      </c>
      <c r="D66" s="154">
        <f t="shared" si="16"/>
        <v>0</v>
      </c>
      <c r="E66" s="46"/>
      <c r="F66" s="152">
        <f t="shared" si="17"/>
        <v>0</v>
      </c>
      <c r="G66" s="155">
        <f t="shared" si="18"/>
        <v>0</v>
      </c>
    </row>
    <row r="67" spans="1:7" hidden="1" x14ac:dyDescent="0.25">
      <c r="A67" s="22">
        <v>56</v>
      </c>
      <c r="B67" s="151">
        <f t="shared" si="14"/>
        <v>0</v>
      </c>
      <c r="C67" s="153">
        <f t="shared" si="15"/>
        <v>0</v>
      </c>
      <c r="D67" s="154">
        <f t="shared" si="16"/>
        <v>0</v>
      </c>
      <c r="E67" s="46"/>
      <c r="F67" s="152">
        <f t="shared" si="17"/>
        <v>0</v>
      </c>
      <c r="G67" s="155">
        <f t="shared" si="18"/>
        <v>0</v>
      </c>
    </row>
    <row r="68" spans="1:7" hidden="1" x14ac:dyDescent="0.25">
      <c r="A68" s="22">
        <v>57</v>
      </c>
      <c r="B68" s="151">
        <f t="shared" si="14"/>
        <v>0</v>
      </c>
      <c r="C68" s="153">
        <f t="shared" si="15"/>
        <v>0</v>
      </c>
      <c r="D68" s="154">
        <f t="shared" si="16"/>
        <v>0</v>
      </c>
      <c r="E68" s="46"/>
      <c r="F68" s="152">
        <f t="shared" si="17"/>
        <v>0</v>
      </c>
      <c r="G68" s="155">
        <f t="shared" si="18"/>
        <v>0</v>
      </c>
    </row>
    <row r="69" spans="1:7" hidden="1" x14ac:dyDescent="0.25">
      <c r="A69" s="22">
        <v>58</v>
      </c>
      <c r="B69" s="151">
        <f t="shared" si="14"/>
        <v>0</v>
      </c>
      <c r="C69" s="153">
        <f t="shared" si="15"/>
        <v>0</v>
      </c>
      <c r="D69" s="154">
        <f t="shared" si="16"/>
        <v>0</v>
      </c>
      <c r="E69" s="46"/>
      <c r="F69" s="152">
        <f t="shared" si="17"/>
        <v>0</v>
      </c>
      <c r="G69" s="155">
        <f t="shared" si="18"/>
        <v>0</v>
      </c>
    </row>
    <row r="70" spans="1:7" hidden="1" x14ac:dyDescent="0.25">
      <c r="A70" s="22">
        <v>59</v>
      </c>
      <c r="B70" s="151">
        <f t="shared" si="14"/>
        <v>0</v>
      </c>
      <c r="C70" s="153">
        <f t="shared" si="15"/>
        <v>0</v>
      </c>
      <c r="D70" s="154">
        <f t="shared" si="16"/>
        <v>0</v>
      </c>
      <c r="E70" s="46"/>
      <c r="F70" s="152">
        <f t="shared" si="17"/>
        <v>0</v>
      </c>
      <c r="G70" s="155">
        <f t="shared" si="18"/>
        <v>0</v>
      </c>
    </row>
    <row r="71" spans="1:7" hidden="1" x14ac:dyDescent="0.25">
      <c r="A71" s="22">
        <v>60</v>
      </c>
      <c r="B71" s="151">
        <f t="shared" si="14"/>
        <v>0</v>
      </c>
      <c r="C71" s="153">
        <f t="shared" si="15"/>
        <v>0</v>
      </c>
      <c r="D71" s="154">
        <f t="shared" si="16"/>
        <v>0</v>
      </c>
      <c r="E71" s="46"/>
      <c r="F71" s="152">
        <f t="shared" si="17"/>
        <v>0</v>
      </c>
      <c r="G71" s="155">
        <f t="shared" si="18"/>
        <v>0</v>
      </c>
    </row>
    <row r="72" spans="1:7" x14ac:dyDescent="0.25">
      <c r="B72" s="61"/>
      <c r="C72" s="62"/>
      <c r="D72" s="61"/>
      <c r="F72" s="62"/>
      <c r="G72" s="62"/>
    </row>
    <row r="73" spans="1:7" x14ac:dyDescent="0.25">
      <c r="B73" s="283" t="s">
        <v>637</v>
      </c>
      <c r="C73" s="369">
        <f>SUM(D12:D71)</f>
        <v>54663194.421150751</v>
      </c>
    </row>
    <row r="74" spans="1:7" ht="30" x14ac:dyDescent="0.25">
      <c r="B74" s="287" t="s">
        <v>638</v>
      </c>
      <c r="C74" s="336">
        <f>SUM(E14:E47)</f>
        <v>0</v>
      </c>
    </row>
    <row r="75" spans="1:7" x14ac:dyDescent="0.25">
      <c r="B75" s="283" t="s">
        <v>639</v>
      </c>
      <c r="C75" s="368">
        <f>SUM(C73:C74)</f>
        <v>54663194.421150751</v>
      </c>
    </row>
    <row r="76" spans="1:7" x14ac:dyDescent="0.25">
      <c r="B76" s="288"/>
    </row>
    <row r="77" spans="1:7" x14ac:dyDescent="0.25">
      <c r="B77" s="283" t="s">
        <v>639</v>
      </c>
      <c r="C77" s="368">
        <f>C5+SUM(C12:C71)</f>
        <v>54663194.421150766</v>
      </c>
    </row>
  </sheetData>
  <mergeCells count="1">
    <mergeCell ref="F8:G8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5:H20"/>
  <sheetViews>
    <sheetView zoomScaleNormal="100" workbookViewId="0">
      <selection activeCell="H10" sqref="H10"/>
    </sheetView>
  </sheetViews>
  <sheetFormatPr baseColWidth="10" defaultColWidth="11.5" defaultRowHeight="15" x14ac:dyDescent="0.25"/>
  <cols>
    <col min="1" max="2" width="11.5" style="144"/>
    <col min="3" max="3" width="32.875" style="144" customWidth="1"/>
    <col min="4" max="5" width="16.625" style="144" customWidth="1"/>
    <col min="6" max="6" width="15.125" style="144" bestFit="1" customWidth="1"/>
    <col min="7" max="7" width="11.5" style="144"/>
    <col min="8" max="8" width="11.875" style="144" bestFit="1" customWidth="1"/>
    <col min="9" max="16384" width="11.5" style="144"/>
  </cols>
  <sheetData>
    <row r="5" spans="2:8" x14ac:dyDescent="0.25">
      <c r="B5" s="742" t="s">
        <v>640</v>
      </c>
      <c r="C5" s="742"/>
      <c r="D5" s="742"/>
      <c r="E5" s="742"/>
      <c r="F5" s="742"/>
    </row>
    <row r="6" spans="2:8" x14ac:dyDescent="0.25">
      <c r="B6" s="696" t="s">
        <v>205</v>
      </c>
      <c r="C6" s="696"/>
      <c r="D6" s="533" t="s">
        <v>232</v>
      </c>
      <c r="E6" s="533" t="s">
        <v>233</v>
      </c>
      <c r="F6" s="533" t="s">
        <v>215</v>
      </c>
    </row>
    <row r="7" spans="2:8" x14ac:dyDescent="0.25">
      <c r="B7" s="773" t="s">
        <v>591</v>
      </c>
      <c r="C7" s="289" t="s">
        <v>641</v>
      </c>
      <c r="D7" s="57">
        <f>ProyIngresos!L25</f>
        <v>193722005.00838137</v>
      </c>
      <c r="E7" s="57">
        <f>ProyIngresos!M25</f>
        <v>208866176.68591994</v>
      </c>
      <c r="F7" s="57">
        <f>ProyIngresos!N25</f>
        <v>219870606.63705611</v>
      </c>
    </row>
    <row r="8" spans="2:8" x14ac:dyDescent="0.25">
      <c r="B8" s="648"/>
      <c r="C8" s="186" t="s">
        <v>642</v>
      </c>
      <c r="D8" s="57">
        <f>300000*12</f>
        <v>3600000</v>
      </c>
      <c r="E8" s="57">
        <f>D8*(1+ProyecciónIPC!E27)</f>
        <v>3719876.4</v>
      </c>
      <c r="F8" s="57">
        <f>E8*(1+ProyecciónIPC!E28)</f>
        <v>3840073.0462367996</v>
      </c>
    </row>
    <row r="9" spans="2:8" x14ac:dyDescent="0.25">
      <c r="B9" s="648"/>
      <c r="C9" s="513" t="s">
        <v>643</v>
      </c>
      <c r="D9" s="489">
        <f>SUM(D7:D8)</f>
        <v>197322005.00838137</v>
      </c>
      <c r="E9" s="489">
        <f>SUM(E7:E8)</f>
        <v>212586053.08591995</v>
      </c>
      <c r="F9" s="489">
        <f>SUM(F7:F8)</f>
        <v>223710679.68329293</v>
      </c>
    </row>
    <row r="10" spans="2:8" x14ac:dyDescent="0.25">
      <c r="B10" s="648" t="s">
        <v>592</v>
      </c>
      <c r="C10" s="186" t="s">
        <v>644</v>
      </c>
      <c r="D10" s="57">
        <f>PresOperac!C9+PresOperac!C10</f>
        <v>149415641.33405319</v>
      </c>
      <c r="E10" s="57">
        <f>PresOperac!D9+PresOperac!D10</f>
        <v>165715886.12815773</v>
      </c>
      <c r="F10" s="57">
        <f>PresOperac!E9+PresOperac!E10</f>
        <v>172343270.26719943</v>
      </c>
      <c r="H10" s="162"/>
    </row>
    <row r="11" spans="2:8" x14ac:dyDescent="0.25">
      <c r="B11" s="648"/>
      <c r="C11" s="186" t="s">
        <v>587</v>
      </c>
      <c r="D11" s="57">
        <f>GastosVentas!C9</f>
        <v>8402712.959947072</v>
      </c>
      <c r="E11" s="57">
        <f>GastosVentas!D9</f>
        <v>8586279.6573814806</v>
      </c>
      <c r="F11" s="57">
        <f>GastosVentas!E9</f>
        <v>9038660.7682427373</v>
      </c>
    </row>
    <row r="12" spans="2:8" x14ac:dyDescent="0.25">
      <c r="B12" s="648"/>
      <c r="C12" s="186" t="s">
        <v>645</v>
      </c>
      <c r="D12" s="57">
        <f>SUM(Crédito!C12:C23)</f>
        <v>6496352.7139203874</v>
      </c>
      <c r="E12" s="57">
        <f>SUM(Crédito!C24:C35)</f>
        <v>4268657.4162257165</v>
      </c>
      <c r="F12" s="57">
        <f>SUM(Crédito!C36:C48)</f>
        <v>1617700.0119690571</v>
      </c>
    </row>
    <row r="13" spans="2:8" x14ac:dyDescent="0.25">
      <c r="B13" s="648"/>
      <c r="C13" s="186" t="s">
        <v>646</v>
      </c>
      <c r="D13" s="159"/>
      <c r="E13" s="157"/>
      <c r="F13" s="157"/>
    </row>
    <row r="14" spans="2:8" x14ac:dyDescent="0.25">
      <c r="B14" s="648"/>
      <c r="C14" s="513" t="s">
        <v>647</v>
      </c>
      <c r="D14" s="489">
        <f>SUM(D10:D13)</f>
        <v>164314707.00792065</v>
      </c>
      <c r="E14" s="489">
        <f>SUM(E10:E13)</f>
        <v>178570823.20176494</v>
      </c>
      <c r="F14" s="489">
        <f>SUM(F10:F13)</f>
        <v>182999631.04741123</v>
      </c>
    </row>
    <row r="15" spans="2:8" x14ac:dyDescent="0.25">
      <c r="B15" s="708" t="s">
        <v>648</v>
      </c>
      <c r="C15" s="708"/>
      <c r="D15" s="160">
        <f>D9-D14</f>
        <v>33007298.000460714</v>
      </c>
      <c r="E15" s="158">
        <f>E9-E14</f>
        <v>34015229.884155005</v>
      </c>
      <c r="F15" s="158">
        <f>F9-F14</f>
        <v>40711048.635881692</v>
      </c>
    </row>
    <row r="16" spans="2:8" x14ac:dyDescent="0.25">
      <c r="B16" s="708" t="s">
        <v>649</v>
      </c>
      <c r="C16" s="708"/>
      <c r="D16" s="160">
        <f>D15*31%</f>
        <v>10232262.380142821</v>
      </c>
      <c r="E16" s="158">
        <f>E15*31%</f>
        <v>10544721.264088051</v>
      </c>
      <c r="F16" s="158">
        <f>F15*31%</f>
        <v>12620425.077123325</v>
      </c>
    </row>
    <row r="17" spans="2:6" x14ac:dyDescent="0.25">
      <c r="B17" s="708" t="s">
        <v>650</v>
      </c>
      <c r="C17" s="708"/>
      <c r="D17" s="160">
        <f>D15-D16</f>
        <v>22775035.620317891</v>
      </c>
      <c r="E17" s="158">
        <f>E15-E16</f>
        <v>23470508.620066956</v>
      </c>
      <c r="F17" s="158">
        <f>F15-F16</f>
        <v>28090623.558758367</v>
      </c>
    </row>
    <row r="18" spans="2:6" x14ac:dyDescent="0.25">
      <c r="B18" s="708" t="s">
        <v>651</v>
      </c>
      <c r="C18" s="708"/>
      <c r="D18" s="160">
        <f>D17*10%</f>
        <v>2277503.5620317892</v>
      </c>
      <c r="E18" s="158">
        <f>E17*10%</f>
        <v>2347050.8620066955</v>
      </c>
      <c r="F18" s="158">
        <f>F17*10%</f>
        <v>2809062.3558758367</v>
      </c>
    </row>
    <row r="19" spans="2:6" x14ac:dyDescent="0.25">
      <c r="B19" s="656" t="s">
        <v>652</v>
      </c>
      <c r="C19" s="656"/>
      <c r="D19" s="489">
        <f>D17-D18</f>
        <v>20497532.058286101</v>
      </c>
      <c r="E19" s="489">
        <f>E17-E18</f>
        <v>21123457.758060262</v>
      </c>
      <c r="F19" s="489">
        <f>F17-F18</f>
        <v>25281561.202882528</v>
      </c>
    </row>
    <row r="20" spans="2:6" x14ac:dyDescent="0.25">
      <c r="B20" s="187"/>
      <c r="C20" s="187"/>
    </row>
  </sheetData>
  <mergeCells count="9">
    <mergeCell ref="B19:C19"/>
    <mergeCell ref="B16:C16"/>
    <mergeCell ref="B17:C17"/>
    <mergeCell ref="B18:C18"/>
    <mergeCell ref="B5:F5"/>
    <mergeCell ref="B6:C6"/>
    <mergeCell ref="B7:B9"/>
    <mergeCell ref="B10:B14"/>
    <mergeCell ref="B15:C15"/>
  </mergeCells>
  <pageMargins left="0.7" right="0.7" top="0.75" bottom="0.75" header="0.3" footer="0.3"/>
  <ignoredErrors>
    <ignoredError sqref="D18:F18" formula="1"/>
  </ignoredErrors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5:V58"/>
  <sheetViews>
    <sheetView zoomScale="85" zoomScaleNormal="85" workbookViewId="0">
      <pane ySplit="6" topLeftCell="A7" activePane="bottomLeft" state="frozen"/>
      <selection activeCell="G1" sqref="G1"/>
      <selection pane="bottomLeft" activeCell="C9" sqref="C9:E9"/>
    </sheetView>
  </sheetViews>
  <sheetFormatPr baseColWidth="10" defaultColWidth="11.5" defaultRowHeight="15" x14ac:dyDescent="0.25"/>
  <cols>
    <col min="1" max="1" width="3.25" style="144" customWidth="1"/>
    <col min="2" max="2" width="3.625" style="144" bestFit="1" customWidth="1"/>
    <col min="3" max="3" width="15.5" style="144" customWidth="1"/>
    <col min="4" max="4" width="22.5" style="144" customWidth="1"/>
    <col min="5" max="5" width="28.5" style="144" customWidth="1"/>
    <col min="6" max="21" width="14.625" style="144" customWidth="1"/>
    <col min="22" max="16384" width="11.5" style="144"/>
  </cols>
  <sheetData>
    <row r="5" spans="2:21" x14ac:dyDescent="0.25">
      <c r="B5" s="742" t="s">
        <v>653</v>
      </c>
      <c r="C5" s="742"/>
      <c r="D5" s="742"/>
      <c r="E5" s="742"/>
      <c r="F5" s="742"/>
      <c r="G5" s="742"/>
      <c r="H5" s="742"/>
      <c r="I5" s="742"/>
      <c r="J5" s="742"/>
      <c r="K5" s="742"/>
      <c r="L5" s="742"/>
      <c r="M5" s="742"/>
      <c r="N5" s="742"/>
      <c r="O5" s="742"/>
      <c r="P5" s="742"/>
      <c r="Q5" s="742"/>
      <c r="R5" s="742"/>
      <c r="S5" s="742"/>
      <c r="T5" s="742"/>
      <c r="U5" s="742"/>
    </row>
    <row r="6" spans="2:21" ht="15.75" thickBot="1" x14ac:dyDescent="0.3">
      <c r="B6" s="791" t="s">
        <v>444</v>
      </c>
      <c r="C6" s="792"/>
      <c r="D6" s="792"/>
      <c r="E6" s="793"/>
      <c r="F6" s="164" t="s">
        <v>654</v>
      </c>
      <c r="G6" s="164" t="s">
        <v>290</v>
      </c>
      <c r="H6" s="164" t="s">
        <v>291</v>
      </c>
      <c r="I6" s="164" t="s">
        <v>292</v>
      </c>
      <c r="J6" s="164" t="s">
        <v>293</v>
      </c>
      <c r="K6" s="164" t="s">
        <v>294</v>
      </c>
      <c r="L6" s="164" t="s">
        <v>295</v>
      </c>
      <c r="M6" s="164" t="s">
        <v>296</v>
      </c>
      <c r="N6" s="164" t="s">
        <v>297</v>
      </c>
      <c r="O6" s="164" t="s">
        <v>298</v>
      </c>
      <c r="P6" s="164" t="s">
        <v>299</v>
      </c>
      <c r="Q6" s="164" t="s">
        <v>300</v>
      </c>
      <c r="R6" s="164" t="s">
        <v>301</v>
      </c>
      <c r="S6" s="164" t="s">
        <v>232</v>
      </c>
      <c r="T6" s="164" t="s">
        <v>233</v>
      </c>
      <c r="U6" s="165" t="s">
        <v>215</v>
      </c>
    </row>
    <row r="7" spans="2:21" x14ac:dyDescent="0.25">
      <c r="B7" s="794" t="s">
        <v>655</v>
      </c>
      <c r="C7" s="795"/>
      <c r="D7" s="795"/>
      <c r="E7" s="796"/>
      <c r="F7" s="57"/>
      <c r="G7" s="57">
        <f>F55</f>
        <v>40308079.543963462</v>
      </c>
      <c r="H7" s="57">
        <f>G55</f>
        <v>34135707.272697993</v>
      </c>
      <c r="I7" s="57">
        <f t="shared" ref="I7:R7" si="0">H55</f>
        <v>34159956.688903496</v>
      </c>
      <c r="J7" s="57">
        <f t="shared" si="0"/>
        <v>30401769.198296398</v>
      </c>
      <c r="K7" s="57">
        <f t="shared" si="0"/>
        <v>31126969.404437415</v>
      </c>
      <c r="L7" s="57">
        <f t="shared" si="0"/>
        <v>30738257.764398437</v>
      </c>
      <c r="M7" s="57">
        <f t="shared" si="0"/>
        <v>34237303.734910831</v>
      </c>
      <c r="N7" s="57">
        <f t="shared" si="0"/>
        <v>34315522.989106357</v>
      </c>
      <c r="O7" s="57">
        <f t="shared" si="0"/>
        <v>43313673.175680473</v>
      </c>
      <c r="P7" s="57">
        <f t="shared" si="0"/>
        <v>46215877.154047385</v>
      </c>
      <c r="Q7" s="57">
        <f t="shared" si="0"/>
        <v>55054105.17833177</v>
      </c>
      <c r="R7" s="57">
        <f t="shared" si="0"/>
        <v>55421182.181511402</v>
      </c>
      <c r="S7" s="494">
        <f>G7</f>
        <v>40308079.543963462</v>
      </c>
      <c r="T7" s="494">
        <f>R55</f>
        <v>63901394.498757899</v>
      </c>
      <c r="U7" s="494">
        <f>T55</f>
        <v>75054055.930222571</v>
      </c>
    </row>
    <row r="8" spans="2:21" x14ac:dyDescent="0.25">
      <c r="B8" s="797" t="s">
        <v>656</v>
      </c>
      <c r="C8" s="790" t="s">
        <v>657</v>
      </c>
      <c r="D8" s="790"/>
      <c r="E8" s="790"/>
      <c r="F8" s="57"/>
      <c r="G8" s="57">
        <f>PresIngresos!D17</f>
        <v>5135086.4044967322</v>
      </c>
      <c r="H8" s="57">
        <f>PresIngresos!E17</f>
        <v>7176242.3158404082</v>
      </c>
      <c r="I8" s="57">
        <f>PresIngresos!F17</f>
        <v>5135086.4044967322</v>
      </c>
      <c r="J8" s="57">
        <f>PresIngresos!G17</f>
        <v>8229016.8976497883</v>
      </c>
      <c r="K8" s="57">
        <f>PresIngresos!H17</f>
        <v>9217398.2271840852</v>
      </c>
      <c r="L8" s="57">
        <f>PresIngresos!I17</f>
        <v>10270172.808993464</v>
      </c>
      <c r="M8" s="57">
        <f>PresIngresos!J17</f>
        <v>10270172.808993464</v>
      </c>
      <c r="N8" s="57">
        <f>PresIngresos!K17</f>
        <v>13364103.30214652</v>
      </c>
      <c r="O8" s="57">
        <f>PresIngresos!L17</f>
        <v>12311328.720337141</v>
      </c>
      <c r="P8" s="57">
        <f>PresIngresos!M17</f>
        <v>10270172.808993464</v>
      </c>
      <c r="Q8" s="57">
        <f>PresIngresos!N17</f>
        <v>12311328.720337141</v>
      </c>
      <c r="R8" s="57">
        <f>PresIngresos!O17</f>
        <v>13364103.30214652</v>
      </c>
      <c r="S8" s="494">
        <f>SUM(G8:R8)</f>
        <v>117054212.72161546</v>
      </c>
      <c r="T8" s="494">
        <f>PresIngresos!Q17</f>
        <v>119611393.40272576</v>
      </c>
      <c r="U8" s="494">
        <f>PresIngresos!R17</f>
        <v>125913300.30284292</v>
      </c>
    </row>
    <row r="9" spans="2:21" x14ac:dyDescent="0.25">
      <c r="B9" s="797"/>
      <c r="C9" s="790" t="s">
        <v>658</v>
      </c>
      <c r="D9" s="790"/>
      <c r="E9" s="790"/>
      <c r="F9" s="57"/>
      <c r="G9" s="57">
        <f>PresIngresos!D19</f>
        <v>0</v>
      </c>
      <c r="H9" s="57">
        <f>PresIngresos!E19</f>
        <v>5135086.4044967322</v>
      </c>
      <c r="I9" s="57">
        <f>PresIngresos!F19</f>
        <v>7176242.3158404082</v>
      </c>
      <c r="J9" s="57">
        <f>PresIngresos!G19</f>
        <v>5135086.4044967322</v>
      </c>
      <c r="K9" s="57">
        <f>PresIngresos!H19</f>
        <v>8229016.897649792</v>
      </c>
      <c r="L9" s="57">
        <f>PresIngresos!I19</f>
        <v>9217398.2271840852</v>
      </c>
      <c r="M9" s="57">
        <f>PresIngresos!J19</f>
        <v>10270172.808993464</v>
      </c>
      <c r="N9" s="57">
        <f>PresIngresos!K19</f>
        <v>10270172.808993464</v>
      </c>
      <c r="O9" s="57">
        <f>PresIngresos!L19</f>
        <v>13364103.302146517</v>
      </c>
      <c r="P9" s="57">
        <f>PresIngresos!M19</f>
        <v>12311328.720337141</v>
      </c>
      <c r="Q9" s="57">
        <f>PresIngresos!N19</f>
        <v>10270172.808993464</v>
      </c>
      <c r="R9" s="57">
        <f>PresIngresos!O19</f>
        <v>12311328.720337141</v>
      </c>
      <c r="S9" s="494">
        <f>SUM(G9:R9)</f>
        <v>103690109.41946894</v>
      </c>
      <c r="T9" s="494">
        <f>PresIngresos!Q18</f>
        <v>119611393.40272576</v>
      </c>
      <c r="U9" s="494">
        <f>PresIngresos!R18</f>
        <v>125913300.30284286</v>
      </c>
    </row>
    <row r="10" spans="2:21" x14ac:dyDescent="0.25">
      <c r="B10" s="797"/>
      <c r="C10" s="790" t="s">
        <v>659</v>
      </c>
      <c r="D10" s="790"/>
      <c r="E10" s="790"/>
      <c r="F10" s="57"/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494">
        <v>0</v>
      </c>
      <c r="T10" s="494">
        <f>PresIngresos!P21</f>
        <v>13364103.302146524</v>
      </c>
      <c r="U10" s="494">
        <f>PresIngresos!Q21</f>
        <v>13656057.141226947</v>
      </c>
    </row>
    <row r="11" spans="2:21" x14ac:dyDescent="0.25">
      <c r="B11" s="797"/>
      <c r="C11" s="790" t="s">
        <v>660</v>
      </c>
      <c r="D11" s="790"/>
      <c r="E11" s="790"/>
      <c r="F11" s="57"/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494">
        <v>0</v>
      </c>
      <c r="T11" s="494">
        <v>0</v>
      </c>
      <c r="U11" s="494">
        <v>0</v>
      </c>
    </row>
    <row r="12" spans="2:21" x14ac:dyDescent="0.25">
      <c r="B12" s="797"/>
      <c r="C12" s="790" t="s">
        <v>661</v>
      </c>
      <c r="D12" s="790"/>
      <c r="E12" s="790"/>
      <c r="F12" s="57">
        <f>InvTotal!D12</f>
        <v>7461261.9315945189</v>
      </c>
      <c r="G12" s="57">
        <v>0</v>
      </c>
      <c r="H12" s="57">
        <v>0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494">
        <v>0</v>
      </c>
      <c r="T12" s="494">
        <v>0</v>
      </c>
      <c r="U12" s="494">
        <v>0</v>
      </c>
    </row>
    <row r="13" spans="2:21" x14ac:dyDescent="0.25">
      <c r="B13" s="797"/>
      <c r="C13" s="790" t="s">
        <v>662</v>
      </c>
      <c r="D13" s="790"/>
      <c r="E13" s="790"/>
      <c r="F13" s="57">
        <f>InvTotal!D13</f>
        <v>42280484.279035605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494">
        <v>0</v>
      </c>
      <c r="T13" s="494">
        <v>0</v>
      </c>
      <c r="U13" s="494">
        <v>0</v>
      </c>
    </row>
    <row r="14" spans="2:21" ht="15.75" thickBot="1" x14ac:dyDescent="0.3">
      <c r="B14" s="804" t="s">
        <v>663</v>
      </c>
      <c r="C14" s="805"/>
      <c r="D14" s="805"/>
      <c r="E14" s="805"/>
      <c r="F14" s="492">
        <f>SUM(F7:F13)</f>
        <v>49741746.210630126</v>
      </c>
      <c r="G14" s="492">
        <f>SUM(G7:G13)</f>
        <v>45443165.948460191</v>
      </c>
      <c r="H14" s="492">
        <f>SUM(H7:H13)</f>
        <v>46447035.99303513</v>
      </c>
      <c r="I14" s="492">
        <f>SUM(I7:I13)</f>
        <v>46471285.409240633</v>
      </c>
      <c r="J14" s="492">
        <f>SUM(J7:J13)</f>
        <v>43765872.500442915</v>
      </c>
      <c r="K14" s="492">
        <f t="shared" ref="K14:R14" si="1">SUM(K7:K13)</f>
        <v>48573384.529271297</v>
      </c>
      <c r="L14" s="492">
        <f t="shared" si="1"/>
        <v>50225828.800575987</v>
      </c>
      <c r="M14" s="492">
        <f t="shared" si="1"/>
        <v>54777649.352897763</v>
      </c>
      <c r="N14" s="492">
        <f t="shared" si="1"/>
        <v>57949799.100246347</v>
      </c>
      <c r="O14" s="492">
        <f t="shared" si="1"/>
        <v>68989105.198164135</v>
      </c>
      <c r="P14" s="492">
        <f t="shared" si="1"/>
        <v>68797378.683377996</v>
      </c>
      <c r="Q14" s="492">
        <f t="shared" si="1"/>
        <v>77635606.707662374</v>
      </c>
      <c r="R14" s="492">
        <f t="shared" si="1"/>
        <v>81096614.203995064</v>
      </c>
      <c r="S14" s="495">
        <f>SUM(S7:S13)</f>
        <v>261052401.68504786</v>
      </c>
      <c r="T14" s="495">
        <f>SUM(T7:T13)</f>
        <v>316488284.60635591</v>
      </c>
      <c r="U14" s="495">
        <f>SUM(U7:U13)</f>
        <v>340536713.67713529</v>
      </c>
    </row>
    <row r="15" spans="2:21" x14ac:dyDescent="0.25">
      <c r="B15" s="784" t="s">
        <v>664</v>
      </c>
      <c r="C15" s="787" t="s">
        <v>665</v>
      </c>
      <c r="D15" s="806" t="s">
        <v>666</v>
      </c>
      <c r="E15" s="806"/>
      <c r="F15" s="491">
        <f>InvActivosFijos!J7</f>
        <v>8060000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494">
        <v>0</v>
      </c>
      <c r="T15" s="494">
        <v>0</v>
      </c>
      <c r="U15" s="494">
        <v>0</v>
      </c>
    </row>
    <row r="16" spans="2:21" x14ac:dyDescent="0.25">
      <c r="B16" s="785"/>
      <c r="C16" s="788"/>
      <c r="D16" s="790" t="s">
        <v>667</v>
      </c>
      <c r="E16" s="790"/>
      <c r="F16" s="57">
        <f>GastosArranque!C11</f>
        <v>1373666.6666666667</v>
      </c>
      <c r="G16" s="57">
        <v>0</v>
      </c>
      <c r="H16" s="57">
        <v>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494">
        <v>0</v>
      </c>
      <c r="T16" s="494">
        <v>0</v>
      </c>
      <c r="U16" s="494">
        <v>0</v>
      </c>
    </row>
    <row r="17" spans="2:22" ht="15.75" thickBot="1" x14ac:dyDescent="0.3">
      <c r="B17" s="785"/>
      <c r="C17" s="789"/>
      <c r="D17" s="798" t="s">
        <v>668</v>
      </c>
      <c r="E17" s="798"/>
      <c r="F17" s="492">
        <f>SUM(F15:F16)</f>
        <v>9433666.666666666</v>
      </c>
      <c r="G17" s="492">
        <f t="shared" ref="G17:U17" si="2">SUM(G15:G16)</f>
        <v>0</v>
      </c>
      <c r="H17" s="492">
        <f t="shared" si="2"/>
        <v>0</v>
      </c>
      <c r="I17" s="492">
        <f t="shared" si="2"/>
        <v>0</v>
      </c>
      <c r="J17" s="492">
        <f t="shared" si="2"/>
        <v>0</v>
      </c>
      <c r="K17" s="492">
        <f t="shared" si="2"/>
        <v>0</v>
      </c>
      <c r="L17" s="492">
        <f t="shared" si="2"/>
        <v>0</v>
      </c>
      <c r="M17" s="492">
        <f t="shared" si="2"/>
        <v>0</v>
      </c>
      <c r="N17" s="492">
        <f t="shared" si="2"/>
        <v>0</v>
      </c>
      <c r="O17" s="492">
        <f t="shared" si="2"/>
        <v>0</v>
      </c>
      <c r="P17" s="492">
        <f t="shared" si="2"/>
        <v>0</v>
      </c>
      <c r="Q17" s="492">
        <f t="shared" si="2"/>
        <v>0</v>
      </c>
      <c r="R17" s="492">
        <f t="shared" si="2"/>
        <v>0</v>
      </c>
      <c r="S17" s="495">
        <f>SUM(S15:S16)</f>
        <v>0</v>
      </c>
      <c r="T17" s="495">
        <f t="shared" si="2"/>
        <v>0</v>
      </c>
      <c r="U17" s="495">
        <f t="shared" si="2"/>
        <v>0</v>
      </c>
    </row>
    <row r="18" spans="2:22" x14ac:dyDescent="0.25">
      <c r="B18" s="785"/>
      <c r="C18" s="807" t="s">
        <v>669</v>
      </c>
      <c r="D18" s="799" t="s">
        <v>670</v>
      </c>
      <c r="E18" s="188" t="s">
        <v>380</v>
      </c>
      <c r="F18" s="57">
        <v>0</v>
      </c>
      <c r="G18" s="57">
        <f>PrestSociales!$P$6</f>
        <v>4900000</v>
      </c>
      <c r="H18" s="57">
        <f>PrestSociales!$P$6</f>
        <v>4900000</v>
      </c>
      <c r="I18" s="57">
        <f>PrestSociales!$P$6</f>
        <v>4900000</v>
      </c>
      <c r="J18" s="57">
        <f>PrestSociales!$P$6</f>
        <v>4900000</v>
      </c>
      <c r="K18" s="57">
        <f>PrestSociales!$P$6</f>
        <v>4900000</v>
      </c>
      <c r="L18" s="57">
        <f>PrestSociales!$P$6</f>
        <v>4900000</v>
      </c>
      <c r="M18" s="57">
        <f>PrestSociales!$P$6</f>
        <v>4900000</v>
      </c>
      <c r="N18" s="57">
        <f>PrestSociales!$P$6</f>
        <v>4900000</v>
      </c>
      <c r="O18" s="57">
        <f>PrestSociales!$P$6</f>
        <v>4900000</v>
      </c>
      <c r="P18" s="57">
        <f>PrestSociales!$P$6</f>
        <v>4900000</v>
      </c>
      <c r="Q18" s="57">
        <f>PrestSociales!$P$6</f>
        <v>4900000</v>
      </c>
      <c r="R18" s="57">
        <f>PrestSociales!$P$6</f>
        <v>4900000</v>
      </c>
      <c r="S18" s="494">
        <f t="shared" ref="S18:S25" si="3">SUM(G18:R18)</f>
        <v>58800000</v>
      </c>
      <c r="T18" s="494">
        <f>S18*(1+ProyecciónIPC!$E$27)</f>
        <v>60757981.199999996</v>
      </c>
      <c r="U18" s="494">
        <f>T18*(1+ProyecciónIPC!$E$28)</f>
        <v>62721193.088534392</v>
      </c>
    </row>
    <row r="19" spans="2:22" x14ac:dyDescent="0.25">
      <c r="B19" s="785"/>
      <c r="C19" s="808"/>
      <c r="D19" s="800"/>
      <c r="E19" s="133" t="str">
        <f>PrestSociales!C29</f>
        <v>Salud</v>
      </c>
      <c r="F19" s="57">
        <v>0</v>
      </c>
      <c r="G19" s="57">
        <f>PrestSociales!D29</f>
        <v>374000</v>
      </c>
      <c r="H19" s="57">
        <f>PrestSociales!E29</f>
        <v>374000</v>
      </c>
      <c r="I19" s="57">
        <f>PrestSociales!F29</f>
        <v>374000</v>
      </c>
      <c r="J19" s="57">
        <f>PrestSociales!G29</f>
        <v>374000</v>
      </c>
      <c r="K19" s="57">
        <f>PrestSociales!H29</f>
        <v>374000</v>
      </c>
      <c r="L19" s="57">
        <f>PrestSociales!I29</f>
        <v>374000</v>
      </c>
      <c r="M19" s="57">
        <f>PrestSociales!J29</f>
        <v>374000</v>
      </c>
      <c r="N19" s="57">
        <f>PrestSociales!K29</f>
        <v>374000</v>
      </c>
      <c r="O19" s="57">
        <f>PrestSociales!L29</f>
        <v>374000</v>
      </c>
      <c r="P19" s="57">
        <f>PrestSociales!M29</f>
        <v>374000</v>
      </c>
      <c r="Q19" s="57">
        <f>PrestSociales!N29</f>
        <v>374000</v>
      </c>
      <c r="R19" s="57">
        <f>PrestSociales!O29</f>
        <v>374000</v>
      </c>
      <c r="S19" s="494">
        <f t="shared" si="3"/>
        <v>4488000</v>
      </c>
      <c r="T19" s="494">
        <f>S19*(1+ProyecciónIPC!$E$27)</f>
        <v>4637445.9119999995</v>
      </c>
      <c r="U19" s="494">
        <f>T19*(1+ProyecciónIPC!$E$28)</f>
        <v>4787291.0643085428</v>
      </c>
    </row>
    <row r="20" spans="2:22" x14ac:dyDescent="0.25">
      <c r="B20" s="785"/>
      <c r="C20" s="808"/>
      <c r="D20" s="800"/>
      <c r="E20" s="133" t="str">
        <f>PrestSociales!C30</f>
        <v>Pensión</v>
      </c>
      <c r="F20" s="57">
        <v>0</v>
      </c>
      <c r="G20" s="57">
        <f>PrestSociales!D30</f>
        <v>704000</v>
      </c>
      <c r="H20" s="57">
        <f>PrestSociales!E30</f>
        <v>704000</v>
      </c>
      <c r="I20" s="57">
        <f>PrestSociales!F30</f>
        <v>704000</v>
      </c>
      <c r="J20" s="57">
        <f>PrestSociales!G30</f>
        <v>704000</v>
      </c>
      <c r="K20" s="57">
        <f>PrestSociales!H30</f>
        <v>704000</v>
      </c>
      <c r="L20" s="57">
        <f>PrestSociales!I30</f>
        <v>704000</v>
      </c>
      <c r="M20" s="57">
        <f>PrestSociales!J30</f>
        <v>704000</v>
      </c>
      <c r="N20" s="57">
        <f>PrestSociales!K30</f>
        <v>704000</v>
      </c>
      <c r="O20" s="57">
        <f>PrestSociales!L30</f>
        <v>704000</v>
      </c>
      <c r="P20" s="57">
        <f>PrestSociales!M30</f>
        <v>704000</v>
      </c>
      <c r="Q20" s="57">
        <f>PrestSociales!N30</f>
        <v>704000</v>
      </c>
      <c r="R20" s="57">
        <f>PrestSociales!O30</f>
        <v>704000</v>
      </c>
      <c r="S20" s="494">
        <f t="shared" si="3"/>
        <v>8448000</v>
      </c>
      <c r="T20" s="494">
        <f>S20*(1+ProyecciónIPC!$E$27)</f>
        <v>8729309.9519999996</v>
      </c>
      <c r="U20" s="494">
        <f>T20*(1+ProyecciónIPC!$E$28)</f>
        <v>9011371.415169023</v>
      </c>
    </row>
    <row r="21" spans="2:22" x14ac:dyDescent="0.25">
      <c r="B21" s="785"/>
      <c r="C21" s="808"/>
      <c r="D21" s="800"/>
      <c r="E21" s="133" t="str">
        <f>PrestSociales!C31</f>
        <v>ARL</v>
      </c>
      <c r="F21" s="57">
        <v>0</v>
      </c>
      <c r="G21" s="57">
        <f>PrestSociales!D31</f>
        <v>22968</v>
      </c>
      <c r="H21" s="57">
        <f>PrestSociales!E31</f>
        <v>22968</v>
      </c>
      <c r="I21" s="57">
        <f>PrestSociales!F31</f>
        <v>22968</v>
      </c>
      <c r="J21" s="57">
        <f>PrestSociales!G31</f>
        <v>22968</v>
      </c>
      <c r="K21" s="57">
        <f>PrestSociales!H31</f>
        <v>22968</v>
      </c>
      <c r="L21" s="57">
        <f>PrestSociales!I31</f>
        <v>22968</v>
      </c>
      <c r="M21" s="57">
        <f>PrestSociales!J31</f>
        <v>22968</v>
      </c>
      <c r="N21" s="57">
        <f>PrestSociales!K31</f>
        <v>22968</v>
      </c>
      <c r="O21" s="57">
        <f>PrestSociales!L31</f>
        <v>22968</v>
      </c>
      <c r="P21" s="57">
        <f>PrestSociales!M31</f>
        <v>22968</v>
      </c>
      <c r="Q21" s="57">
        <f>PrestSociales!N31</f>
        <v>22968</v>
      </c>
      <c r="R21" s="57">
        <f>PrestSociales!O31</f>
        <v>22968</v>
      </c>
      <c r="S21" s="494">
        <f t="shared" si="3"/>
        <v>275616</v>
      </c>
      <c r="T21" s="494">
        <f>S21*(1+ProyecciónIPC!$E$27)</f>
        <v>284793.73718399997</v>
      </c>
      <c r="U21" s="494">
        <f>T21*(1+ProyecciónIPC!$E$28)</f>
        <v>293995.99241988937</v>
      </c>
    </row>
    <row r="22" spans="2:22" x14ac:dyDescent="0.25">
      <c r="B22" s="785"/>
      <c r="C22" s="808"/>
      <c r="D22" s="800"/>
      <c r="E22" s="133" t="str">
        <f>PrestSociales!C32</f>
        <v>Parafiscales (SENA)</v>
      </c>
      <c r="F22" s="57">
        <v>0</v>
      </c>
      <c r="G22" s="57">
        <f>PrestSociales!D32</f>
        <v>88000</v>
      </c>
      <c r="H22" s="57">
        <f>PrestSociales!E32</f>
        <v>88000</v>
      </c>
      <c r="I22" s="57">
        <f>PrestSociales!F32</f>
        <v>88000</v>
      </c>
      <c r="J22" s="57">
        <f>PrestSociales!G32</f>
        <v>88000</v>
      </c>
      <c r="K22" s="57">
        <f>PrestSociales!H32</f>
        <v>88000</v>
      </c>
      <c r="L22" s="57">
        <f>PrestSociales!I32</f>
        <v>88000</v>
      </c>
      <c r="M22" s="57">
        <f>PrestSociales!J32</f>
        <v>88000</v>
      </c>
      <c r="N22" s="57">
        <f>PrestSociales!K32</f>
        <v>88000</v>
      </c>
      <c r="O22" s="57">
        <f>PrestSociales!L32</f>
        <v>88000</v>
      </c>
      <c r="P22" s="57">
        <f>PrestSociales!M32</f>
        <v>88000</v>
      </c>
      <c r="Q22" s="57">
        <f>PrestSociales!N32</f>
        <v>88000</v>
      </c>
      <c r="R22" s="57">
        <f>PrestSociales!O32</f>
        <v>88000</v>
      </c>
      <c r="S22" s="494">
        <f t="shared" si="3"/>
        <v>1056000</v>
      </c>
      <c r="T22" s="494">
        <f>S22*(1+ProyecciónIPC!$E$27)</f>
        <v>1091163.7439999999</v>
      </c>
      <c r="U22" s="494">
        <f>T22*(1+ProyecciónIPC!$E$28)</f>
        <v>1126421.4268961279</v>
      </c>
    </row>
    <row r="23" spans="2:22" x14ac:dyDescent="0.25">
      <c r="B23" s="785"/>
      <c r="C23" s="808"/>
      <c r="D23" s="800"/>
      <c r="E23" s="133" t="str">
        <f>PrestSociales!C33</f>
        <v>Parafiscales (ICBF)</v>
      </c>
      <c r="F23" s="57">
        <v>0</v>
      </c>
      <c r="G23" s="57">
        <f>PrestSociales!D33</f>
        <v>132000</v>
      </c>
      <c r="H23" s="57">
        <f>PrestSociales!E33</f>
        <v>132000</v>
      </c>
      <c r="I23" s="57">
        <f>PrestSociales!F33</f>
        <v>132000</v>
      </c>
      <c r="J23" s="57">
        <f>PrestSociales!G33</f>
        <v>132000</v>
      </c>
      <c r="K23" s="57">
        <f>PrestSociales!H33</f>
        <v>132000</v>
      </c>
      <c r="L23" s="57">
        <f>PrestSociales!I33</f>
        <v>132000</v>
      </c>
      <c r="M23" s="57">
        <f>PrestSociales!J33</f>
        <v>132000</v>
      </c>
      <c r="N23" s="57">
        <f>PrestSociales!K33</f>
        <v>132000</v>
      </c>
      <c r="O23" s="57">
        <f>PrestSociales!L33</f>
        <v>132000</v>
      </c>
      <c r="P23" s="57">
        <f>PrestSociales!M33</f>
        <v>132000</v>
      </c>
      <c r="Q23" s="57">
        <f>PrestSociales!N33</f>
        <v>132000</v>
      </c>
      <c r="R23" s="57">
        <f>PrestSociales!O33</f>
        <v>132000</v>
      </c>
      <c r="S23" s="494">
        <f t="shared" si="3"/>
        <v>1584000</v>
      </c>
      <c r="T23" s="494">
        <f>S23*(1+ProyecciónIPC!$E$27)</f>
        <v>1636745.6159999999</v>
      </c>
      <c r="U23" s="494">
        <f>T23*(1+ProyecciónIPC!$E$28)</f>
        <v>1689632.1403441918</v>
      </c>
    </row>
    <row r="24" spans="2:22" x14ac:dyDescent="0.25">
      <c r="B24" s="785"/>
      <c r="C24" s="808"/>
      <c r="D24" s="800"/>
      <c r="E24" s="133" t="str">
        <f>PrestSociales!C34</f>
        <v>Parafiscales (Caja comp)</v>
      </c>
      <c r="F24" s="57">
        <v>0</v>
      </c>
      <c r="G24" s="57">
        <f>PrestSociales!D34</f>
        <v>176000</v>
      </c>
      <c r="H24" s="57">
        <f>PrestSociales!E34</f>
        <v>176000</v>
      </c>
      <c r="I24" s="57">
        <f>PrestSociales!F34</f>
        <v>176000</v>
      </c>
      <c r="J24" s="57">
        <f>PrestSociales!G34</f>
        <v>176000</v>
      </c>
      <c r="K24" s="57">
        <f>PrestSociales!H34</f>
        <v>176000</v>
      </c>
      <c r="L24" s="57">
        <f>PrestSociales!I34</f>
        <v>176000</v>
      </c>
      <c r="M24" s="57">
        <f>PrestSociales!J34</f>
        <v>176000</v>
      </c>
      <c r="N24" s="57">
        <f>PrestSociales!K34</f>
        <v>176000</v>
      </c>
      <c r="O24" s="57">
        <f>PrestSociales!L34</f>
        <v>176000</v>
      </c>
      <c r="P24" s="57">
        <f>PrestSociales!M34</f>
        <v>176000</v>
      </c>
      <c r="Q24" s="57">
        <f>PrestSociales!N34</f>
        <v>176000</v>
      </c>
      <c r="R24" s="57">
        <f>PrestSociales!O34</f>
        <v>176000</v>
      </c>
      <c r="S24" s="494">
        <f t="shared" si="3"/>
        <v>2112000</v>
      </c>
      <c r="T24" s="494">
        <f>S24*(1+ProyecciónIPC!$E$27)</f>
        <v>2182327.4879999999</v>
      </c>
      <c r="U24" s="494">
        <f>T24*(1+ProyecciónIPC!$E$28)</f>
        <v>2252842.8537922557</v>
      </c>
    </row>
    <row r="25" spans="2:22" x14ac:dyDescent="0.25">
      <c r="B25" s="785"/>
      <c r="C25" s="808"/>
      <c r="D25" s="800"/>
      <c r="E25" s="133" t="str">
        <f>PrestSociales!C35</f>
        <v>Prima semestral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f>SUM(PrestSociales!D35:I35)</f>
        <v>2434344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f>SUM(PrestSociales!J35:O35)</f>
        <v>2434344</v>
      </c>
      <c r="S25" s="494">
        <f t="shared" si="3"/>
        <v>4868688</v>
      </c>
      <c r="T25" s="494">
        <f>S25*(1+ProyecciónIPC!$E$27)</f>
        <v>5030810.4417119995</v>
      </c>
      <c r="U25" s="494">
        <f>T25*(1+ProyecciónIPC!$E$28)</f>
        <v>5193365.9887045966</v>
      </c>
    </row>
    <row r="26" spans="2:22" x14ac:dyDescent="0.25">
      <c r="B26" s="785"/>
      <c r="C26" s="808"/>
      <c r="D26" s="800"/>
      <c r="E26" s="133" t="str">
        <f>PrestSociales!C36</f>
        <v>Cesantías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494">
        <f>SUM(PrestSociales!D36:O36)</f>
        <v>4868688</v>
      </c>
      <c r="T26" s="494">
        <f>S26*(1+ProyecciónIPC!$E$27)</f>
        <v>5030810.4417119995</v>
      </c>
      <c r="U26" s="494">
        <f>T26*(1+ProyecciónIPC!$E$28)</f>
        <v>5193365.9887045966</v>
      </c>
      <c r="V26" s="162"/>
    </row>
    <row r="27" spans="2:22" x14ac:dyDescent="0.25">
      <c r="B27" s="785"/>
      <c r="C27" s="808"/>
      <c r="D27" s="800"/>
      <c r="E27" s="133" t="str">
        <f>PrestSociales!C37</f>
        <v>Interés cesantías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494">
        <f>SUM(PrestSociales!D37:O37)</f>
        <v>48686.879999999997</v>
      </c>
      <c r="T27" s="494">
        <f>S27*(1+ProyecciónIPC!$E$27)</f>
        <v>50308.104417119997</v>
      </c>
      <c r="U27" s="494">
        <f>T27*(1+ProyecciónIPC!$E$28)</f>
        <v>51933.659887045971</v>
      </c>
      <c r="V27" s="162"/>
    </row>
    <row r="28" spans="2:22" x14ac:dyDescent="0.25">
      <c r="B28" s="785"/>
      <c r="C28" s="808"/>
      <c r="D28" s="800"/>
      <c r="E28" s="133" t="str">
        <f>PrestSociales!C38</f>
        <v>Vacaciones SMMLV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494">
        <f>SUM(PrestSociales!D38:O38)</f>
        <v>2199999.9999999995</v>
      </c>
      <c r="T28" s="494">
        <f>S28*(1+ProyecciónIPC!$E$27)</f>
        <v>2273257.7999999993</v>
      </c>
      <c r="U28" s="494">
        <f>T28*(1+ProyecciónIPC!$E$28)</f>
        <v>2346711.3060335992</v>
      </c>
    </row>
    <row r="29" spans="2:22" x14ac:dyDescent="0.25">
      <c r="B29" s="785"/>
      <c r="C29" s="808"/>
      <c r="D29" s="800"/>
      <c r="E29" s="133" t="str">
        <f>PrestSociales!C39</f>
        <v>Aux transporte</v>
      </c>
      <c r="F29" s="57">
        <v>0</v>
      </c>
      <c r="G29" s="57">
        <f>PrestSociales!D39</f>
        <v>468688</v>
      </c>
      <c r="H29" s="57">
        <f>PrestSociales!E39</f>
        <v>468688</v>
      </c>
      <c r="I29" s="57">
        <f>PrestSociales!F39</f>
        <v>468688</v>
      </c>
      <c r="J29" s="57">
        <f>PrestSociales!G39</f>
        <v>468688</v>
      </c>
      <c r="K29" s="57">
        <f>PrestSociales!H39</f>
        <v>468688</v>
      </c>
      <c r="L29" s="57">
        <f>PrestSociales!I39</f>
        <v>468688</v>
      </c>
      <c r="M29" s="57">
        <f>PrestSociales!J39</f>
        <v>468688</v>
      </c>
      <c r="N29" s="57">
        <f>PrestSociales!K39</f>
        <v>468688</v>
      </c>
      <c r="O29" s="57">
        <f>PrestSociales!L39</f>
        <v>468688</v>
      </c>
      <c r="P29" s="57">
        <f>PrestSociales!M39</f>
        <v>468688</v>
      </c>
      <c r="Q29" s="57">
        <f>PrestSociales!N39</f>
        <v>468688</v>
      </c>
      <c r="R29" s="57">
        <f>PrestSociales!O39</f>
        <v>468688</v>
      </c>
      <c r="S29" s="494">
        <f t="shared" ref="S29:S30" si="4">SUM(G29:R29)</f>
        <v>5624256</v>
      </c>
      <c r="T29" s="494">
        <f>S29*(1+ProyecciónIPC!$E$27)</f>
        <v>5811538.100544</v>
      </c>
      <c r="U29" s="494">
        <f>T29*(1+ProyecciónIPC!$E$28)</f>
        <v>5999320.5196487773</v>
      </c>
    </row>
    <row r="30" spans="2:22" ht="15.75" thickBot="1" x14ac:dyDescent="0.3">
      <c r="B30" s="785"/>
      <c r="C30" s="808"/>
      <c r="D30" s="801"/>
      <c r="E30" s="290" t="s">
        <v>671</v>
      </c>
      <c r="F30" s="492">
        <f>SUM(F18:F29)</f>
        <v>0</v>
      </c>
      <c r="G30" s="492">
        <f t="shared" ref="G30:U30" si="5">SUM(G18:G29)</f>
        <v>6865656</v>
      </c>
      <c r="H30" s="492">
        <f t="shared" si="5"/>
        <v>6865656</v>
      </c>
      <c r="I30" s="492">
        <f t="shared" si="5"/>
        <v>6865656</v>
      </c>
      <c r="J30" s="492">
        <f t="shared" si="5"/>
        <v>6865656</v>
      </c>
      <c r="K30" s="492">
        <f t="shared" si="5"/>
        <v>6865656</v>
      </c>
      <c r="L30" s="492">
        <f t="shared" si="5"/>
        <v>9300000</v>
      </c>
      <c r="M30" s="492">
        <f t="shared" si="5"/>
        <v>6865656</v>
      </c>
      <c r="N30" s="492">
        <f t="shared" si="5"/>
        <v>6865656</v>
      </c>
      <c r="O30" s="492">
        <f t="shared" si="5"/>
        <v>6865656</v>
      </c>
      <c r="P30" s="492">
        <f t="shared" si="5"/>
        <v>6865656</v>
      </c>
      <c r="Q30" s="492">
        <f t="shared" si="5"/>
        <v>6865656</v>
      </c>
      <c r="R30" s="492">
        <f t="shared" si="5"/>
        <v>9300000</v>
      </c>
      <c r="S30" s="495">
        <f t="shared" si="4"/>
        <v>87256560</v>
      </c>
      <c r="T30" s="495">
        <f t="shared" si="5"/>
        <v>97516492.537569121</v>
      </c>
      <c r="U30" s="495">
        <f t="shared" si="5"/>
        <v>100667445.44444302</v>
      </c>
    </row>
    <row r="31" spans="2:22" x14ac:dyDescent="0.25">
      <c r="B31" s="785"/>
      <c r="C31" s="808"/>
      <c r="D31" s="802" t="s">
        <v>577</v>
      </c>
      <c r="E31" s="803"/>
      <c r="F31" s="57">
        <v>0</v>
      </c>
      <c r="G31" s="57">
        <f>PresGastosAdmin!C6</f>
        <v>750000</v>
      </c>
      <c r="H31" s="57">
        <f t="shared" ref="H31:I34" si="6">G31</f>
        <v>750000</v>
      </c>
      <c r="I31" s="57">
        <f t="shared" si="6"/>
        <v>750000</v>
      </c>
      <c r="J31" s="57">
        <f>I31</f>
        <v>750000</v>
      </c>
      <c r="K31" s="57">
        <f>J31</f>
        <v>750000</v>
      </c>
      <c r="L31" s="57">
        <f t="shared" ref="L31:R32" si="7">K31</f>
        <v>750000</v>
      </c>
      <c r="M31" s="57">
        <f t="shared" si="7"/>
        <v>750000</v>
      </c>
      <c r="N31" s="57">
        <f t="shared" si="7"/>
        <v>750000</v>
      </c>
      <c r="O31" s="57">
        <f t="shared" si="7"/>
        <v>750000</v>
      </c>
      <c r="P31" s="57">
        <f t="shared" si="7"/>
        <v>750000</v>
      </c>
      <c r="Q31" s="57">
        <f t="shared" si="7"/>
        <v>750000</v>
      </c>
      <c r="R31" s="57">
        <f t="shared" si="7"/>
        <v>750000</v>
      </c>
      <c r="S31" s="494">
        <f>SUM(G31:R31)</f>
        <v>9000000</v>
      </c>
      <c r="T31" s="494">
        <f>S31*(1+(ProyecciónIPC!$E$27))</f>
        <v>9299691</v>
      </c>
      <c r="U31" s="494">
        <f>T31*(1+(ProyecciónIPC!$E$28/100))</f>
        <v>9302695.9161559194</v>
      </c>
    </row>
    <row r="32" spans="2:22" x14ac:dyDescent="0.25">
      <c r="B32" s="785"/>
      <c r="C32" s="808"/>
      <c r="D32" s="778" t="s">
        <v>672</v>
      </c>
      <c r="E32" s="806"/>
      <c r="F32" s="57">
        <v>0</v>
      </c>
      <c r="G32" s="57">
        <f>PresGastosAdmin!$C$11</f>
        <v>400000</v>
      </c>
      <c r="H32" s="57">
        <f>G32</f>
        <v>400000</v>
      </c>
      <c r="I32" s="57">
        <f t="shared" si="6"/>
        <v>400000</v>
      </c>
      <c r="J32" s="57">
        <f t="shared" ref="J32:K32" si="8">I32</f>
        <v>400000</v>
      </c>
      <c r="K32" s="57">
        <f t="shared" si="8"/>
        <v>400000</v>
      </c>
      <c r="L32" s="57">
        <f t="shared" si="7"/>
        <v>400000</v>
      </c>
      <c r="M32" s="57">
        <f t="shared" si="7"/>
        <v>400000</v>
      </c>
      <c r="N32" s="57">
        <f t="shared" si="7"/>
        <v>400000</v>
      </c>
      <c r="O32" s="57">
        <f t="shared" si="7"/>
        <v>400000</v>
      </c>
      <c r="P32" s="57">
        <f t="shared" si="7"/>
        <v>400000</v>
      </c>
      <c r="Q32" s="57">
        <f t="shared" si="7"/>
        <v>400000</v>
      </c>
      <c r="R32" s="57">
        <f t="shared" si="7"/>
        <v>400000</v>
      </c>
      <c r="S32" s="494">
        <f>SUM(G32:R32)</f>
        <v>4800000</v>
      </c>
      <c r="T32" s="494">
        <f>S32*(1+(ProyecciónIPC!$E$27))</f>
        <v>4959835.2</v>
      </c>
      <c r="U32" s="494">
        <f>T32*(1+(ProyecciónIPC!$E$28/100))</f>
        <v>4961437.8219498247</v>
      </c>
    </row>
    <row r="33" spans="2:21" x14ac:dyDescent="0.25">
      <c r="B33" s="785"/>
      <c r="C33" s="808"/>
      <c r="D33" s="652" t="s">
        <v>673</v>
      </c>
      <c r="E33" s="790"/>
      <c r="F33" s="57">
        <v>0</v>
      </c>
      <c r="G33" s="57">
        <f>PresGastosAdmin!C9</f>
        <v>0</v>
      </c>
      <c r="H33" s="57">
        <f t="shared" si="6"/>
        <v>0</v>
      </c>
      <c r="I33" s="57">
        <f t="shared" si="6"/>
        <v>0</v>
      </c>
      <c r="J33" s="57">
        <f t="shared" ref="J33:R33" si="9">I33</f>
        <v>0</v>
      </c>
      <c r="K33" s="57">
        <f t="shared" si="9"/>
        <v>0</v>
      </c>
      <c r="L33" s="57">
        <f t="shared" si="9"/>
        <v>0</v>
      </c>
      <c r="M33" s="57">
        <f t="shared" si="9"/>
        <v>0</v>
      </c>
      <c r="N33" s="57">
        <f t="shared" si="9"/>
        <v>0</v>
      </c>
      <c r="O33" s="57">
        <f t="shared" si="9"/>
        <v>0</v>
      </c>
      <c r="P33" s="57">
        <f t="shared" si="9"/>
        <v>0</v>
      </c>
      <c r="Q33" s="57">
        <f t="shared" si="9"/>
        <v>0</v>
      </c>
      <c r="R33" s="57">
        <f t="shared" si="9"/>
        <v>0</v>
      </c>
      <c r="S33" s="494">
        <f>SUM(G33:R33)</f>
        <v>0</v>
      </c>
      <c r="T33" s="494">
        <f>S33*(1+(ProyecciónIPC!$E$27))</f>
        <v>0</v>
      </c>
      <c r="U33" s="494">
        <f>T33*(1+(ProyecciónIPC!$E$28/100))</f>
        <v>0</v>
      </c>
    </row>
    <row r="34" spans="2:21" x14ac:dyDescent="0.25">
      <c r="B34" s="785"/>
      <c r="C34" s="808"/>
      <c r="D34" s="652" t="s">
        <v>674</v>
      </c>
      <c r="E34" s="790"/>
      <c r="F34" s="57">
        <v>0</v>
      </c>
      <c r="G34" s="57">
        <f>PresGastosAdmin!C10</f>
        <v>90000</v>
      </c>
      <c r="H34" s="57">
        <f t="shared" si="6"/>
        <v>90000</v>
      </c>
      <c r="I34" s="57">
        <f t="shared" si="6"/>
        <v>90000</v>
      </c>
      <c r="J34" s="57">
        <f t="shared" ref="J34:R34" si="10">I34</f>
        <v>90000</v>
      </c>
      <c r="K34" s="57">
        <f t="shared" si="10"/>
        <v>90000</v>
      </c>
      <c r="L34" s="57">
        <f t="shared" si="10"/>
        <v>90000</v>
      </c>
      <c r="M34" s="57">
        <f t="shared" si="10"/>
        <v>90000</v>
      </c>
      <c r="N34" s="57">
        <f t="shared" si="10"/>
        <v>90000</v>
      </c>
      <c r="O34" s="57">
        <f t="shared" si="10"/>
        <v>90000</v>
      </c>
      <c r="P34" s="57">
        <f t="shared" si="10"/>
        <v>90000</v>
      </c>
      <c r="Q34" s="57">
        <f t="shared" si="10"/>
        <v>90000</v>
      </c>
      <c r="R34" s="57">
        <f t="shared" si="10"/>
        <v>90000</v>
      </c>
      <c r="S34" s="494">
        <f>SUM(G34:R34)</f>
        <v>1080000</v>
      </c>
      <c r="T34" s="494">
        <f>S34*(1+(ProyecciónIPC!$E$27))</f>
        <v>1115962.92</v>
      </c>
      <c r="U34" s="494">
        <f>T34*(1+(ProyecciónIPC!$E$28/100))</f>
        <v>1116323.5099387104</v>
      </c>
    </row>
    <row r="35" spans="2:21" x14ac:dyDescent="0.25">
      <c r="B35" s="785"/>
      <c r="C35" s="808"/>
      <c r="D35" s="652" t="s">
        <v>627</v>
      </c>
      <c r="E35" s="790"/>
      <c r="F35" s="57">
        <v>0</v>
      </c>
      <c r="G35" s="57">
        <f>Crédito!D12</f>
        <v>1518422.0672541878</v>
      </c>
      <c r="H35" s="57">
        <f>Crédito!D13</f>
        <v>1518422.0672541878</v>
      </c>
      <c r="I35" s="57">
        <f>Crédito!D14</f>
        <v>1518422.0672541878</v>
      </c>
      <c r="J35" s="57">
        <f>Crédito!D15</f>
        <v>1518422.0672541878</v>
      </c>
      <c r="K35" s="57">
        <f>Crédito!D16</f>
        <v>1518422.0672541878</v>
      </c>
      <c r="L35" s="57">
        <f>Crédito!D17</f>
        <v>1518422.0672541878</v>
      </c>
      <c r="M35" s="57">
        <f>Crédito!D18</f>
        <v>1518422.0672541878</v>
      </c>
      <c r="N35" s="57">
        <f>Crédito!D19</f>
        <v>1518422.0672541878</v>
      </c>
      <c r="O35" s="57">
        <f>Crédito!D20</f>
        <v>1518422.0672541878</v>
      </c>
      <c r="P35" s="57">
        <f>Crédito!D21</f>
        <v>1518422.0672541878</v>
      </c>
      <c r="Q35" s="57">
        <f>Crédito!D22</f>
        <v>1518422.0672541878</v>
      </c>
      <c r="R35" s="57">
        <f>Crédito!D23</f>
        <v>1518422.0672541878</v>
      </c>
      <c r="S35" s="494">
        <f>SUM(F35:R35)</f>
        <v>18221064.807050254</v>
      </c>
      <c r="T35" s="494">
        <f>S35</f>
        <v>18221064.807050254</v>
      </c>
      <c r="U35" s="494">
        <f>T35</f>
        <v>18221064.807050254</v>
      </c>
    </row>
    <row r="36" spans="2:21" ht="15.75" thickBot="1" x14ac:dyDescent="0.3">
      <c r="B36" s="785"/>
      <c r="C36" s="809"/>
      <c r="D36" s="810" t="s">
        <v>675</v>
      </c>
      <c r="E36" s="798"/>
      <c r="F36" s="492">
        <f t="shared" ref="F36:U36" si="11">SUM(F31:F35)</f>
        <v>0</v>
      </c>
      <c r="G36" s="492">
        <f t="shared" si="11"/>
        <v>2758422.0672541875</v>
      </c>
      <c r="H36" s="492">
        <f t="shared" si="11"/>
        <v>2758422.0672541875</v>
      </c>
      <c r="I36" s="492">
        <f t="shared" si="11"/>
        <v>2758422.0672541875</v>
      </c>
      <c r="J36" s="492">
        <f t="shared" si="11"/>
        <v>2758422.0672541875</v>
      </c>
      <c r="K36" s="492">
        <f t="shared" si="11"/>
        <v>2758422.0672541875</v>
      </c>
      <c r="L36" s="492">
        <f t="shared" si="11"/>
        <v>2758422.0672541875</v>
      </c>
      <c r="M36" s="492">
        <f t="shared" si="11"/>
        <v>2758422.0672541875</v>
      </c>
      <c r="N36" s="492">
        <f t="shared" si="11"/>
        <v>2758422.0672541875</v>
      </c>
      <c r="O36" s="492">
        <f t="shared" si="11"/>
        <v>2758422.0672541875</v>
      </c>
      <c r="P36" s="492">
        <f t="shared" si="11"/>
        <v>2758422.0672541875</v>
      </c>
      <c r="Q36" s="492">
        <f t="shared" si="11"/>
        <v>2758422.0672541875</v>
      </c>
      <c r="R36" s="492">
        <f t="shared" si="11"/>
        <v>2758422.0672541875</v>
      </c>
      <c r="S36" s="495">
        <f t="shared" si="11"/>
        <v>33101064.807050254</v>
      </c>
      <c r="T36" s="495">
        <f t="shared" si="11"/>
        <v>33596553.927050255</v>
      </c>
      <c r="U36" s="495">
        <f t="shared" si="11"/>
        <v>33601522.055094704</v>
      </c>
    </row>
    <row r="37" spans="2:21" x14ac:dyDescent="0.25">
      <c r="B37" s="785"/>
      <c r="C37" s="787" t="s">
        <v>676</v>
      </c>
      <c r="D37" s="950" t="s">
        <v>677</v>
      </c>
      <c r="E37" s="950"/>
      <c r="F37" s="57">
        <v>0</v>
      </c>
      <c r="G37" s="57">
        <f>'Egre$PlanOrgá'!H27+'Egre$PlanMix'!H30</f>
        <v>1414372.9913202738</v>
      </c>
      <c r="H37" s="57">
        <f>'Egre$PlanOrgá'!I27+'Egre$PlanMix'!I30</f>
        <v>1973223.0162048095</v>
      </c>
      <c r="I37" s="57">
        <f>'Egre$PlanOrgá'!J27+'Egre$PlanMix'!J30</f>
        <v>1414372.9913202738</v>
      </c>
      <c r="J37" s="57">
        <f>'Egre$PlanOrgá'!K27+'Egre$PlanMix'!K30</f>
        <v>2269895.9577560122</v>
      </c>
      <c r="K37" s="57">
        <f>'Egre$PlanOrgá'!L27+'Egre$PlanMix'!L30</f>
        <v>2532073.0410893457</v>
      </c>
      <c r="L37" s="57">
        <f>'Egre$PlanOrgá'!M27+'Egre$PlanMix'!M30</f>
        <v>2828745.9826405477</v>
      </c>
      <c r="M37" s="57">
        <f>'Egre$PlanOrgá'!N27+'Egre$PlanMix'!N30</f>
        <v>2828745.9826405477</v>
      </c>
      <c r="N37" s="57">
        <f>'Egre$PlanOrgá'!O27+'Egre$PlanMix'!O30</f>
        <v>3684268.9490762856</v>
      </c>
      <c r="O37" s="57">
        <f>'Egre$PlanOrgá'!P27+'Egre$PlanMix'!P30</f>
        <v>3387596.0075250836</v>
      </c>
      <c r="P37" s="57">
        <f>'Egre$PlanOrgá'!Q27+'Egre$PlanMix'!Q30</f>
        <v>2828745.9826405477</v>
      </c>
      <c r="Q37" s="57">
        <f>'Egre$PlanOrgá'!R27+'Egre$PlanMix'!R30</f>
        <v>3387596.0075250836</v>
      </c>
      <c r="R37" s="57">
        <f>'Egre$PlanOrgá'!S27+'Egre$PlanMix'!S30</f>
        <v>3684268.9490762856</v>
      </c>
      <c r="S37" s="494">
        <f>SUM(G37:R37)</f>
        <v>32233905.858815089</v>
      </c>
      <c r="T37" s="494">
        <f>'Egre$PlanOrgá'!U27+'Egre$PlanMix'!U30</f>
        <v>43844105.926747426</v>
      </c>
      <c r="U37" s="494">
        <f>'Egre$PlanOrgá'!V27+'Egre$PlanMix'!V30</f>
        <v>46138345.080739737</v>
      </c>
    </row>
    <row r="38" spans="2:21" x14ac:dyDescent="0.25">
      <c r="B38" s="785"/>
      <c r="C38" s="788"/>
      <c r="D38" s="951" t="s">
        <v>586</v>
      </c>
      <c r="E38" s="951"/>
      <c r="F38" s="57">
        <v>0</v>
      </c>
      <c r="G38" s="57">
        <f>'HE-PersonalTemp'!C25</f>
        <v>0</v>
      </c>
      <c r="H38" s="57">
        <f>'HE-PersonalTemp'!D25</f>
        <v>0</v>
      </c>
      <c r="I38" s="57">
        <f>'HE-PersonalTemp'!E25</f>
        <v>0</v>
      </c>
      <c r="J38" s="57">
        <f>'HE-PersonalTemp'!F25</f>
        <v>0</v>
      </c>
      <c r="K38" s="57">
        <f>'HE-PersonalTemp'!G25</f>
        <v>0</v>
      </c>
      <c r="L38" s="57">
        <f>'HE-PersonalTemp'!H25</f>
        <v>0</v>
      </c>
      <c r="M38" s="57">
        <f>'HE-PersonalTemp'!I25</f>
        <v>0</v>
      </c>
      <c r="N38" s="57">
        <f>'HE-PersonalTemp'!J25</f>
        <v>0</v>
      </c>
      <c r="O38" s="57">
        <f>'HE-PersonalTemp'!K25</f>
        <v>0</v>
      </c>
      <c r="P38" s="57">
        <f>'HE-PersonalTemp'!L25</f>
        <v>0</v>
      </c>
      <c r="Q38" s="57">
        <f>'HE-PersonalTemp'!M25</f>
        <v>0</v>
      </c>
      <c r="R38" s="57">
        <f>'HE-PersonalTemp'!N25</f>
        <v>0</v>
      </c>
      <c r="S38" s="494">
        <f>SUM(G38:R38)</f>
        <v>0</v>
      </c>
      <c r="T38" s="494">
        <f>'HE-PersonalTemp'!P25</f>
        <v>0</v>
      </c>
      <c r="U38" s="494">
        <f>'HE-PersonalTemp'!Q25</f>
        <v>0</v>
      </c>
    </row>
    <row r="39" spans="2:21" x14ac:dyDescent="0.25">
      <c r="B39" s="785"/>
      <c r="C39" s="788"/>
      <c r="D39" s="951" t="s">
        <v>678</v>
      </c>
      <c r="E39" s="951"/>
      <c r="F39" s="57">
        <v>0</v>
      </c>
      <c r="G39" s="57">
        <f>GastosVentas!C13</f>
        <v>269007.61718773807</v>
      </c>
      <c r="H39" s="57">
        <f>GastosVentas!D13</f>
        <v>375936.00062027387</v>
      </c>
      <c r="I39" s="57">
        <f>GastosVentas!E13</f>
        <v>269007.61718773807</v>
      </c>
      <c r="J39" s="57">
        <f>GastosVentas!F13</f>
        <v>431086.85094294039</v>
      </c>
      <c r="K39" s="57">
        <f>GastosVentas!G13</f>
        <v>482864.38405280974</v>
      </c>
      <c r="L39" s="57">
        <f>GastosVentas!H13</f>
        <v>538015.23437547614</v>
      </c>
      <c r="M39" s="57">
        <f>GastosVentas!I13</f>
        <v>538015.23437547614</v>
      </c>
      <c r="N39" s="57">
        <f>GastosVentas!J13</f>
        <v>700094.4681306784</v>
      </c>
      <c r="O39" s="57">
        <f>GastosVentas!K13</f>
        <v>644943.61780801194</v>
      </c>
      <c r="P39" s="57">
        <f>GastosVentas!L13</f>
        <v>538015.23437547614</v>
      </c>
      <c r="Q39" s="57">
        <f>GastosVentas!M13</f>
        <v>644943.61780801194</v>
      </c>
      <c r="R39" s="57">
        <f>GastosVentas!N13</f>
        <v>700094.4681306784</v>
      </c>
      <c r="S39" s="494">
        <f>SUM(G39:R39)</f>
        <v>6132024.3449953087</v>
      </c>
      <c r="T39" s="494">
        <f>GastosVentas!D6</f>
        <v>6265985.3005775968</v>
      </c>
      <c r="U39" s="494">
        <f>GastosVentas!E6</f>
        <v>6596118.1991116814</v>
      </c>
    </row>
    <row r="40" spans="2:21" x14ac:dyDescent="0.25">
      <c r="B40" s="785"/>
      <c r="C40" s="788"/>
      <c r="D40" s="951" t="s">
        <v>679</v>
      </c>
      <c r="E40" s="951"/>
      <c r="F40" s="57">
        <v>0</v>
      </c>
      <c r="G40" s="57">
        <f>Crédito!E12</f>
        <v>0</v>
      </c>
      <c r="H40" s="57">
        <f>Crédito!E13</f>
        <v>0</v>
      </c>
      <c r="I40" s="57">
        <f>Crédito!E14</f>
        <v>0</v>
      </c>
      <c r="J40" s="57">
        <f>Crédito!E15</f>
        <v>0</v>
      </c>
      <c r="K40" s="57">
        <f>Crédito!E16</f>
        <v>0</v>
      </c>
      <c r="L40" s="57">
        <f>Crédito!E17</f>
        <v>0</v>
      </c>
      <c r="M40" s="57">
        <f>Crédito!E18</f>
        <v>0</v>
      </c>
      <c r="N40" s="57">
        <f>Crédito!E19</f>
        <v>0</v>
      </c>
      <c r="O40" s="57">
        <f>Crédito!E20</f>
        <v>0</v>
      </c>
      <c r="P40" s="57">
        <f>Crédito!E21</f>
        <v>0</v>
      </c>
      <c r="Q40" s="57">
        <f>Crédito!E22</f>
        <v>0</v>
      </c>
      <c r="R40" s="57">
        <f>Crédito!E23</f>
        <v>0</v>
      </c>
      <c r="S40" s="494">
        <f>SUM(G40:R40)</f>
        <v>0</v>
      </c>
      <c r="T40" s="494">
        <f>SUM(Crédito!E24:E35)</f>
        <v>0</v>
      </c>
      <c r="U40" s="494">
        <f>SUM(Crédito!E36:E47)</f>
        <v>0</v>
      </c>
    </row>
    <row r="41" spans="2:21" x14ac:dyDescent="0.25">
      <c r="B41" s="785"/>
      <c r="C41" s="788"/>
      <c r="D41" s="951" t="s">
        <v>680</v>
      </c>
      <c r="E41" s="951"/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494">
        <f>SUM(G41:R41)</f>
        <v>0</v>
      </c>
      <c r="T41" s="494">
        <f>S41*ProyecciónIPC!E27</f>
        <v>0</v>
      </c>
      <c r="U41" s="494">
        <f>T41*ProyecciónIPC!E28</f>
        <v>0</v>
      </c>
    </row>
    <row r="42" spans="2:21" ht="15.75" thickBot="1" x14ac:dyDescent="0.3">
      <c r="B42" s="785"/>
      <c r="C42" s="789"/>
      <c r="D42" s="798" t="s">
        <v>681</v>
      </c>
      <c r="E42" s="798"/>
      <c r="F42" s="492">
        <f t="shared" ref="F42:U42" si="12">SUM(F37:F41)</f>
        <v>0</v>
      </c>
      <c r="G42" s="492">
        <f>SUM(G37:G41)</f>
        <v>1683380.6085080118</v>
      </c>
      <c r="H42" s="492">
        <f t="shared" si="12"/>
        <v>2349159.0168250836</v>
      </c>
      <c r="I42" s="492">
        <f t="shared" si="12"/>
        <v>1683380.6085080118</v>
      </c>
      <c r="J42" s="492">
        <f t="shared" si="12"/>
        <v>2700982.8086989527</v>
      </c>
      <c r="K42" s="492">
        <f t="shared" si="12"/>
        <v>3014937.4251421555</v>
      </c>
      <c r="L42" s="492">
        <f t="shared" si="12"/>
        <v>3366761.2170160236</v>
      </c>
      <c r="M42" s="492">
        <f t="shared" si="12"/>
        <v>3366761.2170160236</v>
      </c>
      <c r="N42" s="492">
        <f t="shared" si="12"/>
        <v>4384363.4172069635</v>
      </c>
      <c r="O42" s="492">
        <f t="shared" si="12"/>
        <v>4032539.6253330954</v>
      </c>
      <c r="P42" s="492">
        <f t="shared" si="12"/>
        <v>3366761.2170160236</v>
      </c>
      <c r="Q42" s="492">
        <f t="shared" si="12"/>
        <v>4032539.6253330954</v>
      </c>
      <c r="R42" s="492">
        <f t="shared" si="12"/>
        <v>4384363.4172069635</v>
      </c>
      <c r="S42" s="495">
        <f>SUM(S37:S41)</f>
        <v>38365930.203810394</v>
      </c>
      <c r="T42" s="495">
        <f t="shared" si="12"/>
        <v>50110091.227325022</v>
      </c>
      <c r="U42" s="495">
        <f t="shared" si="12"/>
        <v>52734463.279851422</v>
      </c>
    </row>
    <row r="43" spans="2:21" x14ac:dyDescent="0.25">
      <c r="B43" s="785"/>
      <c r="C43" s="779" t="s">
        <v>682</v>
      </c>
      <c r="D43" s="782" t="s">
        <v>683</v>
      </c>
      <c r="E43" s="783"/>
      <c r="F43" s="57">
        <v>0</v>
      </c>
      <c r="G43" s="57">
        <v>0</v>
      </c>
      <c r="H43" s="57"/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494">
        <v>0</v>
      </c>
      <c r="T43" s="494">
        <v>0</v>
      </c>
      <c r="U43" s="494">
        <v>0</v>
      </c>
    </row>
    <row r="44" spans="2:21" x14ac:dyDescent="0.25">
      <c r="B44" s="785"/>
      <c r="C44" s="780"/>
      <c r="D44" s="650" t="s">
        <v>684</v>
      </c>
      <c r="E44" s="652"/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494">
        <f>SUM(F44:R44)</f>
        <v>0</v>
      </c>
      <c r="T44" s="494">
        <f>PresGastosAdmin!E19</f>
        <v>313606.24650000001</v>
      </c>
      <c r="U44" s="494">
        <f>PresGastosAdmin!F19</f>
        <v>323739.49153690797</v>
      </c>
    </row>
    <row r="45" spans="2:21" x14ac:dyDescent="0.25">
      <c r="B45" s="785"/>
      <c r="C45" s="780"/>
      <c r="D45" s="650" t="s">
        <v>685</v>
      </c>
      <c r="E45" s="652"/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494">
        <v>0</v>
      </c>
      <c r="T45" s="494">
        <f>PresGastosAdmin!E15</f>
        <v>37579.362465000006</v>
      </c>
      <c r="U45" s="494">
        <f>PresGastosAdmin!F15</f>
        <v>38793.626824969084</v>
      </c>
    </row>
    <row r="46" spans="2:21" x14ac:dyDescent="0.25">
      <c r="B46" s="785"/>
      <c r="C46" s="780"/>
      <c r="D46" s="650" t="s">
        <v>686</v>
      </c>
      <c r="E46" s="652"/>
      <c r="F46" s="57">
        <v>0</v>
      </c>
      <c r="G46" s="57">
        <v>0</v>
      </c>
      <c r="H46" s="57">
        <v>0</v>
      </c>
      <c r="I46" s="57">
        <f>SUM(GastosVentas!C14:D14)</f>
        <v>207671.84493417986</v>
      </c>
      <c r="J46" s="57">
        <v>0</v>
      </c>
      <c r="K46" s="57">
        <f>SUM(GastosVentas!E14:F14)</f>
        <v>225430.4187380785</v>
      </c>
      <c r="L46" s="57">
        <v>0</v>
      </c>
      <c r="M46" s="57">
        <f>SUM(GastosVentas!G14:H14)</f>
        <v>328723.23713390809</v>
      </c>
      <c r="N46" s="57">
        <v>0</v>
      </c>
      <c r="O46" s="57">
        <f>SUM(GastosVentas!I14:J14)</f>
        <v>398671.32420698181</v>
      </c>
      <c r="P46" s="57">
        <v>0</v>
      </c>
      <c r="Q46" s="57">
        <f>SUM(GastosVentas!K14:L14)</f>
        <v>380912.75040308316</v>
      </c>
      <c r="R46" s="57">
        <v>0</v>
      </c>
      <c r="S46" s="494">
        <f>SUM(GastosVentas!M14:N14)</f>
        <v>433102.2636722583</v>
      </c>
      <c r="T46" s="494">
        <f>GastosVentas!D7</f>
        <v>2017647.2667859865</v>
      </c>
      <c r="U46" s="494">
        <f>GastosVentas!E7</f>
        <v>2123950.0601139613</v>
      </c>
    </row>
    <row r="47" spans="2:21" x14ac:dyDescent="0.25">
      <c r="B47" s="785"/>
      <c r="C47" s="780"/>
      <c r="D47" s="650" t="s">
        <v>687</v>
      </c>
      <c r="E47" s="652"/>
      <c r="F47" s="57">
        <v>0</v>
      </c>
      <c r="G47" s="57">
        <v>0</v>
      </c>
      <c r="H47" s="57">
        <v>0</v>
      </c>
      <c r="I47" s="57">
        <f>GastosVentas!C15+GastosVentas!D15</f>
        <v>31150.776740126981</v>
      </c>
      <c r="J47" s="57">
        <v>0</v>
      </c>
      <c r="K47" s="57">
        <f>GastosVentas!E15+GastosVentas!F15</f>
        <v>33814.562810711774</v>
      </c>
      <c r="L47" s="57">
        <v>0</v>
      </c>
      <c r="M47" s="57">
        <f>GastosVentas!G15+GastosVentas!H15</f>
        <v>49308.48557008621</v>
      </c>
      <c r="N47" s="57">
        <v>0</v>
      </c>
      <c r="O47" s="57">
        <f>GastosVentas!I15+GastosVentas!J15</f>
        <v>59800.698631047271</v>
      </c>
      <c r="P47" s="57">
        <v>0</v>
      </c>
      <c r="Q47" s="57">
        <f>GastosVentas!K15+GastosVentas!L15</f>
        <v>57136.912560462479</v>
      </c>
      <c r="R47" s="57">
        <v>0</v>
      </c>
      <c r="S47" s="494">
        <f>GastosVentas!C8</f>
        <v>296176.77586327348</v>
      </c>
      <c r="T47" s="494">
        <f>GastosVentas!D8</f>
        <v>302647.09001789795</v>
      </c>
      <c r="U47" s="494">
        <f>GastosVentas!E8</f>
        <v>318592.50901709421</v>
      </c>
    </row>
    <row r="48" spans="2:21" x14ac:dyDescent="0.25">
      <c r="B48" s="785"/>
      <c r="C48" s="780"/>
      <c r="D48" s="650" t="s">
        <v>688</v>
      </c>
      <c r="E48" s="652"/>
      <c r="F48" s="57">
        <v>0</v>
      </c>
      <c r="G48" s="57">
        <v>0</v>
      </c>
      <c r="H48" s="57">
        <v>0</v>
      </c>
      <c r="I48" s="57">
        <f>PresIngresos!D13+PresIngresos!E13</f>
        <v>4084642.9127840763</v>
      </c>
      <c r="J48" s="57">
        <v>0</v>
      </c>
      <c r="K48" s="57">
        <f>PresIngresos!F13+PresIngresos!G13</f>
        <v>4433931.6314942967</v>
      </c>
      <c r="L48" s="57">
        <v>0</v>
      </c>
      <c r="M48" s="57">
        <f>PresIngresos!H13+PresIngresos!I13</f>
        <v>6465570.9167124778</v>
      </c>
      <c r="N48" s="57">
        <v>0</v>
      </c>
      <c r="O48" s="57">
        <f>PresIngresos!J13+PresIngresos!K13</f>
        <v>7841361.4492056463</v>
      </c>
      <c r="P48" s="57">
        <v>0</v>
      </c>
      <c r="Q48" s="57">
        <f>PresIngresos!L13+PresIngresos!M13</f>
        <v>7492072.7304954249</v>
      </c>
      <c r="R48" s="57">
        <v>0</v>
      </c>
      <c r="S48" s="494">
        <f>PresIngresos!P13</f>
        <v>38836154.184970297</v>
      </c>
      <c r="T48" s="494">
        <f>PresIngresos!Q13</f>
        <v>39684573.570324786</v>
      </c>
      <c r="U48" s="494">
        <f>PresIngresos!R13</f>
        <v>41775415.26104065</v>
      </c>
    </row>
    <row r="49" spans="1:21" x14ac:dyDescent="0.25">
      <c r="B49" s="785"/>
      <c r="C49" s="780"/>
      <c r="D49" s="650" t="s">
        <v>689</v>
      </c>
      <c r="E49" s="652"/>
      <c r="F49" s="57">
        <v>0</v>
      </c>
      <c r="G49" s="57">
        <v>0</v>
      </c>
      <c r="H49" s="57">
        <f>PresIngresos!D14</f>
        <v>313842.22005236114</v>
      </c>
      <c r="I49" s="57">
        <f>PresIngresos!E14</f>
        <v>438592.00072365295</v>
      </c>
      <c r="J49" s="57">
        <f>PresIngresos!F14</f>
        <v>313842.22005236114</v>
      </c>
      <c r="K49" s="57">
        <f>PresIngresos!G14</f>
        <v>502934.65943343053</v>
      </c>
      <c r="L49" s="57">
        <f>PresIngresos!H14</f>
        <v>563341.78139494476</v>
      </c>
      <c r="M49" s="57">
        <f>PresIngresos!I14</f>
        <v>627684.44010472228</v>
      </c>
      <c r="N49" s="57">
        <f>PresIngresos!J14</f>
        <v>627684.44010472228</v>
      </c>
      <c r="O49" s="57">
        <f>PresIngresos!K14</f>
        <v>816776.87948579155</v>
      </c>
      <c r="P49" s="57">
        <f>PresIngresos!L14</f>
        <v>752434.22077601403</v>
      </c>
      <c r="Q49" s="57">
        <f>PresIngresos!M14</f>
        <v>627684.44010472228</v>
      </c>
      <c r="R49" s="57">
        <f>PresIngresos!N14</f>
        <v>752434.22077601403</v>
      </c>
      <c r="S49" s="494">
        <f>PresIngresos!P14</f>
        <v>7154028.4024945283</v>
      </c>
      <c r="T49" s="494">
        <f>PresIngresos!Q14</f>
        <v>7310316.1840071976</v>
      </c>
      <c r="U49" s="494">
        <f>PresIngresos!R14</f>
        <v>7695471.2322969623</v>
      </c>
    </row>
    <row r="50" spans="1:21" x14ac:dyDescent="0.25">
      <c r="B50" s="785"/>
      <c r="C50" s="780"/>
      <c r="D50" s="650" t="s">
        <v>690</v>
      </c>
      <c r="E50" s="652"/>
      <c r="F50" s="57">
        <v>0</v>
      </c>
      <c r="G50" s="57">
        <v>0</v>
      </c>
      <c r="H50" s="57">
        <v>0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494">
        <f>EstadoResult!D16</f>
        <v>10232262.380142821</v>
      </c>
      <c r="T50" s="494">
        <f>EstadoResult!E16</f>
        <v>10544721.264088051</v>
      </c>
      <c r="U50" s="494">
        <f>EstadoResult!F16</f>
        <v>12620425.077123325</v>
      </c>
    </row>
    <row r="51" spans="1:21" ht="15.75" thickBot="1" x14ac:dyDescent="0.3">
      <c r="B51" s="785"/>
      <c r="C51" s="781"/>
      <c r="D51" s="774" t="s">
        <v>691</v>
      </c>
      <c r="E51" s="775"/>
      <c r="F51" s="492">
        <f>SUM(F43:F50)</f>
        <v>0</v>
      </c>
      <c r="G51" s="492">
        <f>SUM(G43:G50)</f>
        <v>0</v>
      </c>
      <c r="H51" s="492">
        <f t="shared" ref="H51:U51" si="13">SUM(H43:H50)</f>
        <v>313842.22005236114</v>
      </c>
      <c r="I51" s="492">
        <f t="shared" si="13"/>
        <v>4762057.5351820355</v>
      </c>
      <c r="J51" s="492">
        <f t="shared" si="13"/>
        <v>313842.22005236114</v>
      </c>
      <c r="K51" s="492">
        <f t="shared" si="13"/>
        <v>5196111.2724765167</v>
      </c>
      <c r="L51" s="492">
        <f t="shared" si="13"/>
        <v>563341.78139494476</v>
      </c>
      <c r="M51" s="492">
        <f t="shared" si="13"/>
        <v>7471287.0795211941</v>
      </c>
      <c r="N51" s="492">
        <f t="shared" si="13"/>
        <v>627684.44010472228</v>
      </c>
      <c r="O51" s="492">
        <f t="shared" si="13"/>
        <v>9116610.3515294679</v>
      </c>
      <c r="P51" s="492">
        <f t="shared" si="13"/>
        <v>752434.22077601403</v>
      </c>
      <c r="Q51" s="492">
        <f t="shared" si="13"/>
        <v>8557806.8335636929</v>
      </c>
      <c r="R51" s="492">
        <f t="shared" si="13"/>
        <v>752434.22077601403</v>
      </c>
      <c r="S51" s="495">
        <f>SUM(S43:S50)</f>
        <v>56951724.007143177</v>
      </c>
      <c r="T51" s="495">
        <f>SUM(T43:T50)</f>
        <v>60211090.984188914</v>
      </c>
      <c r="U51" s="495">
        <f t="shared" si="13"/>
        <v>64896387.257953867</v>
      </c>
    </row>
    <row r="52" spans="1:21" x14ac:dyDescent="0.25">
      <c r="B52" s="786"/>
      <c r="C52" s="776" t="s">
        <v>692</v>
      </c>
      <c r="D52" s="777"/>
      <c r="E52" s="778"/>
      <c r="F52" s="57">
        <v>0</v>
      </c>
      <c r="G52" s="57">
        <v>0</v>
      </c>
      <c r="H52" s="57">
        <f>G52</f>
        <v>0</v>
      </c>
      <c r="I52" s="57">
        <f t="shared" ref="I52:R53" si="14">H52</f>
        <v>0</v>
      </c>
      <c r="J52" s="57">
        <f t="shared" si="14"/>
        <v>0</v>
      </c>
      <c r="K52" s="57">
        <f t="shared" si="14"/>
        <v>0</v>
      </c>
      <c r="L52" s="57">
        <f t="shared" si="14"/>
        <v>0</v>
      </c>
      <c r="M52" s="57">
        <f t="shared" si="14"/>
        <v>0</v>
      </c>
      <c r="N52" s="57">
        <f t="shared" si="14"/>
        <v>0</v>
      </c>
      <c r="O52" s="57">
        <f t="shared" si="14"/>
        <v>0</v>
      </c>
      <c r="P52" s="57">
        <f t="shared" si="14"/>
        <v>0</v>
      </c>
      <c r="Q52" s="57">
        <f t="shared" si="14"/>
        <v>0</v>
      </c>
      <c r="R52" s="57">
        <f t="shared" si="14"/>
        <v>0</v>
      </c>
      <c r="S52" s="494">
        <f>EstadoResult!D18</f>
        <v>2277503.5620317892</v>
      </c>
      <c r="T52" s="494">
        <f>EstadoResult!E18</f>
        <v>2347050.8620066955</v>
      </c>
      <c r="U52" s="494">
        <f>EstadoResult!F18</f>
        <v>2809062.3558758367</v>
      </c>
    </row>
    <row r="53" spans="1:21" x14ac:dyDescent="0.25">
      <c r="B53" s="786"/>
      <c r="C53" s="650" t="s">
        <v>693</v>
      </c>
      <c r="D53" s="651"/>
      <c r="E53" s="652"/>
      <c r="F53" s="57">
        <v>0</v>
      </c>
      <c r="G53" s="57">
        <v>0</v>
      </c>
      <c r="H53" s="57">
        <f>G53</f>
        <v>0</v>
      </c>
      <c r="I53" s="57">
        <f t="shared" si="14"/>
        <v>0</v>
      </c>
      <c r="J53" s="57">
        <f t="shared" si="14"/>
        <v>0</v>
      </c>
      <c r="K53" s="57">
        <f t="shared" si="14"/>
        <v>0</v>
      </c>
      <c r="L53" s="57">
        <f t="shared" si="14"/>
        <v>0</v>
      </c>
      <c r="M53" s="57">
        <f t="shared" si="14"/>
        <v>0</v>
      </c>
      <c r="N53" s="57">
        <f t="shared" si="14"/>
        <v>0</v>
      </c>
      <c r="O53" s="57">
        <f t="shared" si="14"/>
        <v>0</v>
      </c>
      <c r="P53" s="57">
        <f t="shared" si="14"/>
        <v>0</v>
      </c>
      <c r="Q53" s="57">
        <f t="shared" si="14"/>
        <v>0</v>
      </c>
      <c r="R53" s="57">
        <f t="shared" si="14"/>
        <v>0</v>
      </c>
      <c r="S53" s="494">
        <v>0</v>
      </c>
      <c r="T53" s="494">
        <v>0</v>
      </c>
      <c r="U53" s="494">
        <v>0</v>
      </c>
    </row>
    <row r="54" spans="1:21" ht="15.75" thickBot="1" x14ac:dyDescent="0.3">
      <c r="B54" s="786"/>
      <c r="C54" s="716" t="s">
        <v>694</v>
      </c>
      <c r="D54" s="717"/>
      <c r="E54" s="718"/>
      <c r="F54" s="492">
        <f t="shared" ref="F54:U54" si="15">SUM(F51+F42+F36+F17+F30)</f>
        <v>9433666.666666666</v>
      </c>
      <c r="G54" s="492">
        <f t="shared" si="15"/>
        <v>11307458.675762199</v>
      </c>
      <c r="H54" s="492">
        <f t="shared" si="15"/>
        <v>12287079.304131633</v>
      </c>
      <c r="I54" s="492">
        <f t="shared" si="15"/>
        <v>16069516.210944235</v>
      </c>
      <c r="J54" s="492">
        <f t="shared" si="15"/>
        <v>12638903.096005501</v>
      </c>
      <c r="K54" s="492">
        <f t="shared" si="15"/>
        <v>17835126.76487286</v>
      </c>
      <c r="L54" s="492">
        <f t="shared" si="15"/>
        <v>15988525.065665156</v>
      </c>
      <c r="M54" s="492">
        <f t="shared" si="15"/>
        <v>20462126.363791406</v>
      </c>
      <c r="N54" s="492">
        <f t="shared" si="15"/>
        <v>14636125.924565874</v>
      </c>
      <c r="O54" s="492">
        <f t="shared" si="15"/>
        <v>22773228.04411675</v>
      </c>
      <c r="P54" s="492">
        <f t="shared" si="15"/>
        <v>13743273.505046226</v>
      </c>
      <c r="Q54" s="492">
        <f t="shared" si="15"/>
        <v>22214424.526150975</v>
      </c>
      <c r="R54" s="492">
        <f t="shared" si="15"/>
        <v>17195219.705237165</v>
      </c>
      <c r="S54" s="495">
        <f t="shared" si="15"/>
        <v>215675279.01800382</v>
      </c>
      <c r="T54" s="495">
        <f t="shared" si="15"/>
        <v>241434228.67613333</v>
      </c>
      <c r="U54" s="495">
        <f t="shared" si="15"/>
        <v>251899818.037343</v>
      </c>
    </row>
    <row r="55" spans="1:21" ht="15.75" thickBot="1" x14ac:dyDescent="0.3">
      <c r="B55" s="712" t="s">
        <v>695</v>
      </c>
      <c r="C55" s="717"/>
      <c r="D55" s="717"/>
      <c r="E55" s="718"/>
      <c r="F55" s="492">
        <f>F14-F54</f>
        <v>40308079.543963462</v>
      </c>
      <c r="G55" s="492">
        <f t="shared" ref="G55:U55" si="16">G14-G54</f>
        <v>34135707.272697993</v>
      </c>
      <c r="H55" s="492">
        <f t="shared" si="16"/>
        <v>34159956.688903496</v>
      </c>
      <c r="I55" s="492">
        <f t="shared" si="16"/>
        <v>30401769.198296398</v>
      </c>
      <c r="J55" s="492">
        <f t="shared" si="16"/>
        <v>31126969.404437415</v>
      </c>
      <c r="K55" s="492">
        <f t="shared" si="16"/>
        <v>30738257.764398437</v>
      </c>
      <c r="L55" s="492">
        <f t="shared" si="16"/>
        <v>34237303.734910831</v>
      </c>
      <c r="M55" s="492">
        <f t="shared" si="16"/>
        <v>34315522.989106357</v>
      </c>
      <c r="N55" s="492">
        <f t="shared" si="16"/>
        <v>43313673.175680473</v>
      </c>
      <c r="O55" s="492">
        <f t="shared" si="16"/>
        <v>46215877.154047385</v>
      </c>
      <c r="P55" s="492">
        <f t="shared" si="16"/>
        <v>55054105.17833177</v>
      </c>
      <c r="Q55" s="492">
        <f t="shared" si="16"/>
        <v>55421182.181511402</v>
      </c>
      <c r="R55" s="492">
        <f t="shared" si="16"/>
        <v>63901394.498757899</v>
      </c>
      <c r="S55" s="495">
        <f t="shared" si="16"/>
        <v>45377122.667044044</v>
      </c>
      <c r="T55" s="495">
        <f t="shared" si="16"/>
        <v>75054055.930222571</v>
      </c>
      <c r="U55" s="495">
        <f t="shared" si="16"/>
        <v>88636895.639792293</v>
      </c>
    </row>
    <row r="56" spans="1:21" ht="15.75" thickBot="1" x14ac:dyDescent="0.3">
      <c r="B56" s="716" t="s">
        <v>696</v>
      </c>
      <c r="C56" s="717"/>
      <c r="D56" s="717"/>
      <c r="E56" s="718"/>
      <c r="F56" s="492">
        <f>-F14</f>
        <v>-49741746.210630126</v>
      </c>
      <c r="G56" s="492">
        <f>$F$56+G55</f>
        <v>-15606038.937932134</v>
      </c>
      <c r="H56" s="492">
        <f>$F$56+H55</f>
        <v>-15581789.521726631</v>
      </c>
      <c r="I56" s="492">
        <f>$F$56+I55</f>
        <v>-19339977.012333728</v>
      </c>
      <c r="J56" s="492">
        <f>$F$56+J55</f>
        <v>-18614776.806192711</v>
      </c>
      <c r="K56" s="492">
        <f t="shared" ref="K56:Q56" si="17">$F$56+K55</f>
        <v>-19003488.446231689</v>
      </c>
      <c r="L56" s="492">
        <f t="shared" si="17"/>
        <v>-15504442.475719295</v>
      </c>
      <c r="M56" s="492">
        <f t="shared" si="17"/>
        <v>-15426223.221523769</v>
      </c>
      <c r="N56" s="492">
        <f t="shared" si="17"/>
        <v>-6428073.0349496529</v>
      </c>
      <c r="O56" s="492">
        <f t="shared" si="17"/>
        <v>-3525869.0565827414</v>
      </c>
      <c r="P56" s="492">
        <f t="shared" si="17"/>
        <v>5312358.9677016437</v>
      </c>
      <c r="Q56" s="492">
        <f t="shared" si="17"/>
        <v>5679435.9708812758</v>
      </c>
      <c r="R56" s="492">
        <f>$F$56+R55</f>
        <v>14159648.288127773</v>
      </c>
      <c r="S56" s="495">
        <f>R56</f>
        <v>14159648.288127773</v>
      </c>
      <c r="T56" s="495">
        <f>S56+T55</f>
        <v>89213704.218350351</v>
      </c>
      <c r="U56" s="495">
        <f>T56+U55</f>
        <v>177850599.85814264</v>
      </c>
    </row>
    <row r="58" spans="1:21" x14ac:dyDescent="0.25">
      <c r="A58" s="144" t="s">
        <v>255</v>
      </c>
      <c r="S58" s="162"/>
    </row>
  </sheetData>
  <mergeCells count="46">
    <mergeCell ref="D42:E42"/>
    <mergeCell ref="D18:D30"/>
    <mergeCell ref="D31:E31"/>
    <mergeCell ref="B14:E14"/>
    <mergeCell ref="C53:E53"/>
    <mergeCell ref="D15:E15"/>
    <mergeCell ref="D16:E16"/>
    <mergeCell ref="D17:E17"/>
    <mergeCell ref="C18:C36"/>
    <mergeCell ref="D32:E32"/>
    <mergeCell ref="D38:E38"/>
    <mergeCell ref="D33:E33"/>
    <mergeCell ref="D34:E34"/>
    <mergeCell ref="D35:E35"/>
    <mergeCell ref="D36:E36"/>
    <mergeCell ref="C37:C42"/>
    <mergeCell ref="D37:E37"/>
    <mergeCell ref="D39:E39"/>
    <mergeCell ref="D40:E40"/>
    <mergeCell ref="D41:E41"/>
    <mergeCell ref="B5:U5"/>
    <mergeCell ref="B6:E6"/>
    <mergeCell ref="B7:E7"/>
    <mergeCell ref="B8:B13"/>
    <mergeCell ref="C8:E8"/>
    <mergeCell ref="C9:E9"/>
    <mergeCell ref="C11:E11"/>
    <mergeCell ref="C12:E12"/>
    <mergeCell ref="C13:E13"/>
    <mergeCell ref="C10:E10"/>
    <mergeCell ref="B56:E56"/>
    <mergeCell ref="C54:E54"/>
    <mergeCell ref="B55:E55"/>
    <mergeCell ref="D47:E47"/>
    <mergeCell ref="D48:E48"/>
    <mergeCell ref="D49:E49"/>
    <mergeCell ref="D50:E50"/>
    <mergeCell ref="D51:E51"/>
    <mergeCell ref="C52:E52"/>
    <mergeCell ref="C43:C51"/>
    <mergeCell ref="D43:E43"/>
    <mergeCell ref="D44:E44"/>
    <mergeCell ref="D45:E45"/>
    <mergeCell ref="D46:E46"/>
    <mergeCell ref="B15:B54"/>
    <mergeCell ref="C15:C17"/>
  </mergeCells>
  <pageMargins left="0.7" right="0.7" top="0.75" bottom="0.75" header="0.3" footer="0.3"/>
  <pageSetup orientation="portrait" verticalDpi="300" r:id="rId1"/>
  <ignoredErrors>
    <ignoredError sqref="S30" formula="1"/>
    <ignoredError sqref="S41" formulaRange="1"/>
  </ignoredError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4:R56"/>
  <sheetViews>
    <sheetView topLeftCell="B1" zoomScale="90" zoomScaleNormal="90" zoomScaleSheetLayoutView="90" workbookViewId="0">
      <selection activeCell="F33" sqref="F33"/>
    </sheetView>
  </sheetViews>
  <sheetFormatPr baseColWidth="10" defaultColWidth="11.5" defaultRowHeight="15" x14ac:dyDescent="0.25"/>
  <cols>
    <col min="1" max="1" width="11.5" style="144"/>
    <col min="2" max="2" width="11.375" style="144" customWidth="1"/>
    <col min="3" max="3" width="20.625" style="144" customWidth="1"/>
    <col min="4" max="4" width="33.875" style="144" customWidth="1"/>
    <col min="5" max="5" width="20" style="144" bestFit="1" customWidth="1"/>
    <col min="6" max="6" width="19.625" style="144" bestFit="1" customWidth="1"/>
    <col min="7" max="7" width="19.875" style="144" customWidth="1"/>
    <col min="8" max="8" width="20.75" style="144" customWidth="1"/>
    <col min="9" max="9" width="10" style="144" customWidth="1"/>
    <col min="10" max="10" width="14.125" style="144" bestFit="1" customWidth="1"/>
    <col min="11" max="11" width="15" style="144" customWidth="1"/>
    <col min="12" max="12" width="14.125" style="144" customWidth="1"/>
    <col min="13" max="16384" width="11.5" style="144"/>
  </cols>
  <sheetData>
    <row r="4" spans="2:11" ht="15.75" thickBot="1" x14ac:dyDescent="0.3"/>
    <row r="5" spans="2:11" x14ac:dyDescent="0.25">
      <c r="B5" s="836" t="s">
        <v>697</v>
      </c>
      <c r="C5" s="837"/>
      <c r="D5" s="837"/>
      <c r="E5" s="837"/>
      <c r="F5" s="837"/>
      <c r="G5" s="837"/>
      <c r="H5" s="838"/>
      <c r="I5" s="823" t="s">
        <v>698</v>
      </c>
      <c r="J5" s="824"/>
      <c r="K5" s="824"/>
    </row>
    <row r="6" spans="2:11" ht="15.75" thickBot="1" x14ac:dyDescent="0.3">
      <c r="B6" s="839" t="s">
        <v>444</v>
      </c>
      <c r="C6" s="840"/>
      <c r="D6" s="840"/>
      <c r="E6" s="535" t="s">
        <v>654</v>
      </c>
      <c r="F6" s="533" t="s">
        <v>232</v>
      </c>
      <c r="G6" s="533" t="s">
        <v>233</v>
      </c>
      <c r="H6" s="374" t="s">
        <v>215</v>
      </c>
      <c r="I6" s="370" t="s">
        <v>232</v>
      </c>
      <c r="J6" s="533" t="s">
        <v>233</v>
      </c>
      <c r="K6" s="533" t="s">
        <v>215</v>
      </c>
    </row>
    <row r="7" spans="2:11" ht="15.75" customHeight="1" x14ac:dyDescent="0.25">
      <c r="B7" s="830" t="s">
        <v>699</v>
      </c>
      <c r="C7" s="833" t="s">
        <v>700</v>
      </c>
      <c r="D7" s="291" t="s">
        <v>701</v>
      </c>
      <c r="E7" s="57">
        <f>CashFlow!F55</f>
        <v>40308079.543963462</v>
      </c>
      <c r="F7" s="57">
        <f>CashFlow!R55</f>
        <v>63901394.498757899</v>
      </c>
      <c r="G7" s="57">
        <f>CashFlow!T55</f>
        <v>75054055.930222571</v>
      </c>
      <c r="H7" s="552">
        <f>CashFlow!U55</f>
        <v>88636895.639792293</v>
      </c>
      <c r="I7" s="371">
        <f>F7/F19</f>
        <v>0.73697444780875221</v>
      </c>
      <c r="J7" s="305">
        <f t="shared" ref="J7:J19" si="0">G7/$G$19</f>
        <v>0.71396555999967093</v>
      </c>
      <c r="K7" s="305">
        <f t="shared" ref="K7:K19" si="1">H7/$H$19</f>
        <v>0.78390246642445627</v>
      </c>
    </row>
    <row r="8" spans="2:11" x14ac:dyDescent="0.25">
      <c r="B8" s="831"/>
      <c r="C8" s="706"/>
      <c r="D8" s="292" t="s">
        <v>702</v>
      </c>
      <c r="E8" s="57">
        <v>0</v>
      </c>
      <c r="F8" s="57">
        <f>PresIngresos!P21</f>
        <v>13364103.302146524</v>
      </c>
      <c r="G8" s="57">
        <f>PresIngresos!Q21</f>
        <v>13656057.141226947</v>
      </c>
      <c r="H8" s="552">
        <f>PresIngresos!R21</f>
        <v>14375547.135268986</v>
      </c>
      <c r="I8" s="371">
        <f t="shared" ref="I8:I17" si="2">F8/$F$19</f>
        <v>0.15412813333439851</v>
      </c>
      <c r="J8" s="305">
        <f t="shared" si="0"/>
        <v>0.12990576409738727</v>
      </c>
      <c r="K8" s="305">
        <f t="shared" si="1"/>
        <v>0.12713697579543065</v>
      </c>
    </row>
    <row r="9" spans="2:11" x14ac:dyDescent="0.25">
      <c r="B9" s="831"/>
      <c r="C9" s="706"/>
      <c r="D9" s="292" t="s">
        <v>703</v>
      </c>
      <c r="E9" s="57">
        <v>0</v>
      </c>
      <c r="F9" s="57">
        <f>EstadoResult!D8</f>
        <v>3600000</v>
      </c>
      <c r="G9" s="57">
        <f>EstadoResult!E8</f>
        <v>3719876.4</v>
      </c>
      <c r="H9" s="552">
        <f>EstadoResult!F8</f>
        <v>3840073.0462367996</v>
      </c>
      <c r="I9" s="371">
        <f t="shared" si="2"/>
        <v>4.1518781130247144E-2</v>
      </c>
      <c r="J9" s="305">
        <f t="shared" si="0"/>
        <v>3.538601084430007E-2</v>
      </c>
      <c r="K9" s="305">
        <f t="shared" si="1"/>
        <v>3.3961509036014748E-2</v>
      </c>
    </row>
    <row r="10" spans="2:11" x14ac:dyDescent="0.25">
      <c r="B10" s="831"/>
      <c r="C10" s="706"/>
      <c r="D10" s="292" t="s">
        <v>704</v>
      </c>
      <c r="E10" s="57">
        <f>GastosArranque!C11</f>
        <v>1373666.6666666667</v>
      </c>
      <c r="F10" s="57">
        <f>GastosArranque!F16</f>
        <v>1569904.7619047619</v>
      </c>
      <c r="G10" s="57">
        <f>GastosArranque!G16</f>
        <v>1766142.857142857</v>
      </c>
      <c r="H10" s="552">
        <f>GastosArranque!H16</f>
        <v>1962380.9523809522</v>
      </c>
      <c r="I10" s="371">
        <f t="shared" si="2"/>
        <v>1.8105703390237933E-2</v>
      </c>
      <c r="J10" s="305">
        <f t="shared" si="0"/>
        <v>1.6800759911119695E-2</v>
      </c>
      <c r="K10" s="305">
        <f t="shared" si="1"/>
        <v>1.7355247580954278E-2</v>
      </c>
    </row>
    <row r="11" spans="2:11" ht="15.75" customHeight="1" x14ac:dyDescent="0.25">
      <c r="B11" s="831"/>
      <c r="C11" s="706"/>
      <c r="D11" s="293" t="s">
        <v>705</v>
      </c>
      <c r="E11" s="496">
        <f>E7+E10</f>
        <v>41681746.210630126</v>
      </c>
      <c r="F11" s="496">
        <f>SUM(F7:F10)</f>
        <v>82435402.562809184</v>
      </c>
      <c r="G11" s="496">
        <f>SUM(G7:G10)</f>
        <v>94196132.328592375</v>
      </c>
      <c r="H11" s="553">
        <f>SUM(H7:H10)</f>
        <v>108814896.77367903</v>
      </c>
      <c r="I11" s="371">
        <f t="shared" si="2"/>
        <v>0.95072706566363574</v>
      </c>
      <c r="J11" s="305">
        <f t="shared" si="0"/>
        <v>0.896058094852478</v>
      </c>
      <c r="K11" s="305">
        <f t="shared" si="1"/>
        <v>0.96235619883685597</v>
      </c>
    </row>
    <row r="12" spans="2:11" ht="15.75" customHeight="1" x14ac:dyDescent="0.25">
      <c r="B12" s="831"/>
      <c r="C12" s="706" t="s">
        <v>601</v>
      </c>
      <c r="D12" s="292" t="s">
        <v>706</v>
      </c>
      <c r="E12" s="57">
        <f>SUM(InvActivosFijos!$F$6:'InvActivosFijos'!$F$10)</f>
        <v>6130000</v>
      </c>
      <c r="F12" s="57">
        <f>SUM(InvActivosFijos!$F$6:'InvActivosFijos'!$F$10)*(1+ProyecciónIPC!E26)</f>
        <v>6340173.1800000006</v>
      </c>
      <c r="G12" s="57">
        <f>SUM(InvActivosFijos!$F$6:'InvActivosFijos'!$F$10)*(1+ProyecciónIPC!E27)</f>
        <v>6334122.8700000001</v>
      </c>
      <c r="H12" s="552">
        <f>SUM(InvActivosFijos!$F$6:'InvActivosFijos'!$F$10)*(1+ProyecciónIPC!E28)</f>
        <v>6328072.5599999996</v>
      </c>
      <c r="I12" s="371">
        <f t="shared" si="2"/>
        <v>7.312118405230085E-2</v>
      </c>
      <c r="J12" s="305">
        <f t="shared" si="0"/>
        <v>6.0254512909877621E-2</v>
      </c>
      <c r="K12" s="305">
        <f t="shared" si="1"/>
        <v>5.596531389880869E-2</v>
      </c>
    </row>
    <row r="13" spans="2:11" ht="18" customHeight="1" x14ac:dyDescent="0.25">
      <c r="B13" s="831"/>
      <c r="C13" s="706"/>
      <c r="D13" s="292" t="s">
        <v>707</v>
      </c>
      <c r="E13" s="57">
        <v>0</v>
      </c>
      <c r="F13" s="57">
        <v>0</v>
      </c>
      <c r="G13" s="57">
        <v>0</v>
      </c>
      <c r="H13" s="552">
        <v>0</v>
      </c>
      <c r="I13" s="371">
        <f t="shared" si="2"/>
        <v>0</v>
      </c>
      <c r="J13" s="306">
        <f t="shared" si="0"/>
        <v>0</v>
      </c>
      <c r="K13" s="306">
        <f t="shared" si="1"/>
        <v>0</v>
      </c>
    </row>
    <row r="14" spans="2:11" ht="15.75" customHeight="1" x14ac:dyDescent="0.25">
      <c r="B14" s="831"/>
      <c r="C14" s="706"/>
      <c r="D14" s="292" t="s">
        <v>708</v>
      </c>
      <c r="E14" s="57">
        <v>0</v>
      </c>
      <c r="F14" s="57">
        <v>0</v>
      </c>
      <c r="G14" s="57">
        <v>0</v>
      </c>
      <c r="H14" s="552">
        <f t="shared" ref="H14" si="3">G14</f>
        <v>0</v>
      </c>
      <c r="I14" s="371">
        <f t="shared" si="2"/>
        <v>0</v>
      </c>
      <c r="J14" s="305">
        <f t="shared" si="0"/>
        <v>0</v>
      </c>
      <c r="K14" s="305">
        <f t="shared" si="1"/>
        <v>0</v>
      </c>
    </row>
    <row r="15" spans="2:11" ht="15.75" customHeight="1" x14ac:dyDescent="0.25">
      <c r="B15" s="831"/>
      <c r="C15" s="706"/>
      <c r="D15" s="292" t="s">
        <v>580</v>
      </c>
      <c r="E15" s="57">
        <v>0</v>
      </c>
      <c r="F15" s="57">
        <f>-DepreciaciónActFijos!C20</f>
        <v>-4064000</v>
      </c>
      <c r="G15" s="57">
        <f>-DepreciaciónActFijos!D20</f>
        <v>-4064000</v>
      </c>
      <c r="H15" s="552">
        <f>-DepreciaciónActFijos!E20</f>
        <v>-4064000</v>
      </c>
      <c r="I15" s="371">
        <f t="shared" si="2"/>
        <v>-4.6870090698145662E-2</v>
      </c>
      <c r="J15" s="305">
        <f t="shared" si="0"/>
        <v>-3.8659550105276476E-2</v>
      </c>
      <c r="K15" s="305">
        <f t="shared" si="1"/>
        <v>-3.5941913359596261E-2</v>
      </c>
    </row>
    <row r="16" spans="2:11" ht="15.75" customHeight="1" x14ac:dyDescent="0.25">
      <c r="B16" s="831"/>
      <c r="C16" s="706"/>
      <c r="D16" s="292" t="s">
        <v>709</v>
      </c>
      <c r="E16" s="57">
        <v>0</v>
      </c>
      <c r="F16" s="57">
        <v>0</v>
      </c>
      <c r="G16" s="57">
        <v>6662273.7529092301</v>
      </c>
      <c r="H16" s="552">
        <v>0</v>
      </c>
      <c r="I16" s="371">
        <f t="shared" si="2"/>
        <v>0</v>
      </c>
      <c r="J16" s="305">
        <f t="shared" si="0"/>
        <v>6.3376108751393392E-2</v>
      </c>
      <c r="K16" s="305">
        <f t="shared" si="1"/>
        <v>0</v>
      </c>
    </row>
    <row r="17" spans="2:12" ht="15.75" customHeight="1" x14ac:dyDescent="0.25">
      <c r="B17" s="831"/>
      <c r="C17" s="706"/>
      <c r="D17" s="293" t="s">
        <v>710</v>
      </c>
      <c r="E17" s="496">
        <f>SUM(E12:E16)</f>
        <v>6130000</v>
      </c>
      <c r="F17" s="496">
        <f>SUM(F12:F16)</f>
        <v>2276173.1800000006</v>
      </c>
      <c r="G17" s="496">
        <f>SUM(G12:G16)</f>
        <v>8932396.6229092292</v>
      </c>
      <c r="H17" s="553">
        <f>SUM(H12:H16)</f>
        <v>2264072.5599999996</v>
      </c>
      <c r="I17" s="371">
        <f t="shared" si="2"/>
        <v>2.6251093354155184E-2</v>
      </c>
      <c r="J17" s="305">
        <f t="shared" si="0"/>
        <v>8.4971071555994523E-2</v>
      </c>
      <c r="K17" s="305">
        <f t="shared" si="1"/>
        <v>2.0023400539212425E-2</v>
      </c>
    </row>
    <row r="18" spans="2:12" ht="15.75" customHeight="1" x14ac:dyDescent="0.25">
      <c r="B18" s="841"/>
      <c r="C18" s="530" t="s">
        <v>711</v>
      </c>
      <c r="D18" s="296" t="s">
        <v>712</v>
      </c>
      <c r="E18" s="57">
        <f>InvActivosFijos!$J$5</f>
        <v>1930000</v>
      </c>
      <c r="F18" s="57">
        <f>InvActivosFijos!$J$5*(1+ProyecciónIPC!$E26)</f>
        <v>1996171.98</v>
      </c>
      <c r="G18" s="57">
        <f>InvActivosFijos!$J$5*(1+ProyecciónIPC!$E27)</f>
        <v>1994267.0699999998</v>
      </c>
      <c r="H18" s="552">
        <f>InvActivosFijos!$J$5*(1+ProyecciónIPC!$E28)</f>
        <v>1992362.16</v>
      </c>
      <c r="I18" s="371">
        <f>E18/$E$19</f>
        <v>3.880040704295875E-2</v>
      </c>
      <c r="J18" s="305">
        <f t="shared" si="0"/>
        <v>1.8970833591527535E-2</v>
      </c>
      <c r="K18" s="305">
        <f t="shared" si="1"/>
        <v>1.7620400623931609E-2</v>
      </c>
    </row>
    <row r="19" spans="2:12" ht="15.75" customHeight="1" thickBot="1" x14ac:dyDescent="0.3">
      <c r="B19" s="832"/>
      <c r="C19" s="834" t="s">
        <v>713</v>
      </c>
      <c r="D19" s="835"/>
      <c r="E19" s="496">
        <f>E11+E17+E18</f>
        <v>49741746.210630126</v>
      </c>
      <c r="F19" s="496">
        <f>F11+F17+F18</f>
        <v>86707747.722809196</v>
      </c>
      <c r="G19" s="496">
        <f>G11+G17+G18</f>
        <v>105122796.0215016</v>
      </c>
      <c r="H19" s="553">
        <f>H11+H17+H18</f>
        <v>113071331.49367903</v>
      </c>
      <c r="I19" s="372">
        <f>F19/F19</f>
        <v>1</v>
      </c>
      <c r="J19" s="307">
        <f t="shared" si="0"/>
        <v>1</v>
      </c>
      <c r="K19" s="307">
        <f t="shared" si="1"/>
        <v>1</v>
      </c>
    </row>
    <row r="20" spans="2:12" x14ac:dyDescent="0.25">
      <c r="B20" s="830" t="s">
        <v>714</v>
      </c>
      <c r="C20" s="833" t="s">
        <v>715</v>
      </c>
      <c r="D20" s="291" t="s">
        <v>716</v>
      </c>
      <c r="E20" s="57">
        <v>0</v>
      </c>
      <c r="F20" s="57">
        <f>SUM(CashFlow!S26:S28)</f>
        <v>7117374.879999999</v>
      </c>
      <c r="G20" s="57">
        <f>SUM(CashFlow!T26:T28)</f>
        <v>7354376.3461291194</v>
      </c>
      <c r="H20" s="552">
        <f>SUM(CashFlow!U26:U28)</f>
        <v>7592010.9546252415</v>
      </c>
      <c r="I20" s="373">
        <f>F20/$F$33</f>
        <v>0.1407468990911111</v>
      </c>
      <c r="J20" s="305">
        <f>G20/$G$33</f>
        <v>0.15483321910981535</v>
      </c>
      <c r="K20" s="305">
        <f t="shared" ref="K20:K33" si="4">H20/$H$33</f>
        <v>0.15343067210608821</v>
      </c>
      <c r="L20" s="162"/>
    </row>
    <row r="21" spans="2:12" x14ac:dyDescent="0.25">
      <c r="B21" s="831"/>
      <c r="C21" s="706"/>
      <c r="D21" s="292" t="s">
        <v>717</v>
      </c>
      <c r="E21" s="57">
        <v>0</v>
      </c>
      <c r="F21" s="57">
        <f>F9*0.1</f>
        <v>360000</v>
      </c>
      <c r="G21" s="57">
        <f>G9*0.1</f>
        <v>371987.64</v>
      </c>
      <c r="H21" s="552">
        <f>H9*0.1</f>
        <v>384007.30462367996</v>
      </c>
      <c r="I21" s="373">
        <f>F21/$F$33</f>
        <v>7.1190410126043546E-3</v>
      </c>
      <c r="J21" s="305">
        <f>G21/$G$33</f>
        <v>7.831533370001937E-3</v>
      </c>
      <c r="K21" s="305">
        <f t="shared" si="4"/>
        <v>7.7605919161857851E-3</v>
      </c>
    </row>
    <row r="22" spans="2:12" x14ac:dyDescent="0.25">
      <c r="B22" s="831"/>
      <c r="C22" s="706"/>
      <c r="D22" s="292" t="s">
        <v>718</v>
      </c>
      <c r="E22" s="57">
        <v>0</v>
      </c>
      <c r="F22" s="57">
        <f>CashFlow!S46</f>
        <v>433102.2636722583</v>
      </c>
      <c r="G22" s="57">
        <f>CashFlow!T46</f>
        <v>2017647.2667859865</v>
      </c>
      <c r="H22" s="552">
        <f>CashFlow!U46</f>
        <v>2123950.0601139613</v>
      </c>
      <c r="I22" s="373">
        <f>F22/$F$33</f>
        <v>8.5646466048183104E-3</v>
      </c>
      <c r="J22" s="305">
        <f>G22/$G$33</f>
        <v>4.2477948726273952E-2</v>
      </c>
      <c r="K22" s="305">
        <f t="shared" si="4"/>
        <v>4.292394823857807E-2</v>
      </c>
    </row>
    <row r="23" spans="2:12" ht="15.75" customHeight="1" x14ac:dyDescent="0.25">
      <c r="B23" s="831"/>
      <c r="C23" s="706"/>
      <c r="D23" s="292" t="s">
        <v>719</v>
      </c>
      <c r="E23" s="57">
        <v>0</v>
      </c>
      <c r="F23" s="57">
        <f>CashFlow!S47</f>
        <v>296176.77586327348</v>
      </c>
      <c r="G23" s="57">
        <f>(G22*$F$23)/$F$22</f>
        <v>1379767.1183686692</v>
      </c>
      <c r="H23" s="552">
        <f>(H22*$F$23)/$F$22</f>
        <v>1452462.2327423147</v>
      </c>
      <c r="I23" s="373">
        <f t="shared" ref="I23:I33" si="5">F23/$F$33</f>
        <v>5.8569294843099206E-3</v>
      </c>
      <c r="J23" s="305">
        <f t="shared" ref="J23:J33" si="6">G23/$G$33</f>
        <v>2.9048524919633473E-2</v>
      </c>
      <c r="K23" s="305">
        <f t="shared" si="4"/>
        <v>2.9353521472805007E-2</v>
      </c>
    </row>
    <row r="24" spans="2:12" ht="15.75" customHeight="1" x14ac:dyDescent="0.25">
      <c r="B24" s="831"/>
      <c r="C24" s="706"/>
      <c r="D24" s="292" t="s">
        <v>720</v>
      </c>
      <c r="E24" s="57">
        <v>0</v>
      </c>
      <c r="F24" s="57">
        <f>SUM(PresIngresos!N13:O13)</f>
        <v>8518574.5442783721</v>
      </c>
      <c r="G24" s="57">
        <f>$F$24*PresIngresos!Q12/PresIngresos!$P$12</f>
        <v>8704672.3680878691</v>
      </c>
      <c r="H24" s="552">
        <f>$F$24*PresIngresos!R12/PresIngresos!$P$12</f>
        <v>9163291.177710915</v>
      </c>
      <c r="I24" s="373">
        <f t="shared" si="5"/>
        <v>0.16845578208234774</v>
      </c>
      <c r="J24" s="305">
        <f>G24/$G$33</f>
        <v>0.18326128288997434</v>
      </c>
      <c r="K24" s="305">
        <f t="shared" si="4"/>
        <v>0.18518544460785413</v>
      </c>
    </row>
    <row r="25" spans="2:12" x14ac:dyDescent="0.25">
      <c r="B25" s="831"/>
      <c r="C25" s="706"/>
      <c r="D25" s="292" t="s">
        <v>721</v>
      </c>
      <c r="E25" s="57">
        <v>0</v>
      </c>
      <c r="F25" s="57">
        <f>PresIngresos!O14</f>
        <v>816776.87948579155</v>
      </c>
      <c r="G25" s="57">
        <f>($F$25*PresIngresos!Q12)/PresIngresos!$P$12</f>
        <v>834620.28732593439</v>
      </c>
      <c r="H25" s="552">
        <f>($G$25*PresIngresos!R12)/PresIngresos!$P$12</f>
        <v>897787.37931325473</v>
      </c>
      <c r="I25" s="373">
        <f t="shared" si="5"/>
        <v>1.6151855842239875E-2</v>
      </c>
      <c r="J25" s="305">
        <f t="shared" si="6"/>
        <v>1.7571434984973319E-2</v>
      </c>
      <c r="K25" s="305">
        <f t="shared" si="4"/>
        <v>1.814382537639473E-2</v>
      </c>
    </row>
    <row r="26" spans="2:12" x14ac:dyDescent="0.25">
      <c r="B26" s="831"/>
      <c r="C26" s="706"/>
      <c r="D26" s="292" t="s">
        <v>722</v>
      </c>
      <c r="E26" s="57">
        <v>0</v>
      </c>
      <c r="F26" s="57">
        <v>0</v>
      </c>
      <c r="G26" s="57">
        <f>EstadoResult!D16</f>
        <v>10232262.380142821</v>
      </c>
      <c r="H26" s="552">
        <f>EstadoResult!E16</f>
        <v>10544721.264088051</v>
      </c>
      <c r="I26" s="373">
        <f t="shared" si="5"/>
        <v>0</v>
      </c>
      <c r="J26" s="305">
        <f t="shared" si="6"/>
        <v>0.21542195402165498</v>
      </c>
      <c r="K26" s="305">
        <f t="shared" si="4"/>
        <v>0.2131034426043254</v>
      </c>
    </row>
    <row r="27" spans="2:12" ht="15.75" customHeight="1" x14ac:dyDescent="0.25">
      <c r="B27" s="831"/>
      <c r="C27" s="706"/>
      <c r="D27" s="292" t="s">
        <v>723</v>
      </c>
      <c r="E27" s="57">
        <v>0</v>
      </c>
      <c r="F27" s="57">
        <v>0</v>
      </c>
      <c r="G27" s="57">
        <v>0</v>
      </c>
      <c r="H27" s="552">
        <v>0</v>
      </c>
      <c r="I27" s="373">
        <f>F27/$F$33</f>
        <v>0</v>
      </c>
      <c r="J27" s="305">
        <f t="shared" si="6"/>
        <v>0</v>
      </c>
      <c r="K27" s="305">
        <f t="shared" si="4"/>
        <v>0</v>
      </c>
    </row>
    <row r="28" spans="2:12" ht="15.75" customHeight="1" x14ac:dyDescent="0.25">
      <c r="B28" s="831"/>
      <c r="C28" s="706"/>
      <c r="D28" s="293" t="s">
        <v>724</v>
      </c>
      <c r="E28" s="496">
        <f>SUM(E20:E27)</f>
        <v>0</v>
      </c>
      <c r="F28" s="496">
        <f>SUM(F20:F27)</f>
        <v>17542005.343299694</v>
      </c>
      <c r="G28" s="496">
        <f>SUM(G20:G27)</f>
        <v>30895333.406840399</v>
      </c>
      <c r="H28" s="553">
        <f>SUM(H20:H27)</f>
        <v>32158230.373217419</v>
      </c>
      <c r="I28" s="373">
        <f t="shared" si="5"/>
        <v>0.34689515411743127</v>
      </c>
      <c r="J28" s="305">
        <f>G28/$G$33</f>
        <v>0.65044589802232733</v>
      </c>
      <c r="K28" s="305">
        <f t="shared" si="4"/>
        <v>0.64990144632223135</v>
      </c>
    </row>
    <row r="29" spans="2:12" x14ac:dyDescent="0.25">
      <c r="B29" s="831"/>
      <c r="C29" s="729" t="s">
        <v>725</v>
      </c>
      <c r="D29" s="292" t="s">
        <v>726</v>
      </c>
      <c r="E29" s="57">
        <f>InvTotal!D13</f>
        <v>42280484.279035605</v>
      </c>
      <c r="F29" s="57">
        <f>Crédito!G23</f>
        <v>30555772.185905736</v>
      </c>
      <c r="G29" s="57">
        <f>Crédito!G35</f>
        <v>16603364.795081198</v>
      </c>
      <c r="H29" s="552">
        <f>Crédito!G47</f>
        <v>2.3283064365386963E-9</v>
      </c>
      <c r="I29" s="373">
        <f t="shared" si="5"/>
        <v>0.60424387600905094</v>
      </c>
      <c r="J29" s="305">
        <f t="shared" si="6"/>
        <v>0.34955410197767267</v>
      </c>
      <c r="K29" s="305">
        <f t="shared" si="4"/>
        <v>4.7053886455396618E-17</v>
      </c>
    </row>
    <row r="30" spans="2:12" x14ac:dyDescent="0.25">
      <c r="B30" s="831"/>
      <c r="C30" s="730"/>
      <c r="D30" s="292" t="s">
        <v>727</v>
      </c>
      <c r="E30" s="57">
        <v>0</v>
      </c>
      <c r="F30" s="57">
        <v>0</v>
      </c>
      <c r="G30" s="57">
        <v>0</v>
      </c>
      <c r="H30" s="552">
        <v>0</v>
      </c>
      <c r="I30" s="373">
        <f t="shared" si="5"/>
        <v>0</v>
      </c>
      <c r="J30" s="305">
        <f t="shared" si="6"/>
        <v>0</v>
      </c>
      <c r="K30" s="305">
        <f t="shared" si="4"/>
        <v>0</v>
      </c>
    </row>
    <row r="31" spans="2:12" ht="15.75" customHeight="1" x14ac:dyDescent="0.25">
      <c r="B31" s="831"/>
      <c r="C31" s="730"/>
      <c r="D31" s="292" t="s">
        <v>728</v>
      </c>
      <c r="E31" s="57">
        <v>0</v>
      </c>
      <c r="F31" s="57">
        <v>2470831.2711393535</v>
      </c>
      <c r="G31" s="57">
        <v>0</v>
      </c>
      <c r="H31" s="552">
        <v>17323472.668374002</v>
      </c>
      <c r="I31" s="373">
        <f>F31/$F$33</f>
        <v>4.8860969873517804E-2</v>
      </c>
      <c r="J31" s="305">
        <f t="shared" si="6"/>
        <v>0</v>
      </c>
      <c r="K31" s="305">
        <f t="shared" si="4"/>
        <v>0.35009855367776865</v>
      </c>
    </row>
    <row r="32" spans="2:12" x14ac:dyDescent="0.25">
      <c r="B32" s="831"/>
      <c r="C32" s="731"/>
      <c r="D32" s="293" t="s">
        <v>729</v>
      </c>
      <c r="E32" s="57">
        <f>SUM(E29:E31)</f>
        <v>42280484.279035605</v>
      </c>
      <c r="F32" s="57">
        <f>SUM(F29:F31)</f>
        <v>33026603.457045089</v>
      </c>
      <c r="G32" s="57">
        <f>SUM(G29:G31)</f>
        <v>16603364.795081198</v>
      </c>
      <c r="H32" s="552">
        <f>SUM(H29:H31)</f>
        <v>17323472.668374006</v>
      </c>
      <c r="I32" s="373">
        <f t="shared" si="5"/>
        <v>0.65310484588256879</v>
      </c>
      <c r="J32" s="305">
        <f t="shared" si="6"/>
        <v>0.34955410197767267</v>
      </c>
      <c r="K32" s="305">
        <f t="shared" si="4"/>
        <v>0.35009855367776871</v>
      </c>
    </row>
    <row r="33" spans="2:11" ht="15.75" customHeight="1" thickBot="1" x14ac:dyDescent="0.3">
      <c r="B33" s="832"/>
      <c r="C33" s="834" t="s">
        <v>730</v>
      </c>
      <c r="D33" s="835"/>
      <c r="E33" s="496">
        <f>E32+E28</f>
        <v>42280484.279035605</v>
      </c>
      <c r="F33" s="496">
        <f>F32+F28</f>
        <v>50568608.80034478</v>
      </c>
      <c r="G33" s="496">
        <f>G32+G28</f>
        <v>47498698.201921597</v>
      </c>
      <c r="H33" s="553">
        <f>H32+H28</f>
        <v>49481703.041591421</v>
      </c>
      <c r="I33" s="372">
        <f t="shared" si="5"/>
        <v>1</v>
      </c>
      <c r="J33" s="307">
        <f t="shared" si="6"/>
        <v>1</v>
      </c>
      <c r="K33" s="307">
        <f t="shared" si="4"/>
        <v>1</v>
      </c>
    </row>
    <row r="34" spans="2:11" ht="15" customHeight="1" x14ac:dyDescent="0.25">
      <c r="B34" s="842" t="s">
        <v>731</v>
      </c>
      <c r="C34" s="843"/>
      <c r="D34" s="294" t="s">
        <v>732</v>
      </c>
      <c r="E34" s="57">
        <f>InvTotal!$D$12</f>
        <v>7461261.9315945189</v>
      </c>
      <c r="F34" s="57">
        <v>0</v>
      </c>
      <c r="G34" s="57">
        <v>0</v>
      </c>
      <c r="H34" s="552">
        <v>0</v>
      </c>
      <c r="I34" s="373">
        <f>F34/F$39</f>
        <v>0</v>
      </c>
      <c r="J34" s="305">
        <f t="shared" ref="J34:K34" si="7">G34/G$39</f>
        <v>0</v>
      </c>
      <c r="K34" s="305">
        <f t="shared" si="7"/>
        <v>0</v>
      </c>
    </row>
    <row r="35" spans="2:11" x14ac:dyDescent="0.25">
      <c r="B35" s="844"/>
      <c r="C35" s="845"/>
      <c r="D35" s="295" t="s">
        <v>733</v>
      </c>
      <c r="E35" s="57">
        <v>0</v>
      </c>
      <c r="F35" s="57">
        <f>F8</f>
        <v>13364103.302146524</v>
      </c>
      <c r="G35" s="57">
        <f>G8</f>
        <v>13656057.141226947</v>
      </c>
      <c r="H35" s="552">
        <f>H8</f>
        <v>14375547.135268986</v>
      </c>
      <c r="I35" s="373">
        <f>F35/$F$39</f>
        <v>0.36979584186604059</v>
      </c>
      <c r="J35" s="305">
        <f>G35/$F$39</f>
        <v>0.37787444716172303</v>
      </c>
      <c r="K35" s="305">
        <f>H35/$F$39</f>
        <v>0.39778333308138164</v>
      </c>
    </row>
    <row r="36" spans="2:11" ht="15.75" customHeight="1" x14ac:dyDescent="0.25">
      <c r="B36" s="844"/>
      <c r="C36" s="845"/>
      <c r="D36" s="295" t="s">
        <v>734</v>
      </c>
      <c r="E36" s="57">
        <v>0</v>
      </c>
      <c r="F36" s="57">
        <f>EstadoResult!D19</f>
        <v>20497532.058286101</v>
      </c>
      <c r="G36" s="57">
        <f>EstadoResult!E19</f>
        <v>21123457.758060262</v>
      </c>
      <c r="H36" s="552">
        <f>EstadoResult!F19</f>
        <v>25281561.202882528</v>
      </c>
      <c r="I36" s="373">
        <f>F36/$F$39</f>
        <v>0.56718374232056346</v>
      </c>
      <c r="J36" s="305">
        <f>G36/$G$39</f>
        <v>0.36657333576305906</v>
      </c>
      <c r="K36" s="305">
        <f>H36/$H$39</f>
        <v>0.39757365813092038</v>
      </c>
    </row>
    <row r="37" spans="2:11" ht="15.75" customHeight="1" x14ac:dyDescent="0.25">
      <c r="B37" s="844"/>
      <c r="C37" s="845"/>
      <c r="D37" s="295" t="s">
        <v>735</v>
      </c>
      <c r="E37" s="57">
        <v>0</v>
      </c>
      <c r="F37" s="57">
        <v>0</v>
      </c>
      <c r="G37" s="57">
        <f>F36</f>
        <v>20497532.058286101</v>
      </c>
      <c r="H37" s="552">
        <f>G36</f>
        <v>21123457.758060262</v>
      </c>
      <c r="I37" s="373">
        <f t="shared" ref="I37" si="8">F37/$F$39</f>
        <v>0</v>
      </c>
      <c r="J37" s="305">
        <f t="shared" ref="J37" si="9">G37/$G$39</f>
        <v>0.35571111451433912</v>
      </c>
      <c r="K37" s="305">
        <f t="shared" ref="K37" si="10">H37/$H$39</f>
        <v>0.33218400975523849</v>
      </c>
    </row>
    <row r="38" spans="2:11" ht="18" customHeight="1" x14ac:dyDescent="0.25">
      <c r="B38" s="844"/>
      <c r="C38" s="845"/>
      <c r="D38" s="377" t="s">
        <v>736</v>
      </c>
      <c r="E38" s="57">
        <v>0</v>
      </c>
      <c r="F38" s="57">
        <f>EstadoResult!D18</f>
        <v>2277503.5620317892</v>
      </c>
      <c r="G38" s="57">
        <f>EstadoResult!E18</f>
        <v>2347050.8620066955</v>
      </c>
      <c r="H38" s="552">
        <f>EstadoResult!F18</f>
        <v>2809062.3558758367</v>
      </c>
      <c r="I38" s="373">
        <f>F38/$F$39</f>
        <v>6.3020415813395944E-2</v>
      </c>
      <c r="J38" s="305">
        <f>G38/$G$39</f>
        <v>4.0730370640339894E-2</v>
      </c>
      <c r="K38" s="305">
        <f>H38/$H$39</f>
        <v>4.4174850903435606E-2</v>
      </c>
    </row>
    <row r="39" spans="2:11" ht="15.75" customHeight="1" thickBot="1" x14ac:dyDescent="0.3">
      <c r="B39" s="846"/>
      <c r="C39" s="847"/>
      <c r="D39" s="378" t="s">
        <v>737</v>
      </c>
      <c r="E39" s="496">
        <f>SUM(E34:E38)</f>
        <v>7461261.9315945189</v>
      </c>
      <c r="F39" s="496">
        <f>SUM(F34:F38)</f>
        <v>36139138.922464415</v>
      </c>
      <c r="G39" s="496">
        <f>SUM(G34:G38)</f>
        <v>57624097.819580004</v>
      </c>
      <c r="H39" s="553">
        <f>SUM(H34:H38)</f>
        <v>63589628.452087611</v>
      </c>
      <c r="I39" s="372">
        <f>F39/$F$39</f>
        <v>1</v>
      </c>
      <c r="J39" s="307">
        <f>G39/$G$39</f>
        <v>1</v>
      </c>
      <c r="K39" s="307">
        <f>H39/$H$39</f>
        <v>1</v>
      </c>
    </row>
    <row r="40" spans="2:11" ht="15.75" customHeight="1" x14ac:dyDescent="0.25">
      <c r="B40" s="825" t="s">
        <v>738</v>
      </c>
      <c r="C40" s="826"/>
      <c r="D40" s="826"/>
      <c r="E40" s="57">
        <f>E33+E39</f>
        <v>49741746.210630126</v>
      </c>
      <c r="F40" s="57">
        <f>F33+F39</f>
        <v>86707747.722809196</v>
      </c>
      <c r="G40" s="57">
        <f>G33+G39</f>
        <v>105122796.0215016</v>
      </c>
      <c r="H40" s="552">
        <f>H33+H39</f>
        <v>113071331.49367903</v>
      </c>
      <c r="I40" s="163"/>
      <c r="J40" s="163"/>
      <c r="K40" s="163"/>
    </row>
    <row r="41" spans="2:11" ht="15.75" customHeight="1" x14ac:dyDescent="0.25">
      <c r="B41" s="827" t="s">
        <v>699</v>
      </c>
      <c r="C41" s="707"/>
      <c r="D41" s="707"/>
      <c r="E41" s="57">
        <f>E19</f>
        <v>49741746.210630126</v>
      </c>
      <c r="F41" s="57">
        <f>F19</f>
        <v>86707747.722809196</v>
      </c>
      <c r="G41" s="57">
        <f>G19</f>
        <v>105122796.0215016</v>
      </c>
      <c r="H41" s="552">
        <f>H19</f>
        <v>113071331.49367903</v>
      </c>
      <c r="I41" s="163"/>
      <c r="J41" s="163"/>
      <c r="K41" s="163"/>
    </row>
    <row r="42" spans="2:11" ht="15.75" customHeight="1" thickBot="1" x14ac:dyDescent="0.3">
      <c r="B42" s="828" t="s">
        <v>739</v>
      </c>
      <c r="C42" s="829"/>
      <c r="D42" s="829"/>
      <c r="E42" s="375">
        <f>E41-E40</f>
        <v>0</v>
      </c>
      <c r="F42" s="375">
        <f>F41-F40</f>
        <v>0</v>
      </c>
      <c r="G42" s="375">
        <f>G41-G40</f>
        <v>0</v>
      </c>
      <c r="H42" s="376">
        <f>H41-H40</f>
        <v>0</v>
      </c>
      <c r="I42" s="382"/>
      <c r="J42" s="382"/>
      <c r="K42" s="382"/>
    </row>
    <row r="44" spans="2:11" ht="15.75" thickBot="1" x14ac:dyDescent="0.3"/>
    <row r="45" spans="2:11" ht="15.75" thickBot="1" x14ac:dyDescent="0.3">
      <c r="D45" s="812" t="s">
        <v>740</v>
      </c>
      <c r="E45" s="813"/>
      <c r="F45" s="813"/>
      <c r="G45" s="813"/>
      <c r="H45" s="813"/>
      <c r="I45" s="814"/>
    </row>
    <row r="46" spans="2:11" x14ac:dyDescent="0.25">
      <c r="D46" s="821" t="s">
        <v>741</v>
      </c>
      <c r="E46" s="819" t="s">
        <v>742</v>
      </c>
      <c r="F46" s="817">
        <f>E41</f>
        <v>49741746.210630126</v>
      </c>
      <c r="G46" s="299" t="s">
        <v>743</v>
      </c>
      <c r="H46" s="497">
        <f>E33</f>
        <v>42280484.279035605</v>
      </c>
      <c r="I46" s="300">
        <f>H46/$F$46</f>
        <v>0.85</v>
      </c>
    </row>
    <row r="47" spans="2:11" ht="15.75" thickBot="1" x14ac:dyDescent="0.3">
      <c r="D47" s="822"/>
      <c r="E47" s="820"/>
      <c r="F47" s="818"/>
      <c r="G47" s="301" t="s">
        <v>744</v>
      </c>
      <c r="H47" s="499">
        <f>E39</f>
        <v>7461261.9315945189</v>
      </c>
      <c r="I47" s="302">
        <f>H47/$F$46</f>
        <v>0.15</v>
      </c>
    </row>
    <row r="48" spans="2:11" x14ac:dyDescent="0.25">
      <c r="D48" s="815" t="s">
        <v>232</v>
      </c>
      <c r="E48" s="819" t="s">
        <v>742</v>
      </c>
      <c r="F48" s="817">
        <f>F41</f>
        <v>86707747.722809196</v>
      </c>
      <c r="G48" s="299" t="s">
        <v>743</v>
      </c>
      <c r="H48" s="498">
        <f>F33</f>
        <v>50568608.80034478</v>
      </c>
      <c r="I48" s="303">
        <f>H48/$F$48</f>
        <v>0.58320750023405676</v>
      </c>
    </row>
    <row r="49" spans="4:18" ht="15.75" thickBot="1" x14ac:dyDescent="0.3">
      <c r="D49" s="816"/>
      <c r="E49" s="820"/>
      <c r="F49" s="818"/>
      <c r="G49" s="301" t="s">
        <v>744</v>
      </c>
      <c r="H49" s="499">
        <f>F39</f>
        <v>36139138.922464415</v>
      </c>
      <c r="I49" s="304">
        <f>H49/$F$48</f>
        <v>0.41679249976594324</v>
      </c>
    </row>
    <row r="50" spans="4:18" x14ac:dyDescent="0.25">
      <c r="D50" s="815" t="s">
        <v>233</v>
      </c>
      <c r="E50" s="819" t="s">
        <v>742</v>
      </c>
      <c r="F50" s="817">
        <f>G41</f>
        <v>105122796.0215016</v>
      </c>
      <c r="G50" s="299" t="s">
        <v>743</v>
      </c>
      <c r="H50" s="498">
        <f>G33</f>
        <v>47498698.201921597</v>
      </c>
      <c r="I50" s="303">
        <f>H50/$F$50</f>
        <v>0.45184013363006736</v>
      </c>
    </row>
    <row r="51" spans="4:18" ht="15.75" thickBot="1" x14ac:dyDescent="0.3">
      <c r="D51" s="816"/>
      <c r="E51" s="820"/>
      <c r="F51" s="818"/>
      <c r="G51" s="301" t="s">
        <v>744</v>
      </c>
      <c r="H51" s="499">
        <f>G39</f>
        <v>57624097.819580004</v>
      </c>
      <c r="I51" s="304">
        <f>H51/$F$50</f>
        <v>0.54815986636993264</v>
      </c>
    </row>
    <row r="52" spans="4:18" x14ac:dyDescent="0.25">
      <c r="D52" s="815" t="s">
        <v>215</v>
      </c>
      <c r="E52" s="819" t="s">
        <v>742</v>
      </c>
      <c r="F52" s="817">
        <f>H40</f>
        <v>113071331.49367903</v>
      </c>
      <c r="G52" s="299" t="s">
        <v>743</v>
      </c>
      <c r="H52" s="498">
        <f>H33</f>
        <v>49481703.041591421</v>
      </c>
      <c r="I52" s="303">
        <f>H52/$F$52</f>
        <v>0.43761493198970219</v>
      </c>
    </row>
    <row r="53" spans="4:18" ht="14.25" customHeight="1" thickBot="1" x14ac:dyDescent="0.3">
      <c r="D53" s="816"/>
      <c r="E53" s="820"/>
      <c r="F53" s="818"/>
      <c r="G53" s="301" t="s">
        <v>744</v>
      </c>
      <c r="H53" s="499">
        <f>H39</f>
        <v>63589628.452087611</v>
      </c>
      <c r="I53" s="304">
        <f>H53/$F$52</f>
        <v>0.56238506801029786</v>
      </c>
    </row>
    <row r="56" spans="4:18" x14ac:dyDescent="0.25">
      <c r="D56" s="811"/>
      <c r="E56" s="811"/>
      <c r="F56" s="811"/>
      <c r="G56" s="811"/>
      <c r="H56" s="811"/>
      <c r="I56" s="811"/>
      <c r="J56" s="811"/>
      <c r="K56" s="811"/>
      <c r="L56" s="811"/>
      <c r="M56" s="811"/>
      <c r="N56" s="811"/>
      <c r="O56" s="811"/>
      <c r="P56" s="811"/>
      <c r="Q56" s="811"/>
      <c r="R56" s="811"/>
    </row>
  </sheetData>
  <mergeCells count="29">
    <mergeCell ref="I5:K5"/>
    <mergeCell ref="B40:D40"/>
    <mergeCell ref="B41:D41"/>
    <mergeCell ref="B42:D42"/>
    <mergeCell ref="B20:B33"/>
    <mergeCell ref="C20:C28"/>
    <mergeCell ref="C29:C32"/>
    <mergeCell ref="C33:D33"/>
    <mergeCell ref="B5:H5"/>
    <mergeCell ref="B6:D6"/>
    <mergeCell ref="B7:B19"/>
    <mergeCell ref="C7:C11"/>
    <mergeCell ref="C12:C17"/>
    <mergeCell ref="C19:D19"/>
    <mergeCell ref="B34:C39"/>
    <mergeCell ref="D56:R56"/>
    <mergeCell ref="D45:I45"/>
    <mergeCell ref="D52:D53"/>
    <mergeCell ref="F48:F49"/>
    <mergeCell ref="F50:F51"/>
    <mergeCell ref="F52:F53"/>
    <mergeCell ref="E46:E47"/>
    <mergeCell ref="E48:E49"/>
    <mergeCell ref="E50:E51"/>
    <mergeCell ref="E52:E53"/>
    <mergeCell ref="D46:D47"/>
    <mergeCell ref="F46:F47"/>
    <mergeCell ref="D48:D49"/>
    <mergeCell ref="D50:D51"/>
  </mergeCells>
  <phoneticPr fontId="10" type="noConversion"/>
  <conditionalFormatting sqref="E42:H42">
    <cfRule type="cellIs" dxfId="40" priority="44" operator="equal">
      <formula>0</formula>
    </cfRule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E5F4C-D287-40B2-8E25-15491FC76F62}">
  <dimension ref="B4:L42"/>
  <sheetViews>
    <sheetView topLeftCell="C1" zoomScale="80" zoomScaleNormal="80" zoomScaleSheetLayoutView="90" workbookViewId="0">
      <selection activeCell="H8" sqref="H8"/>
    </sheetView>
  </sheetViews>
  <sheetFormatPr baseColWidth="10" defaultColWidth="11.5" defaultRowHeight="15" x14ac:dyDescent="0.25"/>
  <cols>
    <col min="1" max="1" width="11.5" style="144"/>
    <col min="2" max="2" width="11.375" style="144" customWidth="1"/>
    <col min="3" max="3" width="20.625" style="144" customWidth="1"/>
    <col min="4" max="4" width="35.5" style="144" customWidth="1"/>
    <col min="5" max="6" width="18.625" style="144" customWidth="1"/>
    <col min="7" max="7" width="19.875" style="144" customWidth="1"/>
    <col min="8" max="8" width="20.75" style="144" customWidth="1"/>
    <col min="9" max="9" width="14.75" style="144" bestFit="1" customWidth="1"/>
    <col min="10" max="10" width="13.5" style="144" bestFit="1" customWidth="1"/>
    <col min="11" max="11" width="14.75" style="144" bestFit="1" customWidth="1"/>
    <col min="12" max="12" width="13.5" style="144" bestFit="1" customWidth="1"/>
    <col min="13" max="16384" width="11.5" style="144"/>
  </cols>
  <sheetData>
    <row r="4" spans="2:12" ht="17.25" customHeight="1" thickBot="1" x14ac:dyDescent="0.3">
      <c r="I4" s="824" t="s">
        <v>745</v>
      </c>
      <c r="J4" s="824"/>
      <c r="K4" s="824" t="s">
        <v>746</v>
      </c>
      <c r="L4" s="824"/>
    </row>
    <row r="5" spans="2:12" ht="15" customHeight="1" x14ac:dyDescent="0.25">
      <c r="B5" s="836" t="s">
        <v>697</v>
      </c>
      <c r="C5" s="837"/>
      <c r="D5" s="837"/>
      <c r="E5" s="837"/>
      <c r="F5" s="837"/>
      <c r="G5" s="837"/>
      <c r="H5" s="838"/>
      <c r="I5" s="823"/>
      <c r="J5" s="824"/>
      <c r="K5" s="824"/>
      <c r="L5" s="824"/>
    </row>
    <row r="6" spans="2:12" ht="15.75" thickBot="1" x14ac:dyDescent="0.3">
      <c r="B6" s="839" t="s">
        <v>444</v>
      </c>
      <c r="C6" s="840"/>
      <c r="D6" s="840"/>
      <c r="E6" s="535" t="s">
        <v>654</v>
      </c>
      <c r="F6" s="533" t="s">
        <v>232</v>
      </c>
      <c r="G6" s="533" t="s">
        <v>233</v>
      </c>
      <c r="H6" s="374" t="s">
        <v>215</v>
      </c>
      <c r="I6" s="370" t="s">
        <v>747</v>
      </c>
      <c r="J6" s="533" t="s">
        <v>748</v>
      </c>
      <c r="K6" s="533" t="s">
        <v>747</v>
      </c>
      <c r="L6" s="533" t="s">
        <v>748</v>
      </c>
    </row>
    <row r="7" spans="2:12" ht="15.75" customHeight="1" x14ac:dyDescent="0.25">
      <c r="B7" s="830" t="s">
        <v>699</v>
      </c>
      <c r="C7" s="833" t="s">
        <v>700</v>
      </c>
      <c r="D7" s="291" t="s">
        <v>701</v>
      </c>
      <c r="E7" s="57">
        <f>'BG-AV'!E7</f>
        <v>40308079.543963462</v>
      </c>
      <c r="F7" s="57">
        <f>'BG-AV'!F7</f>
        <v>63901394.498757899</v>
      </c>
      <c r="G7" s="57">
        <f>'BG-AV'!G7</f>
        <v>75054055.930222571</v>
      </c>
      <c r="H7" s="552">
        <f>'BG-AV'!H7</f>
        <v>88636895.639792293</v>
      </c>
      <c r="I7" s="554">
        <f>G7-F7</f>
        <v>11152661.431464672</v>
      </c>
      <c r="J7" s="500">
        <f>IFERROR((G7/F7)-1,0)</f>
        <v>0.17452923396971332</v>
      </c>
      <c r="K7" s="500">
        <f>H7-G7</f>
        <v>13582839.709569722</v>
      </c>
      <c r="L7" s="500">
        <f>IFERROR((H7/G7)-1,0)</f>
        <v>0.18097409315490731</v>
      </c>
    </row>
    <row r="8" spans="2:12" x14ac:dyDescent="0.25">
      <c r="B8" s="831"/>
      <c r="C8" s="706"/>
      <c r="D8" s="292" t="s">
        <v>702</v>
      </c>
      <c r="E8" s="57">
        <f>'BG-AV'!E8</f>
        <v>0</v>
      </c>
      <c r="F8" s="57">
        <f>'BG-AV'!F8</f>
        <v>13364103.302146524</v>
      </c>
      <c r="G8" s="57">
        <f>'BG-AV'!G8</f>
        <v>13656057.141226947</v>
      </c>
      <c r="H8" s="552">
        <f>'BG-AV'!H8</f>
        <v>14375547.135268986</v>
      </c>
      <c r="I8" s="554">
        <f t="shared" ref="I8:I39" si="0">G8-F8</f>
        <v>291953.83908042312</v>
      </c>
      <c r="J8" s="500">
        <f t="shared" ref="J8:J39" si="1">IFERROR((G8/F8)-1,0)</f>
        <v>2.1846122592716677E-2</v>
      </c>
      <c r="K8" s="500">
        <f t="shared" ref="K8:K39" si="2">H8-G8</f>
        <v>719489.99404203892</v>
      </c>
      <c r="L8" s="500">
        <f t="shared" ref="L8:L39" si="3">IFERROR((H8/G8)-1,0)</f>
        <v>5.2686510213107995E-2</v>
      </c>
    </row>
    <row r="9" spans="2:12" x14ac:dyDescent="0.25">
      <c r="B9" s="831"/>
      <c r="C9" s="706"/>
      <c r="D9" s="292" t="s">
        <v>703</v>
      </c>
      <c r="E9" s="57">
        <f>'BG-AV'!E9</f>
        <v>0</v>
      </c>
      <c r="F9" s="57">
        <f>'BG-AV'!F9</f>
        <v>3600000</v>
      </c>
      <c r="G9" s="57">
        <f>'BG-AV'!G9</f>
        <v>3719876.4</v>
      </c>
      <c r="H9" s="552">
        <f>'BG-AV'!H9</f>
        <v>3840073.0462367996</v>
      </c>
      <c r="I9" s="554">
        <f t="shared" si="0"/>
        <v>119876.39999999991</v>
      </c>
      <c r="J9" s="500">
        <f t="shared" si="1"/>
        <v>3.3298999999999968E-2</v>
      </c>
      <c r="K9" s="500">
        <f t="shared" si="2"/>
        <v>120196.64623679966</v>
      </c>
      <c r="L9" s="500">
        <f t="shared" si="3"/>
        <v>3.2311999999999896E-2</v>
      </c>
    </row>
    <row r="10" spans="2:12" x14ac:dyDescent="0.25">
      <c r="B10" s="831"/>
      <c r="C10" s="706"/>
      <c r="D10" s="292" t="s">
        <v>704</v>
      </c>
      <c r="E10" s="57">
        <f>'BG-AV'!E10</f>
        <v>1373666.6666666667</v>
      </c>
      <c r="F10" s="57">
        <f>'BG-AV'!F10</f>
        <v>1569904.7619047619</v>
      </c>
      <c r="G10" s="57">
        <f>'BG-AV'!G10</f>
        <v>1766142.857142857</v>
      </c>
      <c r="H10" s="552">
        <f>'BG-AV'!H10</f>
        <v>1962380.9523809522</v>
      </c>
      <c r="I10" s="554">
        <f t="shared" si="0"/>
        <v>196238.09523809515</v>
      </c>
      <c r="J10" s="500">
        <f t="shared" si="1"/>
        <v>0.125</v>
      </c>
      <c r="K10" s="500">
        <f t="shared" si="2"/>
        <v>196238.09523809515</v>
      </c>
      <c r="L10" s="500">
        <f t="shared" si="3"/>
        <v>0.11111111111111116</v>
      </c>
    </row>
    <row r="11" spans="2:12" ht="15.75" customHeight="1" x14ac:dyDescent="0.25">
      <c r="B11" s="831"/>
      <c r="C11" s="706"/>
      <c r="D11" s="293" t="s">
        <v>705</v>
      </c>
      <c r="E11" s="490">
        <f>'BG-AV'!E11</f>
        <v>41681746.210630126</v>
      </c>
      <c r="F11" s="490">
        <f>'BG-AV'!F11</f>
        <v>82435402.562809184</v>
      </c>
      <c r="G11" s="490">
        <f>'BG-AV'!G11</f>
        <v>94196132.328592375</v>
      </c>
      <c r="H11" s="555">
        <f>'BG-AV'!H11</f>
        <v>108814896.77367903</v>
      </c>
      <c r="I11" s="554">
        <f t="shared" si="0"/>
        <v>11760729.765783191</v>
      </c>
      <c r="J11" s="500">
        <f t="shared" si="1"/>
        <v>0.14266600756662107</v>
      </c>
      <c r="K11" s="500">
        <f t="shared" si="2"/>
        <v>14618764.445086658</v>
      </c>
      <c r="L11" s="500">
        <f t="shared" si="3"/>
        <v>0.15519495422689733</v>
      </c>
    </row>
    <row r="12" spans="2:12" ht="15.75" customHeight="1" x14ac:dyDescent="0.25">
      <c r="B12" s="831"/>
      <c r="C12" s="706" t="s">
        <v>601</v>
      </c>
      <c r="D12" s="292" t="s">
        <v>706</v>
      </c>
      <c r="E12" s="57">
        <f>'BG-AV'!E12</f>
        <v>6130000</v>
      </c>
      <c r="F12" s="57">
        <f>'BG-AV'!F12</f>
        <v>6340173.1800000006</v>
      </c>
      <c r="G12" s="57">
        <f>'BG-AV'!G12</f>
        <v>6334122.8700000001</v>
      </c>
      <c r="H12" s="552">
        <f>'BG-AV'!H12</f>
        <v>6328072.5599999996</v>
      </c>
      <c r="I12" s="554">
        <f t="shared" si="0"/>
        <v>-6050.3100000005215</v>
      </c>
      <c r="J12" s="500">
        <f t="shared" si="1"/>
        <v>-9.542815043421804E-4</v>
      </c>
      <c r="K12" s="500">
        <f t="shared" si="2"/>
        <v>-6050.3100000005215</v>
      </c>
      <c r="L12" s="500">
        <f t="shared" si="3"/>
        <v>-9.5519302738134026E-4</v>
      </c>
    </row>
    <row r="13" spans="2:12" ht="18" customHeight="1" x14ac:dyDescent="0.25">
      <c r="B13" s="831"/>
      <c r="C13" s="706"/>
      <c r="D13" s="292" t="s">
        <v>707</v>
      </c>
      <c r="E13" s="57">
        <f>'BG-AV'!E13</f>
        <v>0</v>
      </c>
      <c r="F13" s="57">
        <f>'BG-AV'!F13</f>
        <v>0</v>
      </c>
      <c r="G13" s="57">
        <f>'BG-AV'!G13</f>
        <v>0</v>
      </c>
      <c r="H13" s="552">
        <f>'BG-AV'!H13</f>
        <v>0</v>
      </c>
      <c r="I13" s="554">
        <f t="shared" si="0"/>
        <v>0</v>
      </c>
      <c r="J13" s="500">
        <f t="shared" si="1"/>
        <v>0</v>
      </c>
      <c r="K13" s="500">
        <f t="shared" si="2"/>
        <v>0</v>
      </c>
      <c r="L13" s="500">
        <f t="shared" si="3"/>
        <v>0</v>
      </c>
    </row>
    <row r="14" spans="2:12" ht="15.75" customHeight="1" x14ac:dyDescent="0.25">
      <c r="B14" s="831"/>
      <c r="C14" s="706"/>
      <c r="D14" s="292" t="s">
        <v>708</v>
      </c>
      <c r="E14" s="57">
        <f>'BG-AV'!E14</f>
        <v>0</v>
      </c>
      <c r="F14" s="57">
        <f>'BG-AV'!F14</f>
        <v>0</v>
      </c>
      <c r="G14" s="57">
        <f>'BG-AV'!G14</f>
        <v>0</v>
      </c>
      <c r="H14" s="552">
        <f>'BG-AV'!H14</f>
        <v>0</v>
      </c>
      <c r="I14" s="554">
        <f t="shared" si="0"/>
        <v>0</v>
      </c>
      <c r="J14" s="500">
        <f t="shared" si="1"/>
        <v>0</v>
      </c>
      <c r="K14" s="500">
        <f t="shared" si="2"/>
        <v>0</v>
      </c>
      <c r="L14" s="500">
        <f t="shared" si="3"/>
        <v>0</v>
      </c>
    </row>
    <row r="15" spans="2:12" ht="15.75" customHeight="1" x14ac:dyDescent="0.25">
      <c r="B15" s="831"/>
      <c r="C15" s="706"/>
      <c r="D15" s="292" t="s">
        <v>580</v>
      </c>
      <c r="E15" s="57">
        <f>'BG-AV'!E15</f>
        <v>0</v>
      </c>
      <c r="F15" s="57">
        <f>'BG-AV'!F15</f>
        <v>-4064000</v>
      </c>
      <c r="G15" s="57">
        <f>'BG-AV'!G15</f>
        <v>-4064000</v>
      </c>
      <c r="H15" s="552">
        <f>'BG-AV'!H15</f>
        <v>-4064000</v>
      </c>
      <c r="I15" s="554">
        <f t="shared" si="0"/>
        <v>0</v>
      </c>
      <c r="J15" s="500">
        <f t="shared" si="1"/>
        <v>0</v>
      </c>
      <c r="K15" s="500">
        <f t="shared" si="2"/>
        <v>0</v>
      </c>
      <c r="L15" s="500">
        <f t="shared" si="3"/>
        <v>0</v>
      </c>
    </row>
    <row r="16" spans="2:12" ht="15.75" customHeight="1" x14ac:dyDescent="0.25">
      <c r="B16" s="831"/>
      <c r="C16" s="706"/>
      <c r="D16" s="292" t="s">
        <v>709</v>
      </c>
      <c r="E16" s="57">
        <f>'BG-AV'!E16</f>
        <v>0</v>
      </c>
      <c r="F16" s="57">
        <f>'BG-AV'!F16</f>
        <v>0</v>
      </c>
      <c r="G16" s="57">
        <f>'BG-AV'!G16</f>
        <v>6662273.7529092301</v>
      </c>
      <c r="H16" s="552">
        <f>'BG-AV'!H16</f>
        <v>0</v>
      </c>
      <c r="I16" s="554">
        <f t="shared" si="0"/>
        <v>6662273.7529092301</v>
      </c>
      <c r="J16" s="500">
        <f t="shared" si="1"/>
        <v>0</v>
      </c>
      <c r="K16" s="500">
        <f t="shared" si="2"/>
        <v>-6662273.7529092301</v>
      </c>
      <c r="L16" s="500">
        <f t="shared" si="3"/>
        <v>-1</v>
      </c>
    </row>
    <row r="17" spans="2:12" ht="15.75" customHeight="1" x14ac:dyDescent="0.25">
      <c r="B17" s="831"/>
      <c r="C17" s="706"/>
      <c r="D17" s="293" t="s">
        <v>710</v>
      </c>
      <c r="E17" s="490">
        <f>'BG-AV'!E17</f>
        <v>6130000</v>
      </c>
      <c r="F17" s="490">
        <f>'BG-AV'!F17</f>
        <v>2276173.1800000006</v>
      </c>
      <c r="G17" s="490">
        <f>'BG-AV'!G17</f>
        <v>8932396.6229092292</v>
      </c>
      <c r="H17" s="555">
        <f>'BG-AV'!H17</f>
        <v>2264072.5599999996</v>
      </c>
      <c r="I17" s="554">
        <f t="shared" si="0"/>
        <v>6656223.4429092286</v>
      </c>
      <c r="J17" s="500">
        <f t="shared" si="1"/>
        <v>2.9243044867566828</v>
      </c>
      <c r="K17" s="500">
        <f t="shared" si="2"/>
        <v>-6668324.0629092297</v>
      </c>
      <c r="L17" s="500">
        <f t="shared" si="3"/>
        <v>-0.74653246428923081</v>
      </c>
    </row>
    <row r="18" spans="2:12" ht="15.75" customHeight="1" x14ac:dyDescent="0.25">
      <c r="B18" s="841"/>
      <c r="C18" s="530" t="s">
        <v>711</v>
      </c>
      <c r="D18" s="296" t="s">
        <v>712</v>
      </c>
      <c r="E18" s="57">
        <f>'BG-AV'!E18</f>
        <v>1930000</v>
      </c>
      <c r="F18" s="57">
        <f>'BG-AV'!F18</f>
        <v>1996171.98</v>
      </c>
      <c r="G18" s="57">
        <f>'BG-AV'!G18</f>
        <v>1994267.0699999998</v>
      </c>
      <c r="H18" s="552">
        <f>'BG-AV'!H18</f>
        <v>1992362.16</v>
      </c>
      <c r="I18" s="554">
        <f t="shared" si="0"/>
        <v>-1904.910000000149</v>
      </c>
      <c r="J18" s="500">
        <f t="shared" si="1"/>
        <v>-9.542815043421804E-4</v>
      </c>
      <c r="K18" s="500">
        <f t="shared" si="2"/>
        <v>-1904.9099999999162</v>
      </c>
      <c r="L18" s="500">
        <f t="shared" si="3"/>
        <v>-9.5519302738122924E-4</v>
      </c>
    </row>
    <row r="19" spans="2:12" ht="15.75" customHeight="1" thickBot="1" x14ac:dyDescent="0.3">
      <c r="B19" s="832"/>
      <c r="C19" s="834" t="s">
        <v>713</v>
      </c>
      <c r="D19" s="835"/>
      <c r="E19" s="490">
        <f>'BG-AV'!E19</f>
        <v>49741746.210630126</v>
      </c>
      <c r="F19" s="490">
        <f>'BG-AV'!F19</f>
        <v>86707747.722809196</v>
      </c>
      <c r="G19" s="490">
        <f>'BG-AV'!G19</f>
        <v>105122796.0215016</v>
      </c>
      <c r="H19" s="555">
        <f>'BG-AV'!H19</f>
        <v>113071331.49367903</v>
      </c>
      <c r="I19" s="554">
        <f t="shared" si="0"/>
        <v>18415048.298692405</v>
      </c>
      <c r="J19" s="500">
        <f t="shared" si="1"/>
        <v>0.21238065550453888</v>
      </c>
      <c r="K19" s="500">
        <f t="shared" si="2"/>
        <v>7948535.472177431</v>
      </c>
      <c r="L19" s="500">
        <f t="shared" si="3"/>
        <v>7.561191076530771E-2</v>
      </c>
    </row>
    <row r="20" spans="2:12" x14ac:dyDescent="0.25">
      <c r="B20" s="830" t="s">
        <v>714</v>
      </c>
      <c r="C20" s="833" t="s">
        <v>715</v>
      </c>
      <c r="D20" s="291" t="s">
        <v>716</v>
      </c>
      <c r="E20" s="57">
        <f>'BG-AV'!E20</f>
        <v>0</v>
      </c>
      <c r="F20" s="57">
        <f>'BG-AV'!F20</f>
        <v>7117374.879999999</v>
      </c>
      <c r="G20" s="57">
        <f>'BG-AV'!G20</f>
        <v>7354376.3461291194</v>
      </c>
      <c r="H20" s="552">
        <f>'BG-AV'!H20</f>
        <v>7592010.9546252415</v>
      </c>
      <c r="I20" s="554">
        <f t="shared" si="0"/>
        <v>237001.46612912044</v>
      </c>
      <c r="J20" s="500">
        <f t="shared" si="1"/>
        <v>3.3298999999999968E-2</v>
      </c>
      <c r="K20" s="500">
        <f t="shared" si="2"/>
        <v>237634.60849612206</v>
      </c>
      <c r="L20" s="500">
        <f t="shared" si="3"/>
        <v>3.2311999999999674E-2</v>
      </c>
    </row>
    <row r="21" spans="2:12" x14ac:dyDescent="0.25">
      <c r="B21" s="831"/>
      <c r="C21" s="706"/>
      <c r="D21" s="292" t="s">
        <v>717</v>
      </c>
      <c r="E21" s="57">
        <f>'BG-AV'!E21</f>
        <v>0</v>
      </c>
      <c r="F21" s="57">
        <f>'BG-AV'!F21</f>
        <v>360000</v>
      </c>
      <c r="G21" s="57">
        <f>'BG-AV'!G21</f>
        <v>371987.64</v>
      </c>
      <c r="H21" s="552">
        <f>'BG-AV'!H21</f>
        <v>384007.30462367996</v>
      </c>
      <c r="I21" s="554">
        <f t="shared" si="0"/>
        <v>11987.640000000014</v>
      </c>
      <c r="J21" s="500">
        <f t="shared" si="1"/>
        <v>3.3298999999999968E-2</v>
      </c>
      <c r="K21" s="500">
        <f t="shared" si="2"/>
        <v>12019.664623679942</v>
      </c>
      <c r="L21" s="500">
        <f t="shared" si="3"/>
        <v>3.2311999999999896E-2</v>
      </c>
    </row>
    <row r="22" spans="2:12" x14ac:dyDescent="0.25">
      <c r="B22" s="831"/>
      <c r="C22" s="706"/>
      <c r="D22" s="292" t="s">
        <v>718</v>
      </c>
      <c r="E22" s="57">
        <f>'BG-AV'!E22</f>
        <v>0</v>
      </c>
      <c r="F22" s="57">
        <f>'BG-AV'!F22</f>
        <v>433102.2636722583</v>
      </c>
      <c r="G22" s="57">
        <f>'BG-AV'!G22</f>
        <v>2017647.2667859865</v>
      </c>
      <c r="H22" s="552">
        <f>'BG-AV'!H22</f>
        <v>2123950.0601139613</v>
      </c>
      <c r="I22" s="554">
        <f t="shared" si="0"/>
        <v>1584545.0031137282</v>
      </c>
      <c r="J22" s="500">
        <f t="shared" si="1"/>
        <v>3.6585932146334885</v>
      </c>
      <c r="K22" s="500">
        <f t="shared" si="2"/>
        <v>106302.79332797485</v>
      </c>
      <c r="L22" s="500">
        <f t="shared" si="3"/>
        <v>5.268651021311066E-2</v>
      </c>
    </row>
    <row r="23" spans="2:12" ht="15.75" customHeight="1" x14ac:dyDescent="0.25">
      <c r="B23" s="831"/>
      <c r="C23" s="706"/>
      <c r="D23" s="292" t="s">
        <v>719</v>
      </c>
      <c r="E23" s="57">
        <f>'BG-AV'!E23</f>
        <v>0</v>
      </c>
      <c r="F23" s="57">
        <f>'BG-AV'!F23</f>
        <v>296176.77586327348</v>
      </c>
      <c r="G23" s="57">
        <f>'BG-AV'!G23</f>
        <v>1379767.1183686692</v>
      </c>
      <c r="H23" s="552">
        <f>'BG-AV'!H23</f>
        <v>1452462.2327423147</v>
      </c>
      <c r="I23" s="554">
        <f t="shared" si="0"/>
        <v>1083590.3425053956</v>
      </c>
      <c r="J23" s="500">
        <f t="shared" si="1"/>
        <v>3.6585932146334876</v>
      </c>
      <c r="K23" s="500">
        <f t="shared" si="2"/>
        <v>72695.114373645512</v>
      </c>
      <c r="L23" s="500">
        <f t="shared" si="3"/>
        <v>5.2686510213110882E-2</v>
      </c>
    </row>
    <row r="24" spans="2:12" ht="15.75" customHeight="1" x14ac:dyDescent="0.25">
      <c r="B24" s="831"/>
      <c r="C24" s="706"/>
      <c r="D24" s="292" t="s">
        <v>720</v>
      </c>
      <c r="E24" s="57">
        <f>'BG-AV'!E24</f>
        <v>0</v>
      </c>
      <c r="F24" s="57">
        <f>'BG-AV'!F24</f>
        <v>8518574.5442783721</v>
      </c>
      <c r="G24" s="57">
        <f>'BG-AV'!G24</f>
        <v>8704672.3680878691</v>
      </c>
      <c r="H24" s="552">
        <f>'BG-AV'!H24</f>
        <v>9163291.177710915</v>
      </c>
      <c r="I24" s="554">
        <f t="shared" si="0"/>
        <v>186097.82380949706</v>
      </c>
      <c r="J24" s="500">
        <f t="shared" si="1"/>
        <v>2.1846122592716233E-2</v>
      </c>
      <c r="K24" s="500">
        <f t="shared" si="2"/>
        <v>458618.80962304585</v>
      </c>
      <c r="L24" s="500">
        <f t="shared" si="3"/>
        <v>5.2686510213110882E-2</v>
      </c>
    </row>
    <row r="25" spans="2:12" x14ac:dyDescent="0.25">
      <c r="B25" s="831"/>
      <c r="C25" s="706"/>
      <c r="D25" s="292" t="s">
        <v>721</v>
      </c>
      <c r="E25" s="57">
        <f>'BG-AV'!E25</f>
        <v>0</v>
      </c>
      <c r="F25" s="57">
        <f>'BG-AV'!F25</f>
        <v>816776.87948579155</v>
      </c>
      <c r="G25" s="57">
        <f>'BG-AV'!G25</f>
        <v>834620.28732593439</v>
      </c>
      <c r="H25" s="552">
        <f>'BG-AV'!H25</f>
        <v>897787.37931325473</v>
      </c>
      <c r="I25" s="554">
        <f t="shared" si="0"/>
        <v>17843.407840142841</v>
      </c>
      <c r="J25" s="500">
        <f t="shared" si="1"/>
        <v>2.1846122592716233E-2</v>
      </c>
      <c r="K25" s="500">
        <f t="shared" si="2"/>
        <v>63167.091987320338</v>
      </c>
      <c r="L25" s="500">
        <f t="shared" si="3"/>
        <v>7.5683628766925137E-2</v>
      </c>
    </row>
    <row r="26" spans="2:12" x14ac:dyDescent="0.25">
      <c r="B26" s="831"/>
      <c r="C26" s="706"/>
      <c r="D26" s="292" t="s">
        <v>722</v>
      </c>
      <c r="E26" s="57">
        <f>'BG-AV'!E26</f>
        <v>0</v>
      </c>
      <c r="F26" s="57">
        <f>'BG-AV'!F26</f>
        <v>0</v>
      </c>
      <c r="G26" s="57">
        <f>'BG-AV'!G26</f>
        <v>10232262.380142821</v>
      </c>
      <c r="H26" s="552">
        <f>'BG-AV'!H26</f>
        <v>10544721.264088051</v>
      </c>
      <c r="I26" s="554">
        <f t="shared" si="0"/>
        <v>10232262.380142821</v>
      </c>
      <c r="J26" s="500">
        <f t="shared" si="1"/>
        <v>0</v>
      </c>
      <c r="K26" s="500">
        <f t="shared" si="2"/>
        <v>312458.88394523039</v>
      </c>
      <c r="L26" s="500">
        <f t="shared" si="3"/>
        <v>3.0536637190969884E-2</v>
      </c>
    </row>
    <row r="27" spans="2:12" ht="15.75" customHeight="1" x14ac:dyDescent="0.25">
      <c r="B27" s="831"/>
      <c r="C27" s="706"/>
      <c r="D27" s="292" t="s">
        <v>723</v>
      </c>
      <c r="E27" s="57">
        <f>'BG-AV'!E27</f>
        <v>0</v>
      </c>
      <c r="F27" s="57">
        <f>'BG-AV'!F27</f>
        <v>0</v>
      </c>
      <c r="G27" s="57">
        <f>'BG-AV'!G27</f>
        <v>0</v>
      </c>
      <c r="H27" s="552">
        <f>'BG-AV'!H27</f>
        <v>0</v>
      </c>
      <c r="I27" s="554">
        <f t="shared" si="0"/>
        <v>0</v>
      </c>
      <c r="J27" s="500">
        <f t="shared" si="1"/>
        <v>0</v>
      </c>
      <c r="K27" s="500">
        <f t="shared" si="2"/>
        <v>0</v>
      </c>
      <c r="L27" s="500">
        <f t="shared" si="3"/>
        <v>0</v>
      </c>
    </row>
    <row r="28" spans="2:12" ht="15.75" customHeight="1" x14ac:dyDescent="0.25">
      <c r="B28" s="831"/>
      <c r="C28" s="706"/>
      <c r="D28" s="293" t="s">
        <v>724</v>
      </c>
      <c r="E28" s="490">
        <f>'BG-AV'!E28</f>
        <v>0</v>
      </c>
      <c r="F28" s="490">
        <f>'BG-AV'!F28</f>
        <v>17542005.343299694</v>
      </c>
      <c r="G28" s="490">
        <f>'BG-AV'!G28</f>
        <v>30895333.406840399</v>
      </c>
      <c r="H28" s="555">
        <f>'BG-AV'!H28</f>
        <v>32158230.373217419</v>
      </c>
      <c r="I28" s="554">
        <f t="shared" si="0"/>
        <v>13353328.063540705</v>
      </c>
      <c r="J28" s="500">
        <f t="shared" si="1"/>
        <v>0.76122015711511071</v>
      </c>
      <c r="K28" s="500">
        <f t="shared" si="2"/>
        <v>1262896.9663770199</v>
      </c>
      <c r="L28" s="500">
        <f t="shared" si="3"/>
        <v>4.0876625273686296E-2</v>
      </c>
    </row>
    <row r="29" spans="2:12" x14ac:dyDescent="0.25">
      <c r="B29" s="831"/>
      <c r="C29" s="729" t="s">
        <v>725</v>
      </c>
      <c r="D29" s="292" t="s">
        <v>726</v>
      </c>
      <c r="E29" s="57">
        <f>'BG-AV'!E29</f>
        <v>42280484.279035605</v>
      </c>
      <c r="F29" s="57">
        <f>'BG-AV'!F29</f>
        <v>30555772.185905736</v>
      </c>
      <c r="G29" s="57">
        <f>'BG-AV'!G29</f>
        <v>16603364.795081198</v>
      </c>
      <c r="H29" s="552">
        <f>'BG-AV'!H29</f>
        <v>2.3283064365386963E-9</v>
      </c>
      <c r="I29" s="554">
        <f t="shared" si="0"/>
        <v>-13952407.390824538</v>
      </c>
      <c r="J29" s="500">
        <f t="shared" si="1"/>
        <v>-0.45662100456621002</v>
      </c>
      <c r="K29" s="500">
        <f t="shared" si="2"/>
        <v>-16603364.795081196</v>
      </c>
      <c r="L29" s="500">
        <f t="shared" si="3"/>
        <v>-0.99999999999999989</v>
      </c>
    </row>
    <row r="30" spans="2:12" x14ac:dyDescent="0.25">
      <c r="B30" s="831"/>
      <c r="C30" s="730"/>
      <c r="D30" s="292" t="s">
        <v>727</v>
      </c>
      <c r="E30" s="57">
        <f>'BG-AV'!E30</f>
        <v>0</v>
      </c>
      <c r="F30" s="57">
        <f>'BG-AV'!F30</f>
        <v>0</v>
      </c>
      <c r="G30" s="57">
        <f>'BG-AV'!G30</f>
        <v>0</v>
      </c>
      <c r="H30" s="552">
        <f>'BG-AV'!H30</f>
        <v>0</v>
      </c>
      <c r="I30" s="554">
        <f t="shared" si="0"/>
        <v>0</v>
      </c>
      <c r="J30" s="500">
        <f t="shared" si="1"/>
        <v>0</v>
      </c>
      <c r="K30" s="500">
        <f t="shared" si="2"/>
        <v>0</v>
      </c>
      <c r="L30" s="500">
        <f t="shared" si="3"/>
        <v>0</v>
      </c>
    </row>
    <row r="31" spans="2:12" ht="15.75" customHeight="1" x14ac:dyDescent="0.25">
      <c r="B31" s="831"/>
      <c r="C31" s="730"/>
      <c r="D31" s="292" t="s">
        <v>728</v>
      </c>
      <c r="E31" s="57">
        <f>'BG-AV'!E31</f>
        <v>0</v>
      </c>
      <c r="F31" s="57">
        <f>'BG-AV'!F31</f>
        <v>2470831.2711393535</v>
      </c>
      <c r="G31" s="57">
        <f>'BG-AV'!G31</f>
        <v>0</v>
      </c>
      <c r="H31" s="552">
        <f>'BG-AV'!H31</f>
        <v>17323472.668374002</v>
      </c>
      <c r="I31" s="554">
        <f t="shared" si="0"/>
        <v>-2470831.2711393535</v>
      </c>
      <c r="J31" s="500">
        <f t="shared" si="1"/>
        <v>-1</v>
      </c>
      <c r="K31" s="500">
        <f t="shared" si="2"/>
        <v>17323472.668374002</v>
      </c>
      <c r="L31" s="500">
        <f t="shared" si="3"/>
        <v>0</v>
      </c>
    </row>
    <row r="32" spans="2:12" x14ac:dyDescent="0.25">
      <c r="B32" s="831"/>
      <c r="C32" s="731"/>
      <c r="D32" s="293" t="s">
        <v>729</v>
      </c>
      <c r="E32" s="490">
        <f>'BG-AV'!E32</f>
        <v>42280484.279035605</v>
      </c>
      <c r="F32" s="490">
        <f>'BG-AV'!F32</f>
        <v>33026603.457045089</v>
      </c>
      <c r="G32" s="490">
        <f>'BG-AV'!G32</f>
        <v>16603364.795081198</v>
      </c>
      <c r="H32" s="555">
        <f>'BG-AV'!H32</f>
        <v>17323472.668374006</v>
      </c>
      <c r="I32" s="554">
        <f t="shared" si="0"/>
        <v>-16423238.661963891</v>
      </c>
      <c r="J32" s="500">
        <f t="shared" si="1"/>
        <v>-0.49727301456609696</v>
      </c>
      <c r="K32" s="500">
        <f t="shared" si="2"/>
        <v>720107.87329280749</v>
      </c>
      <c r="L32" s="500">
        <f t="shared" si="3"/>
        <v>4.3371201089681621E-2</v>
      </c>
    </row>
    <row r="33" spans="2:12" ht="15.75" customHeight="1" thickBot="1" x14ac:dyDescent="0.3">
      <c r="B33" s="832"/>
      <c r="C33" s="834" t="s">
        <v>730</v>
      </c>
      <c r="D33" s="835"/>
      <c r="E33" s="490">
        <f>'BG-AV'!E33</f>
        <v>42280484.279035605</v>
      </c>
      <c r="F33" s="490">
        <f>'BG-AV'!F33</f>
        <v>50568608.80034478</v>
      </c>
      <c r="G33" s="490">
        <f>'BG-AV'!G33</f>
        <v>47498698.201921597</v>
      </c>
      <c r="H33" s="555">
        <f>'BG-AV'!H33</f>
        <v>49481703.041591421</v>
      </c>
      <c r="I33" s="554">
        <f t="shared" si="0"/>
        <v>-3069910.598423183</v>
      </c>
      <c r="J33" s="500">
        <f t="shared" si="1"/>
        <v>-6.0707831820009495E-2</v>
      </c>
      <c r="K33" s="500">
        <f t="shared" si="2"/>
        <v>1983004.8396698236</v>
      </c>
      <c r="L33" s="500">
        <f t="shared" si="3"/>
        <v>4.1748614482861823E-2</v>
      </c>
    </row>
    <row r="34" spans="2:12" ht="15" customHeight="1" x14ac:dyDescent="0.25">
      <c r="B34" s="842" t="s">
        <v>731</v>
      </c>
      <c r="C34" s="843"/>
      <c r="D34" s="294" t="s">
        <v>732</v>
      </c>
      <c r="E34" s="57">
        <f>'BG-AV'!E34</f>
        <v>7461261.9315945189</v>
      </c>
      <c r="F34" s="57">
        <f>'BG-AV'!F34</f>
        <v>0</v>
      </c>
      <c r="G34" s="57">
        <f>'BG-AV'!G34</f>
        <v>0</v>
      </c>
      <c r="H34" s="552">
        <f>'BG-AV'!H34</f>
        <v>0</v>
      </c>
      <c r="I34" s="554">
        <f t="shared" si="0"/>
        <v>0</v>
      </c>
      <c r="J34" s="500">
        <f t="shared" si="1"/>
        <v>0</v>
      </c>
      <c r="K34" s="500">
        <f t="shared" si="2"/>
        <v>0</v>
      </c>
      <c r="L34" s="500">
        <f t="shared" si="3"/>
        <v>0</v>
      </c>
    </row>
    <row r="35" spans="2:12" ht="17.25" customHeight="1" x14ac:dyDescent="0.25">
      <c r="B35" s="844"/>
      <c r="C35" s="845"/>
      <c r="D35" s="295" t="s">
        <v>733</v>
      </c>
      <c r="E35" s="57">
        <f>'BG-AV'!E35</f>
        <v>0</v>
      </c>
      <c r="F35" s="57">
        <f>'BG-AV'!F35</f>
        <v>13364103.302146524</v>
      </c>
      <c r="G35" s="57">
        <f>'BG-AV'!G35</f>
        <v>13656057.141226947</v>
      </c>
      <c r="H35" s="552">
        <f>'BG-AV'!H35</f>
        <v>14375547.135268986</v>
      </c>
      <c r="I35" s="554">
        <f t="shared" si="0"/>
        <v>291953.83908042312</v>
      </c>
      <c r="J35" s="500">
        <f t="shared" si="1"/>
        <v>2.1846122592716677E-2</v>
      </c>
      <c r="K35" s="500">
        <f t="shared" si="2"/>
        <v>719489.99404203892</v>
      </c>
      <c r="L35" s="500">
        <f t="shared" si="3"/>
        <v>5.2686510213107995E-2</v>
      </c>
    </row>
    <row r="36" spans="2:12" ht="15.75" customHeight="1" x14ac:dyDescent="0.25">
      <c r="B36" s="844"/>
      <c r="C36" s="845"/>
      <c r="D36" s="295" t="s">
        <v>734</v>
      </c>
      <c r="E36" s="57">
        <f>'BG-AV'!E36</f>
        <v>0</v>
      </c>
      <c r="F36" s="57">
        <f>'BG-AV'!F36</f>
        <v>20497532.058286101</v>
      </c>
      <c r="G36" s="57">
        <f>'BG-AV'!G36</f>
        <v>21123457.758060262</v>
      </c>
      <c r="H36" s="552">
        <f>'BG-AV'!H36</f>
        <v>25281561.202882528</v>
      </c>
      <c r="I36" s="554">
        <f t="shared" si="0"/>
        <v>625925.69977416098</v>
      </c>
      <c r="J36" s="500">
        <f t="shared" si="1"/>
        <v>3.0536637190970106E-2</v>
      </c>
      <c r="K36" s="500">
        <f t="shared" si="2"/>
        <v>4158103.4448222667</v>
      </c>
      <c r="L36" s="500">
        <f t="shared" si="3"/>
        <v>0.19684767013277571</v>
      </c>
    </row>
    <row r="37" spans="2:12" ht="15.75" customHeight="1" x14ac:dyDescent="0.25">
      <c r="B37" s="844"/>
      <c r="C37" s="845"/>
      <c r="D37" s="295" t="s">
        <v>735</v>
      </c>
      <c r="E37" s="57">
        <f>'BG-AV'!E37</f>
        <v>0</v>
      </c>
      <c r="F37" s="57">
        <f>'BG-AV'!F37</f>
        <v>0</v>
      </c>
      <c r="G37" s="57">
        <f>'BG-AV'!G37</f>
        <v>20497532.058286101</v>
      </c>
      <c r="H37" s="552">
        <f>'BG-AV'!H37</f>
        <v>21123457.758060262</v>
      </c>
      <c r="I37" s="554">
        <f t="shared" si="0"/>
        <v>20497532.058286101</v>
      </c>
      <c r="J37" s="500">
        <f t="shared" si="1"/>
        <v>0</v>
      </c>
      <c r="K37" s="500">
        <f t="shared" si="2"/>
        <v>625925.69977416098</v>
      </c>
      <c r="L37" s="500">
        <f t="shared" si="3"/>
        <v>3.0536637190970106E-2</v>
      </c>
    </row>
    <row r="38" spans="2:12" ht="18" customHeight="1" x14ac:dyDescent="0.25">
      <c r="B38" s="844"/>
      <c r="C38" s="845"/>
      <c r="D38" s="377" t="s">
        <v>736</v>
      </c>
      <c r="E38" s="57">
        <f>'BG-AV'!E38</f>
        <v>0</v>
      </c>
      <c r="F38" s="57">
        <f>'BG-AV'!F38</f>
        <v>2277503.5620317892</v>
      </c>
      <c r="G38" s="57">
        <f>'BG-AV'!G38</f>
        <v>2347050.8620066955</v>
      </c>
      <c r="H38" s="552">
        <f>'BG-AV'!H38</f>
        <v>2809062.3558758367</v>
      </c>
      <c r="I38" s="554">
        <f t="shared" si="0"/>
        <v>69547.299974906258</v>
      </c>
      <c r="J38" s="500">
        <f t="shared" si="1"/>
        <v>3.0536637190969884E-2</v>
      </c>
      <c r="K38" s="500">
        <f t="shared" si="2"/>
        <v>462011.49386914121</v>
      </c>
      <c r="L38" s="500">
        <f t="shared" si="3"/>
        <v>0.19684767013277593</v>
      </c>
    </row>
    <row r="39" spans="2:12" ht="15.75" customHeight="1" thickBot="1" x14ac:dyDescent="0.3">
      <c r="B39" s="846"/>
      <c r="C39" s="847"/>
      <c r="D39" s="378" t="s">
        <v>737</v>
      </c>
      <c r="E39" s="490">
        <f>'BG-AV'!E39</f>
        <v>7461261.9315945189</v>
      </c>
      <c r="F39" s="490">
        <f>'BG-AV'!F39</f>
        <v>36139138.922464415</v>
      </c>
      <c r="G39" s="490">
        <f>'BG-AV'!G39</f>
        <v>57624097.819580004</v>
      </c>
      <c r="H39" s="555">
        <f>'BG-AV'!H39</f>
        <v>63589628.452087611</v>
      </c>
      <c r="I39" s="554">
        <f t="shared" si="0"/>
        <v>21484958.897115588</v>
      </c>
      <c r="J39" s="500">
        <f t="shared" si="1"/>
        <v>0.59450666334942315</v>
      </c>
      <c r="K39" s="500">
        <f t="shared" si="2"/>
        <v>5965530.6325076073</v>
      </c>
      <c r="L39" s="500">
        <f t="shared" si="3"/>
        <v>0.10352492894874588</v>
      </c>
    </row>
    <row r="40" spans="2:12" ht="15.75" customHeight="1" x14ac:dyDescent="0.25">
      <c r="B40" s="825" t="s">
        <v>738</v>
      </c>
      <c r="C40" s="826"/>
      <c r="D40" s="826"/>
      <c r="E40" s="57">
        <f>'BG-AV'!E40</f>
        <v>49741746.210630126</v>
      </c>
      <c r="F40" s="57">
        <f>'BG-AV'!F40</f>
        <v>86707747.722809196</v>
      </c>
      <c r="G40" s="57">
        <f>'BG-AV'!G40</f>
        <v>105122796.0215016</v>
      </c>
      <c r="H40" s="552">
        <f>'BG-AV'!H40</f>
        <v>113071331.49367903</v>
      </c>
    </row>
    <row r="41" spans="2:12" ht="15.75" customHeight="1" x14ac:dyDescent="0.25">
      <c r="B41" s="827" t="s">
        <v>699</v>
      </c>
      <c r="C41" s="707"/>
      <c r="D41" s="707"/>
      <c r="E41" s="57">
        <f>'BG-AV'!E41</f>
        <v>49741746.210630126</v>
      </c>
      <c r="F41" s="57">
        <f>'BG-AV'!F41</f>
        <v>86707747.722809196</v>
      </c>
      <c r="G41" s="57">
        <f>'BG-AV'!G41</f>
        <v>105122796.0215016</v>
      </c>
      <c r="H41" s="552">
        <f>'BG-AV'!H41</f>
        <v>113071331.49367903</v>
      </c>
    </row>
    <row r="42" spans="2:12" ht="15.75" customHeight="1" thickBot="1" x14ac:dyDescent="0.3">
      <c r="B42" s="828" t="s">
        <v>739</v>
      </c>
      <c r="C42" s="829"/>
      <c r="D42" s="829"/>
      <c r="E42" s="375">
        <f>E41-E40</f>
        <v>0</v>
      </c>
      <c r="F42" s="375">
        <f>F41-F40</f>
        <v>0</v>
      </c>
      <c r="G42" s="375">
        <f>G41-G40</f>
        <v>0</v>
      </c>
      <c r="H42" s="376">
        <f>H41-H40</f>
        <v>0</v>
      </c>
      <c r="I42" s="163"/>
      <c r="J42" s="163"/>
      <c r="K42" s="163"/>
    </row>
  </sheetData>
  <mergeCells count="16">
    <mergeCell ref="B41:D41"/>
    <mergeCell ref="B42:D42"/>
    <mergeCell ref="B20:B33"/>
    <mergeCell ref="C20:C28"/>
    <mergeCell ref="C29:C32"/>
    <mergeCell ref="C33:D33"/>
    <mergeCell ref="C19:D19"/>
    <mergeCell ref="B34:C39"/>
    <mergeCell ref="I4:J5"/>
    <mergeCell ref="K4:L5"/>
    <mergeCell ref="B40:D40"/>
    <mergeCell ref="B5:H5"/>
    <mergeCell ref="B6:D6"/>
    <mergeCell ref="B7:B19"/>
    <mergeCell ref="C7:C11"/>
    <mergeCell ref="C12:C17"/>
  </mergeCells>
  <conditionalFormatting sqref="E42:H42">
    <cfRule type="cellIs" dxfId="39" priority="28" operator="equal">
      <formula>0</formula>
    </cfRule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52A83-C7BB-4E06-9A2B-F5AB8CA10D2D}">
  <dimension ref="B2:P14"/>
  <sheetViews>
    <sheetView showGridLines="0" workbookViewId="0">
      <selection activeCell="H7" sqref="H7:H8"/>
    </sheetView>
  </sheetViews>
  <sheetFormatPr baseColWidth="10" defaultColWidth="9" defaultRowHeight="17.25" x14ac:dyDescent="0.35"/>
  <cols>
    <col min="2" max="2" width="13.75" customWidth="1"/>
    <col min="3" max="4" width="19.875" customWidth="1"/>
    <col min="5" max="7" width="15.875" customWidth="1"/>
    <col min="8" max="10" width="14" bestFit="1" customWidth="1"/>
    <col min="11" max="12" width="0" hidden="1" customWidth="1"/>
    <col min="13" max="16" width="12.875" hidden="1" customWidth="1"/>
  </cols>
  <sheetData>
    <row r="2" spans="2:16" x14ac:dyDescent="0.35">
      <c r="B2" s="858" t="s">
        <v>749</v>
      </c>
      <c r="C2" s="858"/>
      <c r="D2" s="858"/>
      <c r="E2" s="858"/>
      <c r="F2" s="858"/>
      <c r="G2" s="858"/>
      <c r="H2" s="858"/>
      <c r="I2" s="858"/>
      <c r="J2" s="858"/>
      <c r="K2" s="858"/>
      <c r="L2" s="858"/>
      <c r="M2" s="858"/>
      <c r="N2" s="858"/>
      <c r="O2" s="858"/>
      <c r="P2" s="858"/>
    </row>
    <row r="3" spans="2:16" x14ac:dyDescent="0.35">
      <c r="B3" s="858" t="s">
        <v>750</v>
      </c>
      <c r="C3" s="858"/>
      <c r="D3" s="858"/>
      <c r="E3" s="850" t="s">
        <v>751</v>
      </c>
      <c r="F3" s="850"/>
      <c r="G3" s="850"/>
      <c r="H3" s="536">
        <v>2022</v>
      </c>
      <c r="I3" s="536">
        <v>2023</v>
      </c>
      <c r="J3" s="536">
        <v>2024</v>
      </c>
      <c r="K3" s="858" t="s">
        <v>752</v>
      </c>
      <c r="L3" s="858"/>
      <c r="M3" s="858"/>
      <c r="N3" s="858"/>
      <c r="O3" s="858"/>
      <c r="P3" s="858"/>
    </row>
    <row r="4" spans="2:16" x14ac:dyDescent="0.35">
      <c r="B4" s="850" t="s">
        <v>753</v>
      </c>
      <c r="C4" s="852" t="s">
        <v>754</v>
      </c>
      <c r="D4" s="852"/>
      <c r="E4" s="848" t="s">
        <v>755</v>
      </c>
      <c r="F4" s="848"/>
      <c r="G4" s="848"/>
      <c r="H4" s="297">
        <f>'BG-AV'!F11/'BG-AV'!F28</f>
        <v>4.6993146421709433</v>
      </c>
      <c r="I4" s="297">
        <f>'BG-AV'!G11/'BG-AV'!G28</f>
        <v>3.0488789710790702</v>
      </c>
      <c r="J4" s="297">
        <f>'BG-AV'!H11/'BG-AV'!H28</f>
        <v>3.3837339776104147</v>
      </c>
      <c r="K4" s="859" t="s">
        <v>756</v>
      </c>
      <c r="L4" s="859"/>
      <c r="M4" s="853" t="s">
        <v>757</v>
      </c>
      <c r="N4" s="853"/>
      <c r="O4" s="853"/>
      <c r="P4" s="853"/>
    </row>
    <row r="5" spans="2:16" ht="28.5" customHeight="1" x14ac:dyDescent="0.35">
      <c r="B5" s="850"/>
      <c r="C5" s="852" t="s">
        <v>758</v>
      </c>
      <c r="D5" s="852"/>
      <c r="E5" s="848" t="s">
        <v>759</v>
      </c>
      <c r="F5" s="848"/>
      <c r="G5" s="848"/>
      <c r="H5" s="297">
        <f>('BG-AV'!F11-'BG-AV'!F9)/'BG-AV'!F33</f>
        <v>1.5589790669161474</v>
      </c>
      <c r="I5" s="297">
        <f>('BG-AV'!G11-'BG-AV'!G9)/'BG-AV'!G33</f>
        <v>1.9048154866048956</v>
      </c>
      <c r="J5" s="297">
        <f>('BG-AV'!H11-'BG-AV'!H9)/'BG-AV'!H33</f>
        <v>2.1214876868568275</v>
      </c>
      <c r="K5" s="859"/>
      <c r="L5" s="859"/>
      <c r="M5" s="853" t="s">
        <v>760</v>
      </c>
      <c r="N5" s="853"/>
      <c r="O5" s="853"/>
      <c r="P5" s="853"/>
    </row>
    <row r="6" spans="2:16" ht="24.75" customHeight="1" x14ac:dyDescent="0.35">
      <c r="B6" s="850"/>
      <c r="C6" s="852" t="s">
        <v>761</v>
      </c>
      <c r="D6" s="852"/>
      <c r="E6" s="848" t="s">
        <v>762</v>
      </c>
      <c r="F6" s="848"/>
      <c r="G6" s="848"/>
      <c r="H6" s="58">
        <f>'BG-AV'!F11-'BG-AV'!F28</f>
        <v>64893397.21950949</v>
      </c>
      <c r="I6" s="58">
        <f>'BG-AV'!G11-'BG-AV'!G28</f>
        <v>63300798.921751976</v>
      </c>
      <c r="J6" s="58">
        <f>'BG-AV'!H11-'BG-AV'!H28</f>
        <v>76656666.400461614</v>
      </c>
      <c r="K6" s="859"/>
      <c r="L6" s="859"/>
      <c r="M6" s="853" t="s">
        <v>763</v>
      </c>
      <c r="N6" s="853"/>
      <c r="O6" s="853"/>
      <c r="P6" s="853"/>
    </row>
    <row r="7" spans="2:16" ht="25.5" x14ac:dyDescent="0.35">
      <c r="B7" s="850"/>
      <c r="C7" s="852" t="s">
        <v>764</v>
      </c>
      <c r="D7" s="852"/>
      <c r="E7" s="854" t="s">
        <v>765</v>
      </c>
      <c r="F7" s="854"/>
      <c r="G7" s="854"/>
      <c r="H7" s="855">
        <f>PresIngresos!P12/H6</f>
        <v>3.1497936655779331</v>
      </c>
      <c r="I7" s="855">
        <f>PresIngresos!Q12/I6</f>
        <v>3.2995819996538382</v>
      </c>
      <c r="J7" s="855">
        <f>PresIngresos!R12/J6</f>
        <v>2.8682516076088072</v>
      </c>
      <c r="K7" s="538" t="s">
        <v>766</v>
      </c>
      <c r="L7" s="298">
        <f>H7</f>
        <v>3.1497936655779331</v>
      </c>
      <c r="M7" s="853" t="s">
        <v>767</v>
      </c>
      <c r="N7" s="853"/>
      <c r="O7" s="853"/>
      <c r="P7" s="853"/>
    </row>
    <row r="8" spans="2:16" ht="25.5" x14ac:dyDescent="0.35">
      <c r="B8" s="850"/>
      <c r="C8" s="852"/>
      <c r="D8" s="852"/>
      <c r="E8" s="854"/>
      <c r="F8" s="854"/>
      <c r="G8" s="854"/>
      <c r="H8" s="856"/>
      <c r="I8" s="856"/>
      <c r="J8" s="856"/>
      <c r="K8" s="538" t="s">
        <v>768</v>
      </c>
      <c r="L8" s="298">
        <f>10-L7</f>
        <v>6.8502063344220669</v>
      </c>
      <c r="M8" s="857" t="s">
        <v>769</v>
      </c>
      <c r="N8" s="857"/>
      <c r="O8" s="857"/>
      <c r="P8" s="857"/>
    </row>
    <row r="9" spans="2:16" ht="27.75" customHeight="1" x14ac:dyDescent="0.35">
      <c r="B9" s="850"/>
      <c r="C9" s="852" t="s">
        <v>770</v>
      </c>
      <c r="D9" s="852"/>
      <c r="E9" s="854" t="s">
        <v>771</v>
      </c>
      <c r="F9" s="854"/>
      <c r="G9" s="854"/>
      <c r="H9" s="58">
        <f>CashFlow!S55</f>
        <v>45377122.667044044</v>
      </c>
      <c r="I9" s="58">
        <f>CashFlow!T55</f>
        <v>75054055.930222571</v>
      </c>
      <c r="J9" s="58">
        <f>CashFlow!U55</f>
        <v>88636895.639792293</v>
      </c>
      <c r="K9" s="849" t="s">
        <v>772</v>
      </c>
      <c r="L9" s="849"/>
      <c r="M9" s="849"/>
      <c r="N9" s="849"/>
      <c r="O9" s="849"/>
      <c r="P9" s="849"/>
    </row>
    <row r="10" spans="2:16" ht="27.75" customHeight="1" x14ac:dyDescent="0.35">
      <c r="B10" s="850" t="s">
        <v>773</v>
      </c>
      <c r="C10" s="852" t="s">
        <v>774</v>
      </c>
      <c r="D10" s="852"/>
      <c r="E10" s="848" t="s">
        <v>775</v>
      </c>
      <c r="F10" s="848"/>
      <c r="G10" s="848"/>
      <c r="H10" s="537">
        <f>'BG-AV'!F33/'BG-AV'!F41</f>
        <v>0.58320750023405676</v>
      </c>
      <c r="I10" s="537">
        <f>'BG-AV'!G33/'BG-AV'!G41</f>
        <v>0.45184013363006736</v>
      </c>
      <c r="J10" s="537">
        <f>'BG-AV'!H33/'BG-AV'!H41</f>
        <v>0.43761493198970219</v>
      </c>
      <c r="K10" s="849" t="s">
        <v>776</v>
      </c>
      <c r="L10" s="849"/>
      <c r="M10" s="849"/>
      <c r="N10" s="849"/>
      <c r="O10" s="849"/>
      <c r="P10" s="849"/>
    </row>
    <row r="11" spans="2:16" ht="23.25" customHeight="1" x14ac:dyDescent="0.35">
      <c r="B11" s="850"/>
      <c r="C11" s="852" t="s">
        <v>777</v>
      </c>
      <c r="D11" s="852"/>
      <c r="E11" s="848" t="s">
        <v>778</v>
      </c>
      <c r="F11" s="848"/>
      <c r="G11" s="848"/>
      <c r="H11" s="297">
        <f>'BG-AV'!F41/'BG-AV'!F33</f>
        <v>1.7146555893034181</v>
      </c>
      <c r="I11" s="297">
        <f>'BG-AV'!G41/'BG-AV'!G33</f>
        <v>2.2131721499948136</v>
      </c>
      <c r="J11" s="297">
        <f>'BG-AV'!H41/'BG-AV'!H33</f>
        <v>2.2851139824075557</v>
      </c>
      <c r="K11" s="849" t="s">
        <v>779</v>
      </c>
      <c r="L11" s="849"/>
      <c r="M11" s="849"/>
      <c r="N11" s="849"/>
      <c r="O11" s="849"/>
      <c r="P11" s="849"/>
    </row>
    <row r="12" spans="2:16" ht="26.25" customHeight="1" x14ac:dyDescent="0.35">
      <c r="B12" s="850" t="s">
        <v>780</v>
      </c>
      <c r="C12" s="852" t="s">
        <v>781</v>
      </c>
      <c r="D12" s="852"/>
      <c r="E12" s="848" t="s">
        <v>782</v>
      </c>
      <c r="F12" s="848"/>
      <c r="G12" s="848"/>
      <c r="H12" s="297">
        <f>EstadoResult!D15/EstadoResult!D7</f>
        <v>0.17038486670129527</v>
      </c>
      <c r="I12" s="297">
        <f>EstadoResult!E15/EstadoResult!E7</f>
        <v>0.16285657363903877</v>
      </c>
      <c r="J12" s="297">
        <f>EstadoResult!F15/EstadoResult!F7</f>
        <v>0.18515912271568005</v>
      </c>
      <c r="K12" s="849" t="s">
        <v>783</v>
      </c>
      <c r="L12" s="849"/>
      <c r="M12" s="849"/>
      <c r="N12" s="849"/>
      <c r="O12" s="849"/>
      <c r="P12" s="849"/>
    </row>
    <row r="13" spans="2:16" ht="23.25" customHeight="1" x14ac:dyDescent="0.35">
      <c r="B13" s="851"/>
      <c r="C13" s="852" t="s">
        <v>784</v>
      </c>
      <c r="D13" s="852"/>
      <c r="E13" s="848" t="s">
        <v>785</v>
      </c>
      <c r="F13" s="848"/>
      <c r="G13" s="848"/>
      <c r="H13" s="297">
        <f>EstadoResult!D17/EstadoResult!D7</f>
        <v>0.11756555802389373</v>
      </c>
      <c r="I13" s="297">
        <f>EstadoResult!E17/EstadoResult!E7</f>
        <v>0.11237103581093677</v>
      </c>
      <c r="J13" s="297">
        <f>EstadoResult!F17/EstadoResult!F7</f>
        <v>0.12775979467381923</v>
      </c>
      <c r="K13" s="849" t="s">
        <v>786</v>
      </c>
      <c r="L13" s="849"/>
      <c r="M13" s="849"/>
      <c r="N13" s="849"/>
      <c r="O13" s="849"/>
      <c r="P13" s="849"/>
    </row>
    <row r="14" spans="2:16" ht="22.5" customHeight="1" x14ac:dyDescent="0.35">
      <c r="B14" s="851"/>
      <c r="C14" s="852" t="s">
        <v>787</v>
      </c>
      <c r="D14" s="852"/>
      <c r="E14" s="848" t="s">
        <v>788</v>
      </c>
      <c r="F14" s="848"/>
      <c r="G14" s="848"/>
      <c r="H14" s="297">
        <f>EstadoResult!D17/'BG-AV'!F41</f>
        <v>0.26266436643154473</v>
      </c>
      <c r="I14" s="297">
        <f>EstadoResult!E17/'BG-AV'!G41</f>
        <v>0.22326754527406545</v>
      </c>
      <c r="J14" s="297">
        <f>EstadoResult!F17/'BG-AV'!H41</f>
        <v>0.24843276529673397</v>
      </c>
      <c r="K14" s="849" t="s">
        <v>789</v>
      </c>
      <c r="L14" s="849"/>
      <c r="M14" s="849"/>
      <c r="N14" s="849"/>
      <c r="O14" s="849"/>
      <c r="P14" s="849"/>
    </row>
  </sheetData>
  <mergeCells count="42">
    <mergeCell ref="B2:P2"/>
    <mergeCell ref="B3:D3"/>
    <mergeCell ref="E3:G3"/>
    <mergeCell ref="K3:P3"/>
    <mergeCell ref="B4:B9"/>
    <mergeCell ref="C4:D4"/>
    <mergeCell ref="E4:G4"/>
    <mergeCell ref="K4:L6"/>
    <mergeCell ref="M4:P4"/>
    <mergeCell ref="C5:D5"/>
    <mergeCell ref="C11:D11"/>
    <mergeCell ref="E5:G5"/>
    <mergeCell ref="M5:P5"/>
    <mergeCell ref="C6:D6"/>
    <mergeCell ref="E6:G6"/>
    <mergeCell ref="M6:P6"/>
    <mergeCell ref="C7:D8"/>
    <mergeCell ref="E7:G8"/>
    <mergeCell ref="H7:H8"/>
    <mergeCell ref="I7:I8"/>
    <mergeCell ref="J7:J8"/>
    <mergeCell ref="M7:P7"/>
    <mergeCell ref="M8:P8"/>
    <mergeCell ref="C9:D9"/>
    <mergeCell ref="E9:G9"/>
    <mergeCell ref="K9:P9"/>
    <mergeCell ref="E14:G14"/>
    <mergeCell ref="K14:P14"/>
    <mergeCell ref="E11:G11"/>
    <mergeCell ref="K11:P11"/>
    <mergeCell ref="B12:B14"/>
    <mergeCell ref="C12:D12"/>
    <mergeCell ref="E12:G12"/>
    <mergeCell ref="K12:P12"/>
    <mergeCell ref="C13:D13"/>
    <mergeCell ref="E13:G13"/>
    <mergeCell ref="K13:P13"/>
    <mergeCell ref="C14:D14"/>
    <mergeCell ref="B10:B11"/>
    <mergeCell ref="C10:D10"/>
    <mergeCell ref="E10:G10"/>
    <mergeCell ref="K10:P10"/>
  </mergeCells>
  <conditionalFormatting sqref="H4:J4">
    <cfRule type="cellIs" dxfId="38" priority="48" operator="between">
      <formula>1</formula>
      <formula>1.5</formula>
    </cfRule>
    <cfRule type="cellIs" dxfId="37" priority="49" operator="lessThan">
      <formula>1</formula>
    </cfRule>
    <cfRule type="cellIs" dxfId="36" priority="50" operator="greaterThan">
      <formula>1.5</formula>
    </cfRule>
  </conditionalFormatting>
  <conditionalFormatting sqref="H5:J5">
    <cfRule type="cellIs" dxfId="35" priority="31" operator="between">
      <formula>1</formula>
      <formula>1.2</formula>
    </cfRule>
    <cfRule type="cellIs" dxfId="34" priority="32" operator="lessThan">
      <formula>1</formula>
    </cfRule>
    <cfRule type="cellIs" dxfId="33" priority="33" operator="greaterThan">
      <formula>1.2</formula>
    </cfRule>
  </conditionalFormatting>
  <conditionalFormatting sqref="H7:J7">
    <cfRule type="cellIs" dxfId="32" priority="28" operator="greaterThan">
      <formula>2</formula>
    </cfRule>
    <cfRule type="cellIs" dxfId="31" priority="29" operator="lessThan">
      <formula>1</formula>
    </cfRule>
    <cfRule type="cellIs" dxfId="30" priority="30" operator="notBetween">
      <formula>1</formula>
      <formula>2</formula>
    </cfRule>
  </conditionalFormatting>
  <conditionalFormatting sqref="H11:J11">
    <cfRule type="cellIs" dxfId="29" priority="16" operator="greaterThan">
      <formula>2.5</formula>
    </cfRule>
    <cfRule type="cellIs" dxfId="28" priority="17" operator="lessThan">
      <formula>1.5</formula>
    </cfRule>
    <cfRule type="cellIs" dxfId="27" priority="18" operator="between">
      <formula>1.5</formula>
      <formula>2.5</formula>
    </cfRule>
  </conditionalFormatting>
  <conditionalFormatting sqref="H12:J12">
    <cfRule type="cellIs" dxfId="26" priority="13" operator="between">
      <formula>0</formula>
      <formula>0.1</formula>
    </cfRule>
    <cfRule type="cellIs" dxfId="25" priority="14" operator="lessThan">
      <formula>0</formula>
    </cfRule>
    <cfRule type="cellIs" dxfId="24" priority="15" operator="greaterThan">
      <formula>0.1</formula>
    </cfRule>
  </conditionalFormatting>
  <conditionalFormatting sqref="H13:J13">
    <cfRule type="cellIs" dxfId="23" priority="10" operator="between">
      <formula>0.05</formula>
      <formula>0.15</formula>
    </cfRule>
    <cfRule type="cellIs" dxfId="22" priority="11" operator="lessThan">
      <formula>0.05</formula>
    </cfRule>
    <cfRule type="cellIs" dxfId="21" priority="12" operator="greaterThan">
      <formula>0.15</formula>
    </cfRule>
  </conditionalFormatting>
  <conditionalFormatting sqref="H14:J14">
    <cfRule type="cellIs" dxfId="20" priority="7" operator="between">
      <formula>0.05</formula>
      <formula>0.25</formula>
    </cfRule>
    <cfRule type="cellIs" dxfId="19" priority="8" operator="lessThan">
      <formula>0.05</formula>
    </cfRule>
    <cfRule type="cellIs" dxfId="18" priority="9" operator="greaterThan">
      <formula>0.25</formula>
    </cfRule>
  </conditionalFormatting>
  <conditionalFormatting sqref="H10:J10">
    <cfRule type="cellIs" dxfId="17" priority="1" operator="lessThan">
      <formula>0.4</formula>
    </cfRule>
    <cfRule type="cellIs" dxfId="16" priority="2" operator="greaterThan">
      <formula>0.6</formula>
    </cfRule>
    <cfRule type="cellIs" dxfId="15" priority="3" operator="between">
      <formula>0.4</formula>
      <formula>0.6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106"/>
  <sheetViews>
    <sheetView showGridLines="0" topLeftCell="A73" zoomScaleNormal="100" workbookViewId="0">
      <selection activeCell="J30" sqref="J30"/>
    </sheetView>
  </sheetViews>
  <sheetFormatPr baseColWidth="10" defaultColWidth="11.5" defaultRowHeight="12.75" x14ac:dyDescent="0.2"/>
  <cols>
    <col min="1" max="1" width="12.875" style="67" bestFit="1" customWidth="1"/>
    <col min="2" max="2" width="20.375" style="67" customWidth="1"/>
    <col min="3" max="3" width="14.375" style="67" customWidth="1"/>
    <col min="4" max="4" width="27.5" style="67" bestFit="1" customWidth="1"/>
    <col min="5" max="5" width="17.375" style="67" customWidth="1"/>
    <col min="6" max="8" width="15" style="67" customWidth="1"/>
    <col min="9" max="9" width="12.5" style="67" customWidth="1"/>
    <col min="10" max="10" width="15.875" style="67" bestFit="1" customWidth="1"/>
    <col min="11" max="15" width="11.5" style="67"/>
    <col min="16" max="16" width="24.125" style="67" bestFit="1" customWidth="1"/>
    <col min="17" max="17" width="11.125" style="67" customWidth="1"/>
    <col min="18" max="16384" width="11.5" style="67"/>
  </cols>
  <sheetData>
    <row r="1" spans="2:8" x14ac:dyDescent="0.2">
      <c r="B1" s="916" t="s">
        <v>790</v>
      </c>
      <c r="C1" s="916"/>
      <c r="D1" s="916"/>
    </row>
    <row r="2" spans="2:8" ht="13.5" thickBot="1" x14ac:dyDescent="0.25"/>
    <row r="3" spans="2:8" x14ac:dyDescent="0.2">
      <c r="B3" s="917" t="s">
        <v>791</v>
      </c>
      <c r="C3" s="918"/>
      <c r="D3" s="918"/>
      <c r="E3" s="918"/>
      <c r="F3" s="918"/>
      <c r="G3" s="918"/>
      <c r="H3" s="919"/>
    </row>
    <row r="4" spans="2:8" ht="13.5" thickBot="1" x14ac:dyDescent="0.25">
      <c r="B4" s="920" t="s">
        <v>205</v>
      </c>
      <c r="C4" s="921"/>
      <c r="D4" s="921"/>
      <c r="E4" s="189" t="s">
        <v>253</v>
      </c>
      <c r="F4" s="190" t="s">
        <v>232</v>
      </c>
      <c r="G4" s="189" t="s">
        <v>233</v>
      </c>
      <c r="H4" s="189" t="s">
        <v>215</v>
      </c>
    </row>
    <row r="5" spans="2:8" x14ac:dyDescent="0.2">
      <c r="B5" s="922" t="s">
        <v>792</v>
      </c>
      <c r="C5" s="923"/>
      <c r="D5" s="924"/>
      <c r="E5" s="326">
        <v>0</v>
      </c>
      <c r="F5" s="167">
        <f>EstadoResult!D19</f>
        <v>20497532.058286101</v>
      </c>
      <c r="G5" s="167">
        <f>EstadoResult!E19</f>
        <v>21123457.758060262</v>
      </c>
      <c r="H5" s="321">
        <f>EstadoResult!F19</f>
        <v>25281561.202882528</v>
      </c>
    </row>
    <row r="6" spans="2:8" x14ac:dyDescent="0.2">
      <c r="B6" s="913" t="s">
        <v>793</v>
      </c>
      <c r="C6" s="914"/>
      <c r="D6" s="915"/>
      <c r="E6" s="322">
        <f>InvTotal!D12</f>
        <v>7461261.9315945189</v>
      </c>
      <c r="F6" s="68">
        <f>'BG-AV'!F34</f>
        <v>0</v>
      </c>
      <c r="G6" s="68">
        <f>'BG-AV'!G34</f>
        <v>0</v>
      </c>
      <c r="H6" s="322">
        <f>'BG-AV'!H34</f>
        <v>0</v>
      </c>
    </row>
    <row r="7" spans="2:8" x14ac:dyDescent="0.2">
      <c r="B7" s="913" t="s">
        <v>794</v>
      </c>
      <c r="C7" s="914"/>
      <c r="D7" s="915"/>
      <c r="E7" s="322">
        <f>InvTotal!D13</f>
        <v>42280484.279035605</v>
      </c>
      <c r="F7" s="68"/>
      <c r="G7" s="68"/>
      <c r="H7" s="322"/>
    </row>
    <row r="8" spans="2:8" ht="13.5" thickBot="1" x14ac:dyDescent="0.25">
      <c r="B8" s="906" t="s">
        <v>795</v>
      </c>
      <c r="C8" s="907"/>
      <c r="D8" s="908"/>
      <c r="E8" s="323">
        <f>E6+E7</f>
        <v>49741746.210630126</v>
      </c>
      <c r="F8" s="69">
        <f>F6+F7</f>
        <v>0</v>
      </c>
      <c r="G8" s="69">
        <f>G6+G7</f>
        <v>0</v>
      </c>
      <c r="H8" s="323">
        <f>H6+H7</f>
        <v>0</v>
      </c>
    </row>
    <row r="9" spans="2:8" x14ac:dyDescent="0.2">
      <c r="B9" s="909" t="s">
        <v>796</v>
      </c>
      <c r="C9" s="910"/>
      <c r="D9" s="911"/>
      <c r="E9" s="324">
        <f>E5-E8</f>
        <v>-49741746.210630126</v>
      </c>
      <c r="F9" s="325">
        <f>F5-F8</f>
        <v>20497532.058286101</v>
      </c>
      <c r="G9" s="70">
        <f t="shared" ref="G9:H9" si="0">G5-G8</f>
        <v>21123457.758060262</v>
      </c>
      <c r="H9" s="324">
        <f t="shared" si="0"/>
        <v>25281561.202882528</v>
      </c>
    </row>
    <row r="11" spans="2:8" x14ac:dyDescent="0.2">
      <c r="B11" s="71" t="s">
        <v>797</v>
      </c>
      <c r="F11" s="72"/>
      <c r="G11" s="72"/>
      <c r="H11" s="72"/>
    </row>
    <row r="12" spans="2:8" x14ac:dyDescent="0.2">
      <c r="G12" s="73">
        <f>H9</f>
        <v>25281561.202882528</v>
      </c>
    </row>
    <row r="13" spans="2:8" x14ac:dyDescent="0.2">
      <c r="C13" s="71"/>
      <c r="D13" s="74" t="s">
        <v>798</v>
      </c>
      <c r="F13" s="75">
        <f>G9</f>
        <v>21123457.758060262</v>
      </c>
    </row>
    <row r="14" spans="2:8" x14ac:dyDescent="0.2">
      <c r="E14" s="75">
        <f>F9</f>
        <v>20497532.058286101</v>
      </c>
    </row>
    <row r="15" spans="2:8" x14ac:dyDescent="0.2">
      <c r="B15" s="71"/>
      <c r="C15" s="544"/>
    </row>
    <row r="16" spans="2:8" x14ac:dyDescent="0.2">
      <c r="C16" s="544"/>
      <c r="D16" s="67" t="s">
        <v>253</v>
      </c>
      <c r="E16" s="67" t="s">
        <v>232</v>
      </c>
      <c r="F16" s="67" t="s">
        <v>233</v>
      </c>
      <c r="G16" s="67" t="s">
        <v>215</v>
      </c>
    </row>
    <row r="17" spans="2:12" x14ac:dyDescent="0.2">
      <c r="B17" s="912"/>
      <c r="C17" s="912"/>
      <c r="D17" s="76"/>
      <c r="E17" s="76"/>
      <c r="F17" s="76"/>
    </row>
    <row r="18" spans="2:12" x14ac:dyDescent="0.2">
      <c r="C18" s="544"/>
    </row>
    <row r="19" spans="2:12" x14ac:dyDescent="0.2">
      <c r="C19" s="77" t="s">
        <v>799</v>
      </c>
      <c r="D19" s="75">
        <f>E9</f>
        <v>-49741746.210630126</v>
      </c>
    </row>
    <row r="20" spans="2:12" x14ac:dyDescent="0.2">
      <c r="C20" s="544"/>
      <c r="D20" s="75"/>
    </row>
    <row r="21" spans="2:12" x14ac:dyDescent="0.2">
      <c r="C21" s="78"/>
      <c r="D21" s="79"/>
      <c r="E21" s="67" t="s">
        <v>800</v>
      </c>
      <c r="F21" s="79"/>
      <c r="G21" s="67" t="s">
        <v>801</v>
      </c>
    </row>
    <row r="22" spans="2:12" ht="13.15" customHeight="1" x14ac:dyDescent="0.2">
      <c r="B22" s="900" t="s">
        <v>802</v>
      </c>
      <c r="C22" s="900"/>
      <c r="D22" s="903"/>
      <c r="E22" s="169">
        <f>2-(F25/G9)</f>
        <v>2.384442570307177</v>
      </c>
      <c r="G22" s="169">
        <f>1+(-E9-F9)/G9</f>
        <v>2.384442570307177</v>
      </c>
      <c r="K22" s="876" t="s">
        <v>803</v>
      </c>
      <c r="L22" s="876"/>
    </row>
    <row r="23" spans="2:12" x14ac:dyDescent="0.2">
      <c r="B23" s="542"/>
      <c r="C23" s="542"/>
      <c r="D23" s="542"/>
      <c r="E23" s="542"/>
      <c r="F23" s="79"/>
      <c r="K23" s="97" t="s">
        <v>804</v>
      </c>
      <c r="L23" s="97" t="s">
        <v>238</v>
      </c>
    </row>
    <row r="24" spans="2:12" ht="16.5" customHeight="1" x14ac:dyDescent="0.2">
      <c r="B24" s="896" t="s">
        <v>805</v>
      </c>
      <c r="C24" s="897"/>
      <c r="D24" s="545" t="str">
        <f>E4</f>
        <v>Año 0</v>
      </c>
      <c r="E24" s="545" t="str">
        <f>F4</f>
        <v>Año 1</v>
      </c>
      <c r="F24" s="545" t="str">
        <f>G4</f>
        <v>Año 2</v>
      </c>
      <c r="G24" s="545" t="str">
        <f>H4</f>
        <v>Año 3</v>
      </c>
      <c r="K24" s="97" t="s">
        <v>806</v>
      </c>
      <c r="L24" s="191" t="s">
        <v>807</v>
      </c>
    </row>
    <row r="25" spans="2:12" ht="18" customHeight="1" x14ac:dyDescent="0.2">
      <c r="B25" s="896"/>
      <c r="C25" s="897"/>
      <c r="D25" s="80">
        <f>E9</f>
        <v>-49741746.210630126</v>
      </c>
      <c r="E25" s="80">
        <f>F9+D25</f>
        <v>-29244214.152344026</v>
      </c>
      <c r="F25" s="80">
        <f>G9+E25</f>
        <v>-8120756.3942837641</v>
      </c>
      <c r="G25" s="80">
        <f>H9+F25</f>
        <v>17160804.808598764</v>
      </c>
      <c r="H25" s="391">
        <f>F25/G9</f>
        <v>-0.38444257030717693</v>
      </c>
      <c r="K25" s="97" t="s">
        <v>808</v>
      </c>
      <c r="L25" s="191" t="s">
        <v>809</v>
      </c>
    </row>
    <row r="26" spans="2:12" x14ac:dyDescent="0.2">
      <c r="D26" s="81"/>
      <c r="E26" s="541"/>
      <c r="K26" s="97" t="s">
        <v>810</v>
      </c>
      <c r="L26" s="191" t="s">
        <v>811</v>
      </c>
    </row>
    <row r="27" spans="2:12" x14ac:dyDescent="0.2">
      <c r="B27" s="900" t="s">
        <v>812</v>
      </c>
      <c r="C27" s="900"/>
      <c r="D27" s="900"/>
      <c r="E27" s="541"/>
    </row>
    <row r="28" spans="2:12" ht="11.45" customHeight="1" x14ac:dyDescent="0.2">
      <c r="B28" s="901"/>
      <c r="C28" s="902"/>
      <c r="D28" s="902"/>
      <c r="E28" s="902"/>
      <c r="F28" s="902"/>
      <c r="G28" s="902"/>
      <c r="J28" s="877" t="s">
        <v>813</v>
      </c>
      <c r="K28" s="878"/>
      <c r="L28" s="82"/>
    </row>
    <row r="29" spans="2:12" ht="15" customHeight="1" x14ac:dyDescent="0.2">
      <c r="B29" s="542"/>
      <c r="C29" s="542"/>
      <c r="D29" s="542"/>
      <c r="E29" s="541"/>
      <c r="H29" s="67" t="s">
        <v>814</v>
      </c>
      <c r="J29" s="171" t="s">
        <v>815</v>
      </c>
      <c r="K29" s="172" t="s">
        <v>816</v>
      </c>
      <c r="L29" s="83" t="s">
        <v>817</v>
      </c>
    </row>
    <row r="30" spans="2:12" x14ac:dyDescent="0.2">
      <c r="B30" s="900"/>
      <c r="C30" s="900"/>
      <c r="D30" s="900"/>
      <c r="E30" s="900"/>
      <c r="F30" s="900"/>
      <c r="G30" s="903"/>
      <c r="H30" s="84">
        <v>0.11</v>
      </c>
      <c r="J30" s="173">
        <f>ProyecciónIPC!E26</f>
        <v>3.4285999999999997E-2</v>
      </c>
      <c r="K30" s="174">
        <v>7.0000000000000007E-2</v>
      </c>
      <c r="L30" s="170"/>
    </row>
    <row r="31" spans="2:12" x14ac:dyDescent="0.2">
      <c r="B31" s="542"/>
      <c r="C31" s="542"/>
      <c r="D31" s="542"/>
      <c r="E31" s="542"/>
      <c r="F31" s="542"/>
      <c r="G31" s="542" t="s">
        <v>255</v>
      </c>
      <c r="H31" s="85"/>
    </row>
    <row r="32" spans="2:12" x14ac:dyDescent="0.2">
      <c r="B32" s="86" t="s">
        <v>818</v>
      </c>
      <c r="C32" s="87">
        <f>E8</f>
        <v>49741746.210630126</v>
      </c>
      <c r="D32" s="89" t="s">
        <v>819</v>
      </c>
      <c r="E32" s="89"/>
      <c r="F32" s="88">
        <v>-100</v>
      </c>
      <c r="G32" s="67">
        <v>138</v>
      </c>
      <c r="H32" s="67">
        <v>103</v>
      </c>
      <c r="I32" s="67">
        <v>58</v>
      </c>
    </row>
    <row r="33" spans="2:10" x14ac:dyDescent="0.2">
      <c r="B33" s="86" t="s">
        <v>820</v>
      </c>
      <c r="C33" s="388">
        <f>E9+(NPV(H30,F9,G9,H9))</f>
        <v>4354430.728429988</v>
      </c>
      <c r="D33" s="67" t="str">
        <f>IF(C33=0,"INDIFERENTE",IF(C33&gt;0,"SE APRUEBA","DESAPRUEBA"))</f>
        <v>SE APRUEBA</v>
      </c>
      <c r="E33" s="83">
        <f>E9+((F9+G9+H9)/(1+H30)^3)</f>
        <v>-823177.51832286268</v>
      </c>
      <c r="F33" s="83">
        <f>F32+((G32+H32+I32)/(1+H30)^4)</f>
        <v>96.960561269355026</v>
      </c>
      <c r="I33" s="91"/>
      <c r="J33" s="92"/>
    </row>
    <row r="34" spans="2:10" x14ac:dyDescent="0.2">
      <c r="B34" s="86" t="s">
        <v>821</v>
      </c>
      <c r="C34" s="389">
        <f>IRR(E9:H9)</f>
        <v>0.15791017331359769</v>
      </c>
      <c r="F34" s="93"/>
      <c r="G34" s="93"/>
      <c r="H34" s="93"/>
    </row>
    <row r="35" spans="2:10" x14ac:dyDescent="0.2">
      <c r="B35" s="77"/>
      <c r="C35" s="103"/>
      <c r="F35" s="93"/>
      <c r="G35" s="93"/>
      <c r="H35" s="93"/>
    </row>
    <row r="36" spans="2:10" x14ac:dyDescent="0.2">
      <c r="B36" s="904" t="s">
        <v>822</v>
      </c>
      <c r="C36" s="900"/>
      <c r="D36" s="900"/>
    </row>
    <row r="37" spans="2:10" x14ac:dyDescent="0.2">
      <c r="B37" s="94"/>
      <c r="C37" s="94"/>
      <c r="D37" s="94"/>
      <c r="E37" s="95">
        <v>1</v>
      </c>
      <c r="F37" s="95">
        <v>2</v>
      </c>
      <c r="G37" s="95">
        <v>3</v>
      </c>
      <c r="H37" s="95" t="s">
        <v>202</v>
      </c>
    </row>
    <row r="38" spans="2:10" x14ac:dyDescent="0.2">
      <c r="E38" s="96">
        <f>(1+$C$42)^E37</f>
        <v>1.1579101733135977</v>
      </c>
      <c r="F38" s="96">
        <f>(1+$C$42)^F37</f>
        <v>1.3407559694631259</v>
      </c>
      <c r="G38" s="96">
        <f>(1+$C$42)^G37</f>
        <v>1.5524749769722888</v>
      </c>
      <c r="H38" s="97"/>
    </row>
    <row r="39" spans="2:10" x14ac:dyDescent="0.2">
      <c r="B39" s="86" t="s">
        <v>818</v>
      </c>
      <c r="C39" s="87">
        <f>C32</f>
        <v>49741746.210630126</v>
      </c>
      <c r="D39" s="98">
        <f>-C39</f>
        <v>-49741746.210630126</v>
      </c>
      <c r="E39" s="99">
        <f>F9</f>
        <v>20497532.058286101</v>
      </c>
      <c r="F39" s="99">
        <f>G9</f>
        <v>21123457.758060262</v>
      </c>
      <c r="G39" s="99">
        <f>H9</f>
        <v>25281561.202882528</v>
      </c>
      <c r="H39" s="97"/>
    </row>
    <row r="40" spans="2:10" x14ac:dyDescent="0.2">
      <c r="B40" s="86" t="s">
        <v>820</v>
      </c>
      <c r="C40" s="90">
        <f>-C39+H40</f>
        <v>0</v>
      </c>
      <c r="E40" s="99">
        <f>E39/E38</f>
        <v>17702178.05378478</v>
      </c>
      <c r="F40" s="99">
        <f>F39/F38</f>
        <v>15754886.227744078</v>
      </c>
      <c r="G40" s="99">
        <f>G39/G38</f>
        <v>16284681.929101262</v>
      </c>
      <c r="H40" s="100">
        <f>SUM(E40:G40)</f>
        <v>49741746.210630119</v>
      </c>
    </row>
    <row r="41" spans="2:10" x14ac:dyDescent="0.2">
      <c r="B41" s="94"/>
      <c r="C41" s="94"/>
      <c r="E41" s="83"/>
      <c r="F41" s="83"/>
      <c r="G41" s="83"/>
      <c r="H41" s="101"/>
    </row>
    <row r="42" spans="2:10" x14ac:dyDescent="0.2">
      <c r="B42" s="77" t="s">
        <v>821</v>
      </c>
      <c r="C42" s="103">
        <f>IRR(E9:H9)</f>
        <v>0.15791017331359769</v>
      </c>
      <c r="D42" s="102">
        <f>IRR(D39:G39)</f>
        <v>0.15791017331359769</v>
      </c>
      <c r="E42" s="103">
        <f>IRR(E9:H9)</f>
        <v>0.15791017331359769</v>
      </c>
      <c r="F42" s="67" t="s">
        <v>823</v>
      </c>
    </row>
    <row r="44" spans="2:10" x14ac:dyDescent="0.2">
      <c r="B44" s="900" t="s">
        <v>824</v>
      </c>
      <c r="C44" s="900"/>
      <c r="D44" s="900"/>
      <c r="I44" s="104"/>
    </row>
    <row r="45" spans="2:10" x14ac:dyDescent="0.2">
      <c r="B45" s="105"/>
      <c r="C45" s="105"/>
      <c r="D45" s="105"/>
      <c r="E45" s="105"/>
      <c r="F45" s="105"/>
      <c r="G45" s="105"/>
      <c r="H45" s="105"/>
    </row>
    <row r="46" spans="2:10" x14ac:dyDescent="0.2">
      <c r="G46" s="77"/>
      <c r="H46" s="106"/>
      <c r="I46" s="106"/>
    </row>
    <row r="47" spans="2:10" x14ac:dyDescent="0.2">
      <c r="B47" s="899" t="s">
        <v>825</v>
      </c>
      <c r="C47" s="899"/>
      <c r="D47" s="899"/>
      <c r="E47" s="899"/>
      <c r="G47" s="77"/>
      <c r="H47" s="106"/>
      <c r="I47" s="106"/>
    </row>
    <row r="48" spans="2:10" x14ac:dyDescent="0.2">
      <c r="B48" s="898" t="s">
        <v>826</v>
      </c>
      <c r="C48" s="898" t="s">
        <v>827</v>
      </c>
      <c r="D48" s="898" t="s">
        <v>828</v>
      </c>
      <c r="E48" s="898" t="s">
        <v>829</v>
      </c>
      <c r="F48" s="104"/>
      <c r="G48" s="107">
        <f>(H48+D51)/POWER(1+C51,1)</f>
        <v>513882502.64836836</v>
      </c>
      <c r="H48" s="107">
        <f>(I48+D52)/POWER(1+C52,1)</f>
        <v>373087572.93130749</v>
      </c>
      <c r="I48" s="107">
        <f>D53/POWER(1+C53,1)</f>
        <v>201541152.86783144</v>
      </c>
    </row>
    <row r="49" spans="2:19" ht="12.6" customHeight="1" x14ac:dyDescent="0.2">
      <c r="B49" s="898"/>
      <c r="C49" s="898"/>
      <c r="D49" s="898"/>
      <c r="E49" s="898"/>
      <c r="F49" s="107">
        <f>E50</f>
        <v>49741746.210630126</v>
      </c>
      <c r="G49" s="107">
        <f>(H49+E51)/POWER(1+C51,1)</f>
        <v>426771106.61123449</v>
      </c>
      <c r="H49" s="107">
        <f>(I49+E52)/POWER(1+C52,1)</f>
        <v>309401221.33054966</v>
      </c>
      <c r="I49" s="107">
        <f>E53/POWER(1+C53,1)</f>
        <v>164864532.47514525</v>
      </c>
    </row>
    <row r="50" spans="2:19" x14ac:dyDescent="0.2">
      <c r="B50" s="539">
        <v>0</v>
      </c>
      <c r="C50" s="108">
        <f>$C$54</f>
        <v>0.11</v>
      </c>
      <c r="D50" s="97"/>
      <c r="E50" s="109">
        <f>C32</f>
        <v>49741746.210630126</v>
      </c>
      <c r="F50" s="124"/>
      <c r="G50" s="106"/>
      <c r="H50" s="106"/>
      <c r="I50" s="110"/>
    </row>
    <row r="51" spans="2:19" x14ac:dyDescent="0.2">
      <c r="B51" s="540">
        <v>1</v>
      </c>
      <c r="C51" s="108">
        <f t="shared" ref="C51:C53" si="1">$C$54</f>
        <v>0.11</v>
      </c>
      <c r="D51" s="109">
        <f>EstadoResult!D9</f>
        <v>197322005.00838137</v>
      </c>
      <c r="E51" s="109">
        <f>EstadoResult!D14</f>
        <v>164314707.00792065</v>
      </c>
      <c r="F51" s="77"/>
      <c r="G51" s="106"/>
      <c r="H51" s="106"/>
      <c r="I51" s="110"/>
    </row>
    <row r="52" spans="2:19" x14ac:dyDescent="0.2">
      <c r="B52" s="540">
        <v>2</v>
      </c>
      <c r="C52" s="108">
        <f t="shared" si="1"/>
        <v>0.11</v>
      </c>
      <c r="D52" s="109">
        <f>EstadoResult!E9</f>
        <v>212586053.08591995</v>
      </c>
      <c r="E52" s="109">
        <f>EstadoResult!E14</f>
        <v>178570823.20176494</v>
      </c>
      <c r="F52" s="77"/>
      <c r="G52" s="106"/>
      <c r="H52" s="106"/>
      <c r="I52" s="110"/>
    </row>
    <row r="53" spans="2:19" x14ac:dyDescent="0.2">
      <c r="B53" s="540">
        <v>3</v>
      </c>
      <c r="C53" s="108">
        <f t="shared" si="1"/>
        <v>0.11</v>
      </c>
      <c r="D53" s="109">
        <f>EstadoResult!F9</f>
        <v>223710679.68329293</v>
      </c>
      <c r="E53" s="109">
        <f>EstadoResult!F14</f>
        <v>182999631.04741123</v>
      </c>
      <c r="F53" s="77"/>
      <c r="G53" s="106"/>
      <c r="H53" s="106"/>
      <c r="I53" s="110"/>
      <c r="O53" s="935" t="s">
        <v>830</v>
      </c>
      <c r="P53" s="935"/>
      <c r="Q53" s="935"/>
      <c r="R53" s="935"/>
      <c r="S53" s="935"/>
    </row>
    <row r="54" spans="2:19" x14ac:dyDescent="0.2">
      <c r="B54" s="888" t="s">
        <v>831</v>
      </c>
      <c r="C54" s="890">
        <f>H30</f>
        <v>0.11</v>
      </c>
      <c r="D54" s="892">
        <f>NPV(C54,D50:D53)</f>
        <v>513882502.64836836</v>
      </c>
      <c r="E54" s="892">
        <f>NPV(C54,E50:E53)</f>
        <v>429290858.39807618</v>
      </c>
      <c r="F54" s="77"/>
      <c r="G54" s="106"/>
      <c r="H54" s="106"/>
      <c r="I54" s="110"/>
      <c r="O54" s="934" t="s">
        <v>832</v>
      </c>
      <c r="P54" s="934" t="s">
        <v>831</v>
      </c>
      <c r="Q54" s="932">
        <f>$H$30+ProyecciónIPC!E26</f>
        <v>0.144286</v>
      </c>
      <c r="R54" s="925">
        <f>NPV(Q54,$L$50:$L$53)</f>
        <v>0</v>
      </c>
      <c r="S54" s="925">
        <f>NPV(Q54,$M$50:$M$53)</f>
        <v>0</v>
      </c>
    </row>
    <row r="55" spans="2:19" x14ac:dyDescent="0.2">
      <c r="B55" s="889"/>
      <c r="C55" s="891"/>
      <c r="D55" s="893"/>
      <c r="E55" s="893"/>
      <c r="F55" s="77"/>
      <c r="G55" s="106"/>
      <c r="H55" s="106"/>
      <c r="I55" s="110"/>
      <c r="O55" s="934"/>
      <c r="P55" s="934"/>
      <c r="Q55" s="933"/>
      <c r="R55" s="925"/>
      <c r="S55" s="925"/>
    </row>
    <row r="56" spans="2:19" x14ac:dyDescent="0.2">
      <c r="B56" s="894" t="s">
        <v>833</v>
      </c>
      <c r="C56" s="894"/>
      <c r="D56" s="895">
        <f>D54/E54</f>
        <v>1.1970497218737683</v>
      </c>
      <c r="E56" s="895"/>
      <c r="F56" s="107">
        <f>(D54/(1+C54))+(D54/(1+C54)*2)+(D54/(1+C54)*3)/E54</f>
        <v>1388871632.0146434</v>
      </c>
      <c r="G56" s="106" t="s">
        <v>834</v>
      </c>
      <c r="H56" s="106"/>
      <c r="I56" s="110"/>
      <c r="O56" s="97"/>
      <c r="P56" s="894" t="s">
        <v>833</v>
      </c>
      <c r="Q56" s="894"/>
      <c r="R56" s="926" t="e">
        <f>R54/S54</f>
        <v>#DIV/0!</v>
      </c>
      <c r="S56" s="926"/>
    </row>
    <row r="57" spans="2:19" x14ac:dyDescent="0.2">
      <c r="B57" s="77"/>
      <c r="C57" s="106"/>
      <c r="D57" s="106"/>
      <c r="E57" s="106"/>
      <c r="F57" s="106"/>
      <c r="G57" s="106"/>
      <c r="H57" s="106"/>
      <c r="I57" s="110"/>
      <c r="P57" s="77"/>
      <c r="Q57" s="77"/>
    </row>
    <row r="58" spans="2:19" x14ac:dyDescent="0.2">
      <c r="G58" s="106"/>
      <c r="H58" s="106"/>
      <c r="I58" s="110"/>
      <c r="O58" s="935" t="s">
        <v>835</v>
      </c>
      <c r="P58" s="935"/>
      <c r="Q58" s="935"/>
      <c r="R58" s="935"/>
      <c r="S58" s="935"/>
    </row>
    <row r="59" spans="2:19" ht="13.5" thickBot="1" x14ac:dyDescent="0.25">
      <c r="B59" s="905" t="s">
        <v>836</v>
      </c>
      <c r="C59" s="905"/>
      <c r="D59" s="905"/>
      <c r="H59" s="106"/>
      <c r="I59" s="110"/>
      <c r="O59" s="934" t="s">
        <v>837</v>
      </c>
      <c r="P59" s="934" t="s">
        <v>831</v>
      </c>
      <c r="Q59" s="932">
        <f>$H$30+ProyecciónIPC!E27</f>
        <v>0.14329900000000001</v>
      </c>
      <c r="R59" s="925">
        <f>NPV(Q59,$L$50:$L$53)</f>
        <v>0</v>
      </c>
      <c r="S59" s="925">
        <f>NPV(Q59,$M$50:$M$53)</f>
        <v>0</v>
      </c>
    </row>
    <row r="60" spans="2:19" ht="13.5" thickBot="1" x14ac:dyDescent="0.25">
      <c r="B60" s="929" t="s">
        <v>838</v>
      </c>
      <c r="C60" s="930"/>
      <c r="D60" s="930"/>
      <c r="E60" s="931"/>
      <c r="F60" s="390" t="s">
        <v>232</v>
      </c>
      <c r="G60" s="390" t="s">
        <v>233</v>
      </c>
      <c r="H60" s="390" t="s">
        <v>215</v>
      </c>
      <c r="O60" s="934"/>
      <c r="P60" s="934"/>
      <c r="Q60" s="933"/>
      <c r="R60" s="925"/>
      <c r="S60" s="925"/>
    </row>
    <row r="61" spans="2:19" x14ac:dyDescent="0.2">
      <c r="B61" s="872" t="s">
        <v>839</v>
      </c>
      <c r="C61" s="873"/>
      <c r="D61" s="873"/>
      <c r="E61" s="874"/>
      <c r="F61" s="111">
        <f>(F63/(F64-F65))</f>
        <v>0.70296241850780206</v>
      </c>
      <c r="G61" s="111">
        <f>(G63/(G64-G65))</f>
        <v>0.72465612286233372</v>
      </c>
      <c r="H61" s="111">
        <f t="shared" ref="H61" si="2">(H63/(H64-H65))</f>
        <v>0.72271543583851117</v>
      </c>
      <c r="O61" s="97"/>
      <c r="P61" s="894" t="s">
        <v>833</v>
      </c>
      <c r="Q61" s="894"/>
      <c r="R61" s="926" t="e">
        <f>R59/S59</f>
        <v>#DIV/0!</v>
      </c>
      <c r="S61" s="926"/>
    </row>
    <row r="62" spans="2:19" x14ac:dyDescent="0.2">
      <c r="B62" s="384"/>
      <c r="C62" s="385"/>
      <c r="D62" s="385"/>
      <c r="E62" s="386"/>
      <c r="F62" s="387"/>
      <c r="G62" s="387"/>
      <c r="H62" s="387"/>
      <c r="P62" s="77"/>
      <c r="Q62" s="77"/>
    </row>
    <row r="63" spans="2:19" ht="13.5" customHeight="1" x14ac:dyDescent="0.2">
      <c r="B63" s="879" t="s">
        <v>840</v>
      </c>
      <c r="C63" s="876"/>
      <c r="D63" s="876"/>
      <c r="E63" s="880"/>
      <c r="F63" s="112">
        <f>ClasifCostos!G16</f>
        <v>110142839.64190476</v>
      </c>
      <c r="G63" s="112">
        <f>ClasifCostos!H16</f>
        <v>116057785.06627695</v>
      </c>
      <c r="H63" s="112">
        <f>ClasifCostos!I16</f>
        <v>121801887.53862916</v>
      </c>
      <c r="O63" s="935" t="s">
        <v>841</v>
      </c>
      <c r="P63" s="935"/>
      <c r="Q63" s="935"/>
      <c r="R63" s="935"/>
      <c r="S63" s="935"/>
    </row>
    <row r="64" spans="2:19" ht="12.6" customHeight="1" x14ac:dyDescent="0.2">
      <c r="B64" s="879" t="s">
        <v>842</v>
      </c>
      <c r="C64" s="876"/>
      <c r="D64" s="876"/>
      <c r="E64" s="880"/>
      <c r="F64" s="112">
        <f>EstadoResult!D9</f>
        <v>197322005.00838137</v>
      </c>
      <c r="G64" s="112">
        <f>EstadoResult!E9</f>
        <v>212586053.08591995</v>
      </c>
      <c r="H64" s="112">
        <f>EstadoResult!F9</f>
        <v>223710679.68329293</v>
      </c>
      <c r="O64" s="934" t="s">
        <v>843</v>
      </c>
      <c r="P64" s="934" t="s">
        <v>831</v>
      </c>
      <c r="Q64" s="932">
        <f>$H$30+ProyecciónIPC!E28</f>
        <v>0.14231199999999999</v>
      </c>
      <c r="R64" s="925">
        <f>NPV(Q64,$L$50:$L$53)</f>
        <v>0</v>
      </c>
      <c r="S64" s="925">
        <f>NPV(Q64,$M$50:$M$53)</f>
        <v>0</v>
      </c>
    </row>
    <row r="65" spans="2:19" ht="12.95" customHeight="1" thickBot="1" x14ac:dyDescent="0.25">
      <c r="B65" s="881" t="s">
        <v>844</v>
      </c>
      <c r="C65" s="882"/>
      <c r="D65" s="882"/>
      <c r="E65" s="883"/>
      <c r="F65" s="113">
        <f>ClasifCostos!G21</f>
        <v>40638181.318762176</v>
      </c>
      <c r="G65" s="113">
        <f>ClasifCostos!H21</f>
        <v>52430385.584128909</v>
      </c>
      <c r="H65" s="113">
        <f>ClasifCostos!I21</f>
        <v>55177005.848982476</v>
      </c>
      <c r="O65" s="934"/>
      <c r="P65" s="934"/>
      <c r="Q65" s="933"/>
      <c r="R65" s="925"/>
      <c r="S65" s="925"/>
    </row>
    <row r="66" spans="2:19" ht="13.5" thickBot="1" x14ac:dyDescent="0.25">
      <c r="B66" s="884" t="s">
        <v>845</v>
      </c>
      <c r="C66" s="885"/>
      <c r="D66" s="885"/>
      <c r="E66" s="886"/>
      <c r="F66" s="114">
        <f>F61</f>
        <v>0.70296241850780206</v>
      </c>
      <c r="G66" s="114">
        <f t="shared" ref="G66:H66" si="3">G61</f>
        <v>0.72465612286233372</v>
      </c>
      <c r="H66" s="114">
        <f t="shared" si="3"/>
        <v>0.72271543583851117</v>
      </c>
      <c r="O66" s="97"/>
      <c r="P66" s="894" t="s">
        <v>833</v>
      </c>
      <c r="Q66" s="894"/>
      <c r="R66" s="926" t="e">
        <f>R64/S64</f>
        <v>#DIV/0!</v>
      </c>
      <c r="S66" s="926"/>
    </row>
    <row r="67" spans="2:19" ht="13.5" thickBot="1" x14ac:dyDescent="0.25">
      <c r="B67" s="887" t="s">
        <v>846</v>
      </c>
      <c r="C67" s="873"/>
      <c r="D67" s="873"/>
      <c r="E67" s="874"/>
      <c r="F67" s="115"/>
      <c r="G67" s="111"/>
      <c r="H67" s="111"/>
    </row>
    <row r="68" spans="2:19" x14ac:dyDescent="0.2">
      <c r="B68" s="860" t="s">
        <v>160</v>
      </c>
      <c r="C68" s="863" t="s">
        <v>840</v>
      </c>
      <c r="D68" s="864"/>
      <c r="E68" s="865"/>
      <c r="F68" s="116">
        <f>F63</f>
        <v>110142839.64190476</v>
      </c>
      <c r="G68" s="116">
        <f t="shared" ref="G68:H68" si="4">G63</f>
        <v>116057785.06627695</v>
      </c>
      <c r="H68" s="116">
        <f t="shared" si="4"/>
        <v>121801887.53862916</v>
      </c>
    </row>
    <row r="69" spans="2:19" x14ac:dyDescent="0.2">
      <c r="B69" s="861"/>
      <c r="C69" s="863" t="s">
        <v>847</v>
      </c>
      <c r="D69" s="864"/>
      <c r="E69" s="865"/>
      <c r="F69" s="117">
        <f>AVERAGE(ProyIngresos!E18:E20)</f>
        <v>1730595.0542594101</v>
      </c>
      <c r="G69" s="117">
        <f>AVERAGE(ProyIngresos!F24:F26)</f>
        <v>1436088.9985852465</v>
      </c>
      <c r="H69" s="117">
        <f>AVERAGE(ProyIngresos!G24:G26)</f>
        <v>1418114.6298806609</v>
      </c>
    </row>
    <row r="70" spans="2:19" ht="13.5" thickBot="1" x14ac:dyDescent="0.25">
      <c r="B70" s="862"/>
      <c r="C70" s="866" t="s">
        <v>848</v>
      </c>
      <c r="D70" s="867"/>
      <c r="E70" s="868"/>
      <c r="F70" s="117">
        <f>(ClasifCostos!G17+ClasifCostos!G20*0.4)/PronósticoDmda!M18</f>
        <v>367209.3694598134</v>
      </c>
      <c r="G70" s="117">
        <f>(ClasifCostos!H17+ClasifCostos!H20*0.4)/PronósticoDmda!M19</f>
        <v>328149.18241379323</v>
      </c>
      <c r="H70" s="117">
        <f>(ClasifCostos!I17+ClasifCostos!I20*0.4)/PronósticoDmda!M20</f>
        <v>327855.26297305519</v>
      </c>
    </row>
    <row r="71" spans="2:19" x14ac:dyDescent="0.2">
      <c r="B71" s="860" t="s">
        <v>161</v>
      </c>
      <c r="C71" s="869" t="s">
        <v>840</v>
      </c>
      <c r="D71" s="870"/>
      <c r="E71" s="871"/>
      <c r="F71" s="116">
        <f>F63</f>
        <v>110142839.64190476</v>
      </c>
      <c r="G71" s="116">
        <f>G63</f>
        <v>116057785.06627695</v>
      </c>
      <c r="H71" s="116">
        <f t="shared" ref="H71" si="5">H63</f>
        <v>121801887.53862916</v>
      </c>
    </row>
    <row r="72" spans="2:19" x14ac:dyDescent="0.2">
      <c r="B72" s="861"/>
      <c r="C72" s="863" t="s">
        <v>847</v>
      </c>
      <c r="D72" s="864"/>
      <c r="E72" s="865"/>
      <c r="F72" s="117">
        <f>AVERAGE(ProyIngresos!E24:E26)</f>
        <v>1843149.0776238351</v>
      </c>
      <c r="G72" s="117">
        <f>AVERAGE(ProyIngresos!F24:F26)</f>
        <v>1436088.9985852465</v>
      </c>
      <c r="H72" s="117">
        <f>AVERAGE(ProyIngresos!G24:G26)</f>
        <v>1418114.6298806609</v>
      </c>
    </row>
    <row r="73" spans="2:19" ht="13.5" thickBot="1" x14ac:dyDescent="0.25">
      <c r="B73" s="862"/>
      <c r="C73" s="866" t="s">
        <v>848</v>
      </c>
      <c r="D73" s="867"/>
      <c r="E73" s="868"/>
      <c r="F73" s="117">
        <f>(ClasifCostos!G18+ClasifCostos!G20*0.6)/PronósticoDmda!N18</f>
        <v>400244.25081666681</v>
      </c>
      <c r="G73" s="117">
        <f>(ClasifCostos!H18+ClasifCostos!H20*0.6)/PronósticoDmda!N19</f>
        <v>363793.71821445908</v>
      </c>
      <c r="H73" s="117">
        <f>(ClasifCostos!I18+ClasifCostos!I20*0.6)/PronósticoDmda!N20</f>
        <v>363465.75136166019</v>
      </c>
    </row>
    <row r="74" spans="2:19" ht="13.5" thickBot="1" x14ac:dyDescent="0.25">
      <c r="B74" s="884" t="s">
        <v>849</v>
      </c>
      <c r="C74" s="885"/>
      <c r="D74" s="885"/>
      <c r="E74" s="886"/>
      <c r="F74" s="118">
        <f>(F68/(F69-F70))+(F71/(F72-F73))</f>
        <v>157.12036559263021</v>
      </c>
      <c r="G74" s="118">
        <f t="shared" ref="G74:H74" si="6">(G68/(G69-G70))+(G71/(G72-G73))</f>
        <v>212.98402981209335</v>
      </c>
      <c r="H74" s="118">
        <f t="shared" si="6"/>
        <v>227.20873068963272</v>
      </c>
      <c r="J74" s="67" t="s">
        <v>850</v>
      </c>
    </row>
    <row r="75" spans="2:19" x14ac:dyDescent="0.2">
      <c r="B75" s="872" t="s">
        <v>851</v>
      </c>
      <c r="C75" s="873"/>
      <c r="D75" s="873"/>
      <c r="E75" s="874"/>
      <c r="F75" s="119"/>
      <c r="G75" s="111"/>
      <c r="H75" s="111"/>
      <c r="J75" s="67" t="s">
        <v>852</v>
      </c>
    </row>
    <row r="76" spans="2:19" x14ac:dyDescent="0.2">
      <c r="B76" s="879" t="s">
        <v>840</v>
      </c>
      <c r="C76" s="876"/>
      <c r="D76" s="876"/>
      <c r="E76" s="880"/>
      <c r="F76" s="120">
        <f>F71</f>
        <v>110142839.64190476</v>
      </c>
      <c r="G76" s="120">
        <f>G71</f>
        <v>116057785.06627695</v>
      </c>
      <c r="H76" s="120">
        <f t="shared" ref="H76" si="7">H71</f>
        <v>121801887.53862916</v>
      </c>
    </row>
    <row r="77" spans="2:19" x14ac:dyDescent="0.2">
      <c r="B77" s="879" t="s">
        <v>853</v>
      </c>
      <c r="C77" s="876"/>
      <c r="D77" s="876"/>
      <c r="E77" s="880"/>
      <c r="F77" s="120">
        <f>F65</f>
        <v>40638181.318762176</v>
      </c>
      <c r="G77" s="120">
        <f t="shared" ref="G77:H77" si="8">G65</f>
        <v>52430385.584128909</v>
      </c>
      <c r="H77" s="120">
        <f t="shared" si="8"/>
        <v>55177005.848982476</v>
      </c>
    </row>
    <row r="78" spans="2:19" ht="13.5" thickBot="1" x14ac:dyDescent="0.25">
      <c r="B78" s="881" t="s">
        <v>842</v>
      </c>
      <c r="C78" s="882"/>
      <c r="D78" s="882"/>
      <c r="E78" s="883"/>
      <c r="F78" s="121">
        <f>F64</f>
        <v>197322005.00838137</v>
      </c>
      <c r="G78" s="121">
        <f t="shared" ref="G78:H78" si="9">G64</f>
        <v>212586053.08591995</v>
      </c>
      <c r="H78" s="121">
        <f t="shared" si="9"/>
        <v>223710679.68329293</v>
      </c>
    </row>
    <row r="79" spans="2:19" ht="13.5" thickBot="1" x14ac:dyDescent="0.25">
      <c r="B79" s="884" t="s">
        <v>854</v>
      </c>
      <c r="C79" s="885"/>
      <c r="D79" s="885"/>
      <c r="E79" s="886"/>
      <c r="F79" s="122">
        <f>F76/(1-(F77/F78))</f>
        <v>138709953.86550039</v>
      </c>
      <c r="G79" s="122">
        <f t="shared" ref="G79:H79" si="10">G76/(1-(G77/G78))</f>
        <v>154051785.003849</v>
      </c>
      <c r="H79" s="122">
        <f t="shared" si="10"/>
        <v>161679161.36904061</v>
      </c>
      <c r="I79" s="122">
        <f>F76/(1-F77/(ProyIngresos!E19))</f>
        <v>-4968303.3465197282</v>
      </c>
      <c r="J79" s="381">
        <f>F74*AVERAGE(F72,F69)</f>
        <v>280753992.26800615</v>
      </c>
      <c r="K79" s="78">
        <f>F79/1835995</f>
        <v>75.550289551714684</v>
      </c>
    </row>
    <row r="80" spans="2:19" x14ac:dyDescent="0.2">
      <c r="B80" s="872" t="s">
        <v>855</v>
      </c>
      <c r="C80" s="873"/>
      <c r="D80" s="873"/>
      <c r="E80" s="874"/>
      <c r="F80" s="119"/>
      <c r="G80" s="119"/>
      <c r="H80" s="119"/>
    </row>
    <row r="81" spans="1:11" x14ac:dyDescent="0.2">
      <c r="B81" s="879" t="s">
        <v>856</v>
      </c>
      <c r="C81" s="876"/>
      <c r="D81" s="876"/>
      <c r="E81" s="880"/>
      <c r="F81" s="120">
        <f>F79</f>
        <v>138709953.86550039</v>
      </c>
      <c r="G81" s="120">
        <f t="shared" ref="G81:H81" si="11">G79</f>
        <v>154051785.003849</v>
      </c>
      <c r="H81" s="120">
        <f t="shared" si="11"/>
        <v>161679161.36904061</v>
      </c>
    </row>
    <row r="82" spans="1:11" x14ac:dyDescent="0.2">
      <c r="B82" s="879" t="s">
        <v>842</v>
      </c>
      <c r="C82" s="876"/>
      <c r="D82" s="876"/>
      <c r="E82" s="880"/>
      <c r="F82" s="120">
        <f>F64</f>
        <v>197322005.00838137</v>
      </c>
      <c r="G82" s="120">
        <f t="shared" ref="G82:H82" si="12">G64</f>
        <v>212586053.08591995</v>
      </c>
      <c r="H82" s="120">
        <f t="shared" si="12"/>
        <v>223710679.68329293</v>
      </c>
    </row>
    <row r="83" spans="1:11" ht="13.5" thickBot="1" x14ac:dyDescent="0.25">
      <c r="B83" s="881" t="s">
        <v>857</v>
      </c>
      <c r="C83" s="882"/>
      <c r="D83" s="882"/>
      <c r="E83" s="883"/>
      <c r="F83" s="123">
        <v>273</v>
      </c>
      <c r="G83" s="123">
        <v>273</v>
      </c>
      <c r="H83" s="123">
        <v>273</v>
      </c>
    </row>
    <row r="84" spans="1:11" ht="13.5" thickBot="1" x14ac:dyDescent="0.25">
      <c r="B84" s="884" t="s">
        <v>858</v>
      </c>
      <c r="C84" s="885"/>
      <c r="D84" s="885"/>
      <c r="E84" s="886"/>
      <c r="F84" s="118">
        <f>F81/(F82/F83)</f>
        <v>191.90874025262994</v>
      </c>
      <c r="G84" s="118">
        <f t="shared" ref="G84:H84" si="13">G81/(G82/G83)</f>
        <v>197.8311215414171</v>
      </c>
      <c r="H84" s="118">
        <f t="shared" si="13"/>
        <v>197.30131398391353</v>
      </c>
    </row>
    <row r="85" spans="1:11" x14ac:dyDescent="0.2">
      <c r="B85" s="872" t="s">
        <v>859</v>
      </c>
      <c r="C85" s="873"/>
      <c r="D85" s="873"/>
      <c r="E85" s="874"/>
      <c r="F85" s="119"/>
      <c r="G85" s="119"/>
      <c r="H85" s="119"/>
    </row>
    <row r="86" spans="1:11" x14ac:dyDescent="0.2">
      <c r="B86" s="879" t="s">
        <v>860</v>
      </c>
      <c r="C86" s="876"/>
      <c r="D86" s="876"/>
      <c r="E86" s="880"/>
      <c r="F86" s="120">
        <f>EstadoResult!D9</f>
        <v>197322005.00838137</v>
      </c>
      <c r="G86" s="120">
        <f>EstadoResult!E9</f>
        <v>212586053.08591995</v>
      </c>
      <c r="H86" s="120">
        <f>EstadoResult!F9</f>
        <v>223710679.68329293</v>
      </c>
    </row>
    <row r="87" spans="1:11" ht="13.5" thickBot="1" x14ac:dyDescent="0.25">
      <c r="B87" s="879" t="s">
        <v>861</v>
      </c>
      <c r="C87" s="876"/>
      <c r="D87" s="876"/>
      <c r="E87" s="880"/>
      <c r="F87" s="120">
        <f>EstadoResult!D14</f>
        <v>164314707.00792065</v>
      </c>
      <c r="G87" s="120">
        <f>EstadoResult!E14</f>
        <v>178570823.20176494</v>
      </c>
      <c r="H87" s="120">
        <f>EstadoResult!F14</f>
        <v>182999631.04741123</v>
      </c>
    </row>
    <row r="88" spans="1:11" ht="13.5" thickBot="1" x14ac:dyDescent="0.25">
      <c r="B88" s="884" t="s">
        <v>862</v>
      </c>
      <c r="C88" s="885"/>
      <c r="D88" s="885"/>
      <c r="E88" s="886"/>
      <c r="F88" s="114">
        <f>(F86-F87)/F87</f>
        <v>0.20087853729897487</v>
      </c>
      <c r="G88" s="114">
        <f t="shared" ref="G88:H88" si="14">(G86-G87)/G87</f>
        <v>0.19048593311193746</v>
      </c>
      <c r="H88" s="114">
        <f t="shared" si="14"/>
        <v>0.22246519516388721</v>
      </c>
      <c r="I88" s="82"/>
    </row>
    <row r="93" spans="1:11" x14ac:dyDescent="0.2">
      <c r="B93" s="875" t="s">
        <v>863</v>
      </c>
      <c r="C93" s="875"/>
      <c r="D93" s="927" t="s">
        <v>864</v>
      </c>
      <c r="E93" s="928"/>
      <c r="F93" s="928"/>
      <c r="G93" s="928"/>
      <c r="H93" s="928"/>
    </row>
    <row r="94" spans="1:11" ht="25.5" x14ac:dyDescent="0.2">
      <c r="B94" s="320" t="s">
        <v>865</v>
      </c>
      <c r="C94" s="320" t="s">
        <v>866</v>
      </c>
      <c r="D94" s="320" t="s">
        <v>867</v>
      </c>
      <c r="E94" s="320" t="s">
        <v>868</v>
      </c>
      <c r="F94" s="320" t="s">
        <v>869</v>
      </c>
      <c r="G94" s="320" t="s">
        <v>870</v>
      </c>
      <c r="H94" s="320" t="s">
        <v>862</v>
      </c>
      <c r="J94" s="320" t="s">
        <v>862</v>
      </c>
    </row>
    <row r="95" spans="1:11" x14ac:dyDescent="0.2">
      <c r="A95" s="315" t="s">
        <v>871</v>
      </c>
      <c r="B95" s="317">
        <v>0.8</v>
      </c>
      <c r="C95" s="317">
        <v>0.2</v>
      </c>
      <c r="D95" s="309">
        <f>D56</f>
        <v>1.1970497218737683</v>
      </c>
      <c r="E95" s="310">
        <f>C33</f>
        <v>4354430.728429988</v>
      </c>
      <c r="F95" s="311">
        <f>E22</f>
        <v>2.384442570307177</v>
      </c>
      <c r="G95" s="312">
        <f>C42</f>
        <v>0.15791017331359769</v>
      </c>
      <c r="H95" s="383">
        <v>0.23696256942029703</v>
      </c>
      <c r="J95" s="383">
        <v>0.23696256942029703</v>
      </c>
      <c r="K95" s="82">
        <f>AVERAGE(F88:H88)</f>
        <v>0.2046098885249332</v>
      </c>
    </row>
    <row r="96" spans="1:11" x14ac:dyDescent="0.2">
      <c r="A96" s="314" t="s">
        <v>872</v>
      </c>
      <c r="B96" s="318">
        <v>0</v>
      </c>
      <c r="C96" s="318">
        <v>1</v>
      </c>
      <c r="D96" s="309">
        <v>1.3093678399440563</v>
      </c>
      <c r="E96" s="310">
        <v>21959560.070865653</v>
      </c>
      <c r="F96" s="311">
        <v>1.4598779105254114</v>
      </c>
      <c r="G96" s="312">
        <v>0.50413010018954418</v>
      </c>
      <c r="H96" s="383">
        <v>0.24198560675982486</v>
      </c>
      <c r="J96" s="383">
        <v>0.24198560675982486</v>
      </c>
    </row>
    <row r="97" spans="1:10" x14ac:dyDescent="0.2">
      <c r="A97" s="313" t="s">
        <v>873</v>
      </c>
      <c r="B97" s="316">
        <v>1</v>
      </c>
      <c r="C97" s="316">
        <v>0</v>
      </c>
      <c r="D97" s="309">
        <v>1.2843826473593687</v>
      </c>
      <c r="E97" s="310">
        <v>17109799.92987375</v>
      </c>
      <c r="F97" s="311">
        <v>1.6261806399264613</v>
      </c>
      <c r="G97" s="312">
        <v>0.42314561790606819</v>
      </c>
      <c r="H97" s="383">
        <v>0.21737121914636495</v>
      </c>
      <c r="J97" s="383">
        <v>0.21737121914636495</v>
      </c>
    </row>
    <row r="98" spans="1:10" x14ac:dyDescent="0.2">
      <c r="A98" s="308" t="s">
        <v>874</v>
      </c>
      <c r="B98" s="319">
        <v>0.5</v>
      </c>
      <c r="C98" s="319">
        <v>0.5</v>
      </c>
      <c r="D98" s="309">
        <v>1.2967549044264188</v>
      </c>
      <c r="E98" s="310">
        <v>19534680.000369705</v>
      </c>
      <c r="F98" s="311">
        <v>1.5396808597050426</v>
      </c>
      <c r="G98" s="312">
        <v>0.46346682196435163</v>
      </c>
      <c r="H98" s="383">
        <v>0.22952324049386755</v>
      </c>
      <c r="J98" s="383">
        <v>0.22952324049386755</v>
      </c>
    </row>
    <row r="102" spans="1:10" ht="38.25" x14ac:dyDescent="0.2">
      <c r="B102" s="320" t="s">
        <v>865</v>
      </c>
      <c r="C102" s="320" t="s">
        <v>866</v>
      </c>
      <c r="D102" s="320" t="s">
        <v>867</v>
      </c>
      <c r="E102" s="320" t="s">
        <v>868</v>
      </c>
      <c r="F102" s="320" t="s">
        <v>869</v>
      </c>
      <c r="G102" s="320" t="s">
        <v>870</v>
      </c>
      <c r="H102" s="320" t="s">
        <v>875</v>
      </c>
      <c r="I102" s="320" t="s">
        <v>876</v>
      </c>
    </row>
    <row r="103" spans="1:10" x14ac:dyDescent="0.2">
      <c r="A103" s="315" t="s">
        <v>871</v>
      </c>
      <c r="B103" s="317">
        <v>0.8</v>
      </c>
      <c r="C103" s="317">
        <v>0.2</v>
      </c>
      <c r="D103" s="309">
        <f>D66</f>
        <v>0</v>
      </c>
      <c r="E103" s="310">
        <f>C42</f>
        <v>0.15791017331359769</v>
      </c>
      <c r="F103" s="311">
        <f>E30</f>
        <v>0</v>
      </c>
      <c r="G103" s="312">
        <f>C50</f>
        <v>0.11</v>
      </c>
      <c r="H103" s="120"/>
      <c r="I103" s="121"/>
    </row>
    <row r="104" spans="1:10" x14ac:dyDescent="0.2">
      <c r="A104" s="314" t="s">
        <v>872</v>
      </c>
      <c r="B104" s="318">
        <v>0</v>
      </c>
      <c r="C104" s="318">
        <v>1</v>
      </c>
      <c r="D104" s="309">
        <v>1.3093678399440563</v>
      </c>
      <c r="E104" s="310">
        <v>21959560.070865653</v>
      </c>
      <c r="F104" s="311">
        <v>1.4598779105254114</v>
      </c>
      <c r="G104" s="312">
        <v>0.50413010018954418</v>
      </c>
      <c r="H104" s="120"/>
      <c r="I104" s="121"/>
    </row>
    <row r="105" spans="1:10" x14ac:dyDescent="0.2">
      <c r="A105" s="313" t="s">
        <v>873</v>
      </c>
      <c r="B105" s="316">
        <v>1</v>
      </c>
      <c r="C105" s="316">
        <v>0</v>
      </c>
      <c r="D105" s="309">
        <v>1.2843826473593687</v>
      </c>
      <c r="E105" s="310">
        <v>17109799.92987375</v>
      </c>
      <c r="F105" s="311">
        <v>1.6261806399264613</v>
      </c>
      <c r="G105" s="312">
        <v>0.42314561790606819</v>
      </c>
      <c r="H105" s="120"/>
      <c r="I105" s="121"/>
    </row>
    <row r="106" spans="1:10" x14ac:dyDescent="0.2">
      <c r="A106" s="308" t="s">
        <v>874</v>
      </c>
      <c r="B106" s="319">
        <v>0.5</v>
      </c>
      <c r="C106" s="319">
        <v>0.5</v>
      </c>
      <c r="D106" s="309">
        <v>1.2967549044264188</v>
      </c>
      <c r="E106" s="310">
        <v>19534680.000369705</v>
      </c>
      <c r="F106" s="311">
        <v>1.5396808597050426</v>
      </c>
      <c r="G106" s="312">
        <v>0.46346682196435163</v>
      </c>
      <c r="H106" s="120"/>
      <c r="I106" s="121"/>
    </row>
  </sheetData>
  <mergeCells count="86">
    <mergeCell ref="P66:Q66"/>
    <mergeCell ref="R66:S66"/>
    <mergeCell ref="O58:S58"/>
    <mergeCell ref="O53:S53"/>
    <mergeCell ref="O63:S63"/>
    <mergeCell ref="S59:S60"/>
    <mergeCell ref="P61:Q61"/>
    <mergeCell ref="R61:S61"/>
    <mergeCell ref="O64:O65"/>
    <mergeCell ref="P64:P65"/>
    <mergeCell ref="Q64:Q65"/>
    <mergeCell ref="R64:R65"/>
    <mergeCell ref="S64:S65"/>
    <mergeCell ref="O54:O55"/>
    <mergeCell ref="O59:O60"/>
    <mergeCell ref="P59:P60"/>
    <mergeCell ref="Q59:Q60"/>
    <mergeCell ref="R59:R60"/>
    <mergeCell ref="P54:P55"/>
    <mergeCell ref="Q54:Q55"/>
    <mergeCell ref="R54:R55"/>
    <mergeCell ref="S54:S55"/>
    <mergeCell ref="P56:Q56"/>
    <mergeCell ref="R56:S56"/>
    <mergeCell ref="D93:H93"/>
    <mergeCell ref="B85:E85"/>
    <mergeCell ref="B86:E86"/>
    <mergeCell ref="B87:E87"/>
    <mergeCell ref="B88:E88"/>
    <mergeCell ref="B60:E60"/>
    <mergeCell ref="B74:E74"/>
    <mergeCell ref="B84:E84"/>
    <mergeCell ref="B75:E75"/>
    <mergeCell ref="B76:E76"/>
    <mergeCell ref="B77:E77"/>
    <mergeCell ref="B78:E78"/>
    <mergeCell ref="B79:E79"/>
    <mergeCell ref="B1:D1"/>
    <mergeCell ref="B3:H3"/>
    <mergeCell ref="B4:D4"/>
    <mergeCell ref="B5:D5"/>
    <mergeCell ref="B6:D6"/>
    <mergeCell ref="B8:D8"/>
    <mergeCell ref="B9:D9"/>
    <mergeCell ref="B17:C17"/>
    <mergeCell ref="B22:D22"/>
    <mergeCell ref="B7:D7"/>
    <mergeCell ref="B24:C25"/>
    <mergeCell ref="B61:E61"/>
    <mergeCell ref="B63:E63"/>
    <mergeCell ref="B64:E64"/>
    <mergeCell ref="B48:B49"/>
    <mergeCell ref="C48:C49"/>
    <mergeCell ref="D48:D49"/>
    <mergeCell ref="E48:E49"/>
    <mergeCell ref="B47:E47"/>
    <mergeCell ref="B27:D27"/>
    <mergeCell ref="B28:G28"/>
    <mergeCell ref="B30:G30"/>
    <mergeCell ref="B36:D36"/>
    <mergeCell ref="B44:D44"/>
    <mergeCell ref="B59:D59"/>
    <mergeCell ref="B80:E80"/>
    <mergeCell ref="B93:C93"/>
    <mergeCell ref="K22:L22"/>
    <mergeCell ref="J28:K28"/>
    <mergeCell ref="B81:E81"/>
    <mergeCell ref="B82:E82"/>
    <mergeCell ref="B83:E83"/>
    <mergeCell ref="B66:E66"/>
    <mergeCell ref="B67:E67"/>
    <mergeCell ref="B65:E65"/>
    <mergeCell ref="B54:B55"/>
    <mergeCell ref="C54:C55"/>
    <mergeCell ref="D54:D55"/>
    <mergeCell ref="E54:E55"/>
    <mergeCell ref="B56:C56"/>
    <mergeCell ref="D56:E56"/>
    <mergeCell ref="B68:B70"/>
    <mergeCell ref="B71:B73"/>
    <mergeCell ref="C68:E68"/>
    <mergeCell ref="C73:E73"/>
    <mergeCell ref="C72:E72"/>
    <mergeCell ref="C71:E71"/>
    <mergeCell ref="C70:E70"/>
    <mergeCell ref="C69:E69"/>
  </mergeCells>
  <conditionalFormatting sqref="D25:G25">
    <cfRule type="cellIs" dxfId="14" priority="1" stopIfTrue="1" operator="lessThan">
      <formula>0</formula>
    </cfRule>
    <cfRule type="cellIs" dxfId="13" priority="2" stopIfTrue="1" operator="greaterThan">
      <formula>0</formula>
    </cfRule>
  </conditionalFormatting>
  <pageMargins left="0.75" right="0.75" top="1" bottom="1" header="0" footer="0"/>
  <pageSetup paperSize="9" orientation="portrait" horizontalDpi="300" verticalDpi="300" r:id="rId1"/>
  <headerFooter alignWithMargins="0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9C439-E6D3-4C19-964C-3D952D66E5FE}">
  <dimension ref="B1:P76"/>
  <sheetViews>
    <sheetView showGridLines="0" tabSelected="1" zoomScaleNormal="100" workbookViewId="0">
      <selection activeCell="H7" sqref="H7"/>
    </sheetView>
  </sheetViews>
  <sheetFormatPr baseColWidth="10" defaultColWidth="9" defaultRowHeight="17.25" x14ac:dyDescent="0.35"/>
  <cols>
    <col min="1" max="1" width="6.25" customWidth="1"/>
    <col min="2" max="2" width="11.75" customWidth="1"/>
    <col min="3" max="3" width="13.625" bestFit="1" customWidth="1"/>
    <col min="4" max="4" width="16.25" customWidth="1"/>
    <col min="5" max="5" width="12.75" customWidth="1"/>
    <col min="6" max="6" width="14.75" bestFit="1" customWidth="1"/>
    <col min="7" max="8" width="13.625" bestFit="1" customWidth="1"/>
    <col min="9" max="11" width="12.625" bestFit="1" customWidth="1"/>
    <col min="12" max="12" width="10.75" customWidth="1"/>
    <col min="13" max="13" width="7.875" customWidth="1"/>
  </cols>
  <sheetData>
    <row r="1" spans="2:11" x14ac:dyDescent="0.35">
      <c r="B1" s="945"/>
      <c r="C1" s="945"/>
      <c r="D1" s="945"/>
    </row>
    <row r="2" spans="2:11" x14ac:dyDescent="0.35">
      <c r="B2" s="551"/>
      <c r="C2" s="551"/>
      <c r="D2" s="551"/>
    </row>
    <row r="3" spans="2:11" x14ac:dyDescent="0.35">
      <c r="B3" s="551"/>
      <c r="C3" s="551"/>
      <c r="D3" s="551"/>
    </row>
    <row r="4" spans="2:11" x14ac:dyDescent="0.35">
      <c r="B4" s="946" t="s">
        <v>877</v>
      </c>
      <c r="C4" s="947"/>
      <c r="D4" s="57">
        <f>InvCapital!C14</f>
        <v>49741746.210630126</v>
      </c>
    </row>
    <row r="5" spans="2:11" x14ac:dyDescent="0.35">
      <c r="B5" s="946" t="s">
        <v>878</v>
      </c>
      <c r="C5" s="947"/>
      <c r="D5" s="393">
        <v>0.11</v>
      </c>
    </row>
    <row r="6" spans="2:11" x14ac:dyDescent="0.35">
      <c r="B6" s="946" t="s">
        <v>879</v>
      </c>
      <c r="C6" s="947"/>
      <c r="D6" s="394">
        <f>SUM(ProyecciónIPC!E26:E28)</f>
        <v>9.9897000000000014E-2</v>
      </c>
    </row>
    <row r="8" spans="2:11" s="392" customFormat="1" ht="15" x14ac:dyDescent="0.25">
      <c r="B8" s="953" t="s">
        <v>880</v>
      </c>
      <c r="K8" s="411">
        <f>D14</f>
        <v>25281561.202882528</v>
      </c>
    </row>
    <row r="9" spans="2:11" s="392" customFormat="1" ht="15" thickBot="1" x14ac:dyDescent="0.25">
      <c r="J9" s="411">
        <f>D13</f>
        <v>21123457.758060262</v>
      </c>
    </row>
    <row r="10" spans="2:11" s="392" customFormat="1" ht="28.5" x14ac:dyDescent="0.2">
      <c r="C10" s="419" t="s">
        <v>826</v>
      </c>
      <c r="D10" s="417" t="s">
        <v>881</v>
      </c>
      <c r="E10" s="417" t="s">
        <v>882</v>
      </c>
      <c r="F10" s="418" t="s">
        <v>883</v>
      </c>
      <c r="I10" s="411">
        <f>D12</f>
        <v>20497532.058286101</v>
      </c>
    </row>
    <row r="11" spans="2:11" s="392" customFormat="1" ht="14.25" x14ac:dyDescent="0.2">
      <c r="C11" s="413">
        <v>0</v>
      </c>
      <c r="D11" s="549">
        <f>-InvCapital!C14</f>
        <v>-49741746.210630126</v>
      </c>
      <c r="E11" s="549">
        <f>-InvCapital!C14</f>
        <v>-49741746.210630126</v>
      </c>
      <c r="F11" s="549">
        <f>-InvCapital!C14</f>
        <v>-49741746.210630126</v>
      </c>
      <c r="H11" s="412" t="s">
        <v>884</v>
      </c>
    </row>
    <row r="12" spans="2:11" s="392" customFormat="1" ht="14.25" x14ac:dyDescent="0.2">
      <c r="C12" s="413">
        <v>1</v>
      </c>
      <c r="D12" s="504">
        <f>EstadoResult!D19</f>
        <v>20497532.058286101</v>
      </c>
      <c r="E12" s="504">
        <f>D12/(1+$D$5)^C12</f>
        <v>18466245.097555045</v>
      </c>
      <c r="F12" s="504">
        <f>D12/(1+$D$6)^C12</f>
        <v>18635865.047623642</v>
      </c>
      <c r="I12" s="412" t="s">
        <v>159</v>
      </c>
      <c r="J12" s="412" t="s">
        <v>162</v>
      </c>
      <c r="K12" s="412" t="s">
        <v>163</v>
      </c>
    </row>
    <row r="13" spans="2:11" s="392" customFormat="1" ht="14.25" x14ac:dyDescent="0.2">
      <c r="C13" s="413">
        <v>2</v>
      </c>
      <c r="D13" s="504">
        <f>EstadoResult!E19</f>
        <v>21123457.758060262</v>
      </c>
      <c r="E13" s="504">
        <f>D13/(1+$D$5)^C13</f>
        <v>17144272.184124876</v>
      </c>
      <c r="F13" s="504">
        <f>D13/(1+$D$6)^C13</f>
        <v>17460672.860570408</v>
      </c>
    </row>
    <row r="14" spans="2:11" s="392" customFormat="1" ht="14.25" x14ac:dyDescent="0.2">
      <c r="C14" s="413">
        <v>3</v>
      </c>
      <c r="D14" s="504">
        <f>EstadoResult!F19</f>
        <v>25281561.202882528</v>
      </c>
      <c r="E14" s="504">
        <f>D14/(1+$D$5)^C14</f>
        <v>18485659.657380186</v>
      </c>
      <c r="F14" s="504">
        <f>D14/(1+$D$6)^C14</f>
        <v>18999747.823772848</v>
      </c>
      <c r="H14" s="550">
        <f>D11</f>
        <v>-49741746.210630126</v>
      </c>
    </row>
    <row r="15" spans="2:11" s="392" customFormat="1" ht="15" thickBot="1" x14ac:dyDescent="0.25">
      <c r="C15" s="395"/>
      <c r="D15" s="504"/>
      <c r="E15" s="504">
        <f>SUM(E12:E14)</f>
        <v>54096176.939060107</v>
      </c>
      <c r="F15" s="504">
        <f>SUM(F12:F14)</f>
        <v>55096285.731966898</v>
      </c>
    </row>
    <row r="16" spans="2:11" s="392" customFormat="1" ht="14.25" x14ac:dyDescent="0.2">
      <c r="E16" s="411"/>
      <c r="F16" s="411"/>
    </row>
    <row r="17" spans="2:6" s="392" customFormat="1" ht="15" x14ac:dyDescent="0.25">
      <c r="B17" s="953" t="s">
        <v>885</v>
      </c>
    </row>
    <row r="18" spans="2:6" s="392" customFormat="1" ht="15" thickBot="1" x14ac:dyDescent="0.25"/>
    <row r="19" spans="2:6" s="392" customFormat="1" ht="14.25" x14ac:dyDescent="0.2">
      <c r="C19" s="416" t="s">
        <v>826</v>
      </c>
      <c r="D19" s="397" t="s">
        <v>881</v>
      </c>
      <c r="F19" s="398" t="s">
        <v>886</v>
      </c>
    </row>
    <row r="20" spans="2:6" s="392" customFormat="1" ht="14.25" x14ac:dyDescent="0.2">
      <c r="C20" s="414">
        <v>0</v>
      </c>
      <c r="D20" s="501">
        <f>D11</f>
        <v>-49741746.210630126</v>
      </c>
      <c r="F20" s="399">
        <f>2-(D22/D13)</f>
        <v>2.384442570307177</v>
      </c>
    </row>
    <row r="21" spans="2:6" s="392" customFormat="1" ht="14.25" x14ac:dyDescent="0.2">
      <c r="C21" s="413">
        <v>1</v>
      </c>
      <c r="D21" s="502">
        <f>D11+D12</f>
        <v>-29244214.152344026</v>
      </c>
    </row>
    <row r="22" spans="2:6" s="392" customFormat="1" ht="14.25" x14ac:dyDescent="0.2">
      <c r="C22" s="413">
        <v>2</v>
      </c>
      <c r="D22" s="502">
        <f>D21+D13</f>
        <v>-8120756.3942837641</v>
      </c>
    </row>
    <row r="23" spans="2:6" s="392" customFormat="1" ht="15" thickBot="1" x14ac:dyDescent="0.25">
      <c r="C23" s="415">
        <v>3</v>
      </c>
      <c r="D23" s="503">
        <f>D22+D14</f>
        <v>17160804.808598764</v>
      </c>
    </row>
    <row r="24" spans="2:6" s="392" customFormat="1" ht="14.25" x14ac:dyDescent="0.2"/>
    <row r="25" spans="2:6" s="392" customFormat="1" ht="15" x14ac:dyDescent="0.2">
      <c r="B25" s="954" t="s">
        <v>887</v>
      </c>
    </row>
    <row r="26" spans="2:6" s="392" customFormat="1" ht="14.25" x14ac:dyDescent="0.2"/>
    <row r="27" spans="2:6" s="392" customFormat="1" ht="14.25" x14ac:dyDescent="0.2">
      <c r="D27" s="435" t="s">
        <v>888</v>
      </c>
      <c r="E27" s="398" t="s">
        <v>158</v>
      </c>
    </row>
    <row r="28" spans="2:6" s="392" customFormat="1" ht="15" x14ac:dyDescent="0.25">
      <c r="C28" s="434" t="s">
        <v>868</v>
      </c>
      <c r="D28" s="57">
        <f>D11+E15</f>
        <v>4354430.7284299806</v>
      </c>
      <c r="E28" s="57">
        <f>E11+F15</f>
        <v>5354539.5213367715</v>
      </c>
    </row>
    <row r="29" spans="2:6" s="392" customFormat="1" ht="14.25" x14ac:dyDescent="0.2">
      <c r="D29" s="392" t="str">
        <f>IF(D28=0,"INDIFERENTE",IF(D28&gt;0,"SE APRUEBA","DESAPRUEBA"))</f>
        <v>SE APRUEBA</v>
      </c>
      <c r="E29" s="392" t="str">
        <f>IF(E28=0,"INDIFERENTE",IF(E28&gt;0,"SE APRUEBA","DESAPRUEBA"))</f>
        <v>SE APRUEBA</v>
      </c>
    </row>
    <row r="30" spans="2:6" s="392" customFormat="1" ht="14.25" x14ac:dyDescent="0.2"/>
    <row r="31" spans="2:6" s="392" customFormat="1" ht="15" x14ac:dyDescent="0.25">
      <c r="B31" s="953" t="s">
        <v>907</v>
      </c>
      <c r="E31" s="400"/>
    </row>
    <row r="32" spans="2:6" s="392" customFormat="1" ht="14.25" x14ac:dyDescent="0.2">
      <c r="B32" s="396"/>
      <c r="E32" s="400"/>
    </row>
    <row r="33" spans="2:6" s="392" customFormat="1" ht="14.25" x14ac:dyDescent="0.2">
      <c r="B33" s="396"/>
      <c r="C33" s="398" t="s">
        <v>889</v>
      </c>
      <c r="D33" s="401">
        <f>IRR(D11:D14)</f>
        <v>0.15791017331359769</v>
      </c>
      <c r="E33" s="400"/>
      <c r="F33" s="400"/>
    </row>
    <row r="34" spans="2:6" s="392" customFormat="1" ht="14.25" x14ac:dyDescent="0.2"/>
    <row r="35" spans="2:6" s="392" customFormat="1" ht="15" x14ac:dyDescent="0.25">
      <c r="B35" s="953" t="s">
        <v>908</v>
      </c>
    </row>
    <row r="36" spans="2:6" s="392" customFormat="1" ht="14.25" x14ac:dyDescent="0.2"/>
    <row r="37" spans="2:6" s="392" customFormat="1" ht="14.25" customHeight="1" x14ac:dyDescent="0.2">
      <c r="B37" s="898" t="s">
        <v>826</v>
      </c>
      <c r="C37" s="898" t="s">
        <v>827</v>
      </c>
      <c r="D37" s="898" t="s">
        <v>828</v>
      </c>
      <c r="E37" s="898" t="s">
        <v>829</v>
      </c>
    </row>
    <row r="38" spans="2:6" s="392" customFormat="1" ht="14.25" x14ac:dyDescent="0.2">
      <c r="B38" s="898"/>
      <c r="C38" s="898"/>
      <c r="D38" s="898"/>
      <c r="E38" s="898"/>
    </row>
    <row r="39" spans="2:6" s="392" customFormat="1" ht="14.25" x14ac:dyDescent="0.2">
      <c r="B39" s="540">
        <v>0</v>
      </c>
      <c r="C39" s="108" t="s">
        <v>890</v>
      </c>
      <c r="D39" s="504"/>
      <c r="E39" s="504">
        <f>D4</f>
        <v>49741746.210630126</v>
      </c>
    </row>
    <row r="40" spans="2:6" s="392" customFormat="1" ht="14.25" x14ac:dyDescent="0.2">
      <c r="B40" s="540">
        <v>1</v>
      </c>
      <c r="C40" s="108" t="s">
        <v>890</v>
      </c>
      <c r="D40" s="504">
        <f>EstadoResult!D9</f>
        <v>197322005.00838137</v>
      </c>
      <c r="E40" s="504">
        <f>EstadoResult!D14</f>
        <v>164314707.00792065</v>
      </c>
    </row>
    <row r="41" spans="2:6" s="392" customFormat="1" ht="14.25" x14ac:dyDescent="0.2">
      <c r="B41" s="540">
        <v>2</v>
      </c>
      <c r="C41" s="108" t="s">
        <v>890</v>
      </c>
      <c r="D41" s="504">
        <f>EstadoResult!E9</f>
        <v>212586053.08591995</v>
      </c>
      <c r="E41" s="504">
        <f>EstadoResult!E14</f>
        <v>178570823.20176494</v>
      </c>
    </row>
    <row r="42" spans="2:6" s="392" customFormat="1" ht="14.25" x14ac:dyDescent="0.2">
      <c r="B42" s="540">
        <v>3</v>
      </c>
      <c r="C42" s="108" t="s">
        <v>890</v>
      </c>
      <c r="D42" s="504">
        <f>EstadoResult!F9</f>
        <v>223710679.68329293</v>
      </c>
      <c r="E42" s="504">
        <f>EstadoResult!F14</f>
        <v>182999631.04741123</v>
      </c>
    </row>
    <row r="43" spans="2:6" s="392" customFormat="1" ht="24.75" customHeight="1" x14ac:dyDescent="0.2">
      <c r="B43" s="422" t="s">
        <v>831</v>
      </c>
      <c r="C43" s="423">
        <f>D5</f>
        <v>0.11</v>
      </c>
      <c r="D43" s="504">
        <f>NPV(C43,D39:D42)</f>
        <v>513882502.64836836</v>
      </c>
      <c r="E43" s="504">
        <f>NPV(C43,E39:E42)</f>
        <v>429290858.39807618</v>
      </c>
    </row>
    <row r="44" spans="2:6" s="392" customFormat="1" ht="27" customHeight="1" x14ac:dyDescent="0.2">
      <c r="B44" s="422" t="s">
        <v>891</v>
      </c>
      <c r="C44" s="423">
        <f>D6</f>
        <v>9.9897000000000014E-2</v>
      </c>
      <c r="D44" s="504">
        <f>NPV(C44,D39:D42)</f>
        <v>523248667.03789979</v>
      </c>
      <c r="E44" s="504">
        <f>NPV(C44,E39:E42)</f>
        <v>440285350.41317326</v>
      </c>
    </row>
    <row r="45" spans="2:6" s="392" customFormat="1" ht="14.25" x14ac:dyDescent="0.2">
      <c r="B45" s="894" t="s">
        <v>833</v>
      </c>
      <c r="C45" s="948"/>
      <c r="D45" s="926">
        <f>D43/E43</f>
        <v>1.1970497218737683</v>
      </c>
      <c r="E45" s="926"/>
    </row>
    <row r="46" spans="2:6" s="392" customFormat="1" ht="14.25" customHeight="1" x14ac:dyDescent="0.2">
      <c r="B46" s="894" t="s">
        <v>892</v>
      </c>
      <c r="C46" s="948"/>
      <c r="D46" s="926">
        <f>D44/E44</f>
        <v>1.1884307905018234</v>
      </c>
      <c r="E46" s="926"/>
    </row>
    <row r="47" spans="2:6" s="392" customFormat="1" ht="14.25" x14ac:dyDescent="0.2"/>
    <row r="48" spans="2:6" s="392" customFormat="1" ht="15" x14ac:dyDescent="0.25">
      <c r="B48" s="953" t="s">
        <v>909</v>
      </c>
    </row>
    <row r="49" spans="2:8" s="392" customFormat="1" ht="15" thickBot="1" x14ac:dyDescent="0.25"/>
    <row r="50" spans="2:8" s="392" customFormat="1" ht="14.25" customHeight="1" thickBot="1" x14ac:dyDescent="0.25">
      <c r="B50" s="929" t="s">
        <v>838</v>
      </c>
      <c r="C50" s="930"/>
      <c r="D50" s="930"/>
      <c r="E50" s="931"/>
      <c r="F50" s="404" t="s">
        <v>232</v>
      </c>
      <c r="G50" s="404" t="s">
        <v>233</v>
      </c>
      <c r="H50" s="404" t="s">
        <v>215</v>
      </c>
    </row>
    <row r="51" spans="2:8" s="392" customFormat="1" ht="14.25" x14ac:dyDescent="0.2">
      <c r="B51" s="936" t="s">
        <v>160</v>
      </c>
      <c r="C51" s="863" t="s">
        <v>840</v>
      </c>
      <c r="D51" s="864"/>
      <c r="E51" s="864"/>
      <c r="F51" s="504">
        <f>ClasifCostos!G16</f>
        <v>110142839.64190476</v>
      </c>
      <c r="G51" s="504">
        <f>ClasifCostos!H16</f>
        <v>116057785.06627695</v>
      </c>
      <c r="H51" s="504">
        <f>ClasifCostos!I16</f>
        <v>121801887.53862916</v>
      </c>
    </row>
    <row r="52" spans="2:8" s="392" customFormat="1" ht="14.25" x14ac:dyDescent="0.2">
      <c r="B52" s="937"/>
      <c r="C52" s="863" t="s">
        <v>847</v>
      </c>
      <c r="D52" s="864"/>
      <c r="E52" s="864"/>
      <c r="F52" s="504">
        <f>AVERAGE(ProyIngresos!E18:E20)</f>
        <v>1730595.0542594101</v>
      </c>
      <c r="G52" s="504">
        <f>AVERAGE(ProyIngresos!F18:F20)</f>
        <v>1336175.8850056932</v>
      </c>
      <c r="H52" s="504">
        <f>AVERAGE(ProyIngresos!G18:G20)</f>
        <v>1318943.8081887148</v>
      </c>
    </row>
    <row r="53" spans="2:8" ht="18" thickBot="1" x14ac:dyDescent="0.4">
      <c r="B53" s="938"/>
      <c r="C53" s="866" t="s">
        <v>848</v>
      </c>
      <c r="D53" s="867"/>
      <c r="E53" s="867"/>
      <c r="F53" s="506">
        <f>(ClasifCostos!G17+ClasifCostos!G20*0.4)/PronósticoDmda!M18</f>
        <v>367209.3694598134</v>
      </c>
      <c r="G53" s="506">
        <f>(ClasifCostos!H17+ClasifCostos!H20*0.4)/PronósticoDmda!M19</f>
        <v>328149.18241379323</v>
      </c>
      <c r="H53" s="506">
        <f>(ClasifCostos!I17+ClasifCostos!I20*0.4)/PronósticoDmda!M20</f>
        <v>327855.26297305519</v>
      </c>
    </row>
    <row r="54" spans="2:8" x14ac:dyDescent="0.35">
      <c r="B54" s="936" t="s">
        <v>161</v>
      </c>
      <c r="C54" s="869" t="s">
        <v>840</v>
      </c>
      <c r="D54" s="870"/>
      <c r="E54" s="871"/>
      <c r="F54" s="505">
        <f>F51</f>
        <v>110142839.64190476</v>
      </c>
      <c r="G54" s="505">
        <f t="shared" ref="G54:H54" si="0">G51</f>
        <v>116057785.06627695</v>
      </c>
      <c r="H54" s="505">
        <f t="shared" si="0"/>
        <v>121801887.53862916</v>
      </c>
    </row>
    <row r="55" spans="2:8" x14ac:dyDescent="0.35">
      <c r="B55" s="937"/>
      <c r="C55" s="863" t="s">
        <v>847</v>
      </c>
      <c r="D55" s="864"/>
      <c r="E55" s="865"/>
      <c r="F55" s="504">
        <f>AVERAGE(ProyIngresos!E24:E26)</f>
        <v>1843149.0776238351</v>
      </c>
      <c r="G55" s="504">
        <f>AVERAGE(ProyIngresos!F24:F26)</f>
        <v>1436088.9985852465</v>
      </c>
      <c r="H55" s="504">
        <f>AVERAGE(ProyIngresos!G24:G26)</f>
        <v>1418114.6298806609</v>
      </c>
    </row>
    <row r="56" spans="2:8" ht="18" thickBot="1" x14ac:dyDescent="0.4">
      <c r="B56" s="938"/>
      <c r="C56" s="866" t="s">
        <v>848</v>
      </c>
      <c r="D56" s="867"/>
      <c r="E56" s="868"/>
      <c r="F56" s="504">
        <f>(ClasifCostos!G18+ClasifCostos!G20*0.6)/PronósticoDmda!N18</f>
        <v>400244.25081666681</v>
      </c>
      <c r="G56" s="504">
        <f>(ClasifCostos!H18+ClasifCostos!H20*0.6)/PronósticoDmda!N19</f>
        <v>363793.71821445908</v>
      </c>
      <c r="H56" s="504">
        <f>(ClasifCostos!I18+ClasifCostos!I20*0.6)/PronósticoDmda!N20</f>
        <v>363465.75136166019</v>
      </c>
    </row>
    <row r="57" spans="2:8" ht="18" thickBot="1" x14ac:dyDescent="0.4">
      <c r="B57" s="939" t="s">
        <v>846</v>
      </c>
      <c r="C57" s="940"/>
      <c r="D57" s="940"/>
      <c r="E57" s="941"/>
      <c r="F57" s="403">
        <f>(F51/(F52-F53))+(F54/(F55-F56))</f>
        <v>157.12036559263021</v>
      </c>
      <c r="G57" s="403">
        <f t="shared" ref="G57:H57" si="1">(G51/(G52-G53))+(G54/(G55-G56))</f>
        <v>223.36668818289843</v>
      </c>
      <c r="H57" s="421">
        <f t="shared" si="1"/>
        <v>238.38754254674583</v>
      </c>
    </row>
    <row r="58" spans="2:8" x14ac:dyDescent="0.35">
      <c r="B58" s="879" t="s">
        <v>840</v>
      </c>
      <c r="C58" s="876"/>
      <c r="D58" s="876"/>
      <c r="E58" s="880"/>
      <c r="F58" s="505">
        <f>F54</f>
        <v>110142839.64190476</v>
      </c>
      <c r="G58" s="505">
        <f>G54</f>
        <v>116057785.06627695</v>
      </c>
      <c r="H58" s="505">
        <f t="shared" ref="H58" si="2">H54</f>
        <v>121801887.53862916</v>
      </c>
    </row>
    <row r="59" spans="2:8" x14ac:dyDescent="0.35">
      <c r="B59" s="879" t="s">
        <v>853</v>
      </c>
      <c r="C59" s="876"/>
      <c r="D59" s="876"/>
      <c r="E59" s="880"/>
      <c r="F59" s="505">
        <f>ClasifCostos!G21</f>
        <v>40638181.318762176</v>
      </c>
      <c r="G59" s="505">
        <f>ClasifCostos!H21</f>
        <v>52430385.584128909</v>
      </c>
      <c r="H59" s="505">
        <f>ClasifCostos!I21</f>
        <v>55177005.848982476</v>
      </c>
    </row>
    <row r="60" spans="2:8" ht="18" thickBot="1" x14ac:dyDescent="0.4">
      <c r="B60" s="881" t="s">
        <v>842</v>
      </c>
      <c r="C60" s="882"/>
      <c r="D60" s="882"/>
      <c r="E60" s="883"/>
      <c r="F60" s="507">
        <f>EstadoResult!D9</f>
        <v>197322005.00838137</v>
      </c>
      <c r="G60" s="506">
        <f>EstadoResult!E9</f>
        <v>212586053.08591995</v>
      </c>
      <c r="H60" s="506">
        <f>EstadoResult!F9</f>
        <v>223710679.68329293</v>
      </c>
    </row>
    <row r="61" spans="2:8" ht="18" thickBot="1" x14ac:dyDescent="0.4">
      <c r="B61" s="942" t="s">
        <v>851</v>
      </c>
      <c r="C61" s="943"/>
      <c r="D61" s="943"/>
      <c r="E61" s="944"/>
      <c r="F61" s="508">
        <f>F58/(1-(F59/F60))</f>
        <v>138709953.86550039</v>
      </c>
      <c r="G61" s="509">
        <f t="shared" ref="G61:H61" si="3">G58/(1-(G59/G60))</f>
        <v>154051785.003849</v>
      </c>
      <c r="H61" s="509">
        <f t="shared" si="3"/>
        <v>161679161.36904061</v>
      </c>
    </row>
    <row r="62" spans="2:8" x14ac:dyDescent="0.35">
      <c r="B62" s="900"/>
      <c r="C62" s="900"/>
      <c r="D62" s="900"/>
      <c r="E62" s="900"/>
      <c r="F62" s="420"/>
      <c r="G62" s="420"/>
      <c r="H62" s="420"/>
    </row>
    <row r="63" spans="2:8" x14ac:dyDescent="0.35">
      <c r="B63" s="953" t="s">
        <v>910</v>
      </c>
    </row>
    <row r="64" spans="2:8" ht="18" thickBot="1" x14ac:dyDescent="0.4">
      <c r="B64" s="543"/>
    </row>
    <row r="65" spans="2:16" x14ac:dyDescent="0.35">
      <c r="B65" s="405"/>
      <c r="C65" s="406" t="s">
        <v>232</v>
      </c>
      <c r="D65" s="406" t="s">
        <v>233</v>
      </c>
      <c r="E65" s="407" t="s">
        <v>215</v>
      </c>
    </row>
    <row r="66" spans="2:16" x14ac:dyDescent="0.35">
      <c r="B66" s="410" t="s">
        <v>860</v>
      </c>
      <c r="C66" s="504">
        <f>EstadoResult!D9</f>
        <v>197322005.00838137</v>
      </c>
      <c r="D66" s="504">
        <f>EstadoResult!E9</f>
        <v>212586053.08591995</v>
      </c>
      <c r="E66" s="504">
        <f>EstadoResult!F9</f>
        <v>223710679.68329293</v>
      </c>
    </row>
    <row r="67" spans="2:16" x14ac:dyDescent="0.35">
      <c r="B67" s="410" t="s">
        <v>861</v>
      </c>
      <c r="C67" s="504">
        <f>EstadoResult!D14</f>
        <v>164314707.00792065</v>
      </c>
      <c r="D67" s="504">
        <f>EstadoResult!E14</f>
        <v>178570823.20176494</v>
      </c>
      <c r="E67" s="504">
        <f>EstadoResult!F14</f>
        <v>182999631.04741123</v>
      </c>
      <c r="F67" t="s">
        <v>893</v>
      </c>
    </row>
    <row r="68" spans="2:16" ht="18" thickBot="1" x14ac:dyDescent="0.4">
      <c r="B68" s="410" t="s">
        <v>862</v>
      </c>
      <c r="C68" s="408">
        <f>(C66-C67)/C67</f>
        <v>0.20087853729897487</v>
      </c>
      <c r="D68" s="408">
        <f t="shared" ref="D68:E68" si="4">(D66-D67)/D67</f>
        <v>0.19048593311193746</v>
      </c>
      <c r="E68" s="409">
        <f t="shared" si="4"/>
        <v>0.22246519516388721</v>
      </c>
      <c r="F68" s="409">
        <f>AVERAGE(C68:E68)</f>
        <v>0.2046098885249332</v>
      </c>
    </row>
    <row r="69" spans="2:16" x14ac:dyDescent="0.35">
      <c r="P69" t="s">
        <v>255</v>
      </c>
    </row>
    <row r="70" spans="2:16" x14ac:dyDescent="0.35">
      <c r="C70" s="392"/>
      <c r="D70" s="392"/>
      <c r="E70" s="952" t="s">
        <v>894</v>
      </c>
      <c r="F70" s="952"/>
      <c r="G70" s="952"/>
      <c r="H70" s="952"/>
      <c r="I70" s="952"/>
      <c r="J70" s="392"/>
      <c r="K70" s="392"/>
      <c r="L70" s="392"/>
    </row>
    <row r="71" spans="2:16" x14ac:dyDescent="0.35">
      <c r="B71" s="392"/>
      <c r="C71" s="392"/>
      <c r="D71" s="392"/>
      <c r="E71" s="392"/>
      <c r="F71" s="392"/>
      <c r="G71" s="392"/>
      <c r="H71" s="392"/>
      <c r="I71" s="392"/>
      <c r="J71" s="392"/>
      <c r="K71" s="392"/>
      <c r="L71" s="392"/>
    </row>
    <row r="72" spans="2:16" ht="33.75" x14ac:dyDescent="0.35">
      <c r="B72" s="424" t="s">
        <v>895</v>
      </c>
      <c r="C72" s="424" t="s">
        <v>896</v>
      </c>
      <c r="D72" s="424" t="s">
        <v>897</v>
      </c>
      <c r="E72" s="425" t="s">
        <v>865</v>
      </c>
      <c r="F72" s="425" t="s">
        <v>866</v>
      </c>
      <c r="G72" s="425" t="s">
        <v>898</v>
      </c>
      <c r="H72" s="425" t="s">
        <v>899</v>
      </c>
      <c r="I72" s="425" t="s">
        <v>900</v>
      </c>
      <c r="J72" s="425" t="s">
        <v>901</v>
      </c>
      <c r="K72" s="425" t="s">
        <v>902</v>
      </c>
      <c r="L72" s="425" t="s">
        <v>889</v>
      </c>
      <c r="M72" s="425" t="s">
        <v>862</v>
      </c>
    </row>
    <row r="73" spans="2:16" x14ac:dyDescent="0.35">
      <c r="B73" s="446">
        <v>1</v>
      </c>
      <c r="C73" s="446">
        <v>36</v>
      </c>
      <c r="D73" s="447">
        <v>49741746.210630126</v>
      </c>
      <c r="E73" s="448">
        <v>0.85</v>
      </c>
      <c r="F73" s="449">
        <v>0.15</v>
      </c>
      <c r="G73" s="309">
        <f>D45</f>
        <v>1.1970497218737683</v>
      </c>
      <c r="H73" s="309">
        <f>D46</f>
        <v>1.1884307905018234</v>
      </c>
      <c r="I73" s="504">
        <f>D28</f>
        <v>4354430.7284299806</v>
      </c>
      <c r="J73" s="504">
        <f>E28</f>
        <v>5354539.5213367715</v>
      </c>
      <c r="K73" s="311">
        <f>F20</f>
        <v>2.384442570307177</v>
      </c>
      <c r="L73" s="312">
        <f>D33</f>
        <v>0.15791017331359769</v>
      </c>
      <c r="M73" s="402">
        <f>F68</f>
        <v>0.2046098885249332</v>
      </c>
    </row>
    <row r="74" spans="2:16" x14ac:dyDescent="0.35">
      <c r="B74" s="436">
        <v>2</v>
      </c>
      <c r="C74" s="436">
        <v>0</v>
      </c>
      <c r="D74" s="426">
        <v>37689937.848638579</v>
      </c>
      <c r="E74" s="427">
        <v>0</v>
      </c>
      <c r="F74" s="428">
        <v>1</v>
      </c>
      <c r="G74" s="309">
        <v>1.2240210139365351</v>
      </c>
      <c r="H74" s="309">
        <v>1.2151557884778312</v>
      </c>
      <c r="I74" s="504">
        <v>10874903.676220268</v>
      </c>
      <c r="J74" s="504">
        <v>11968530.132630862</v>
      </c>
      <c r="K74" s="311">
        <v>2.0603881277250791</v>
      </c>
      <c r="L74" s="312">
        <v>0.23056354271442259</v>
      </c>
      <c r="M74" s="402">
        <v>0.23443994967373358</v>
      </c>
    </row>
    <row r="75" spans="2:16" x14ac:dyDescent="0.35">
      <c r="B75" s="437">
        <v>3</v>
      </c>
      <c r="C75" s="437">
        <v>36</v>
      </c>
      <c r="D75" s="429">
        <v>66409013.33426328</v>
      </c>
      <c r="E75" s="430">
        <v>1</v>
      </c>
      <c r="F75" s="316">
        <v>0</v>
      </c>
      <c r="G75" s="309">
        <v>1.192412990775662</v>
      </c>
      <c r="H75" s="309">
        <v>1.1838361698618716</v>
      </c>
      <c r="I75" s="504">
        <v>3203759.0317611173</v>
      </c>
      <c r="J75" s="504">
        <v>4187364.7075790092</v>
      </c>
      <c r="K75" s="311">
        <v>2.4502627100957044</v>
      </c>
      <c r="L75" s="312">
        <v>0.14519992698457629</v>
      </c>
      <c r="M75" s="402">
        <v>0.19953476061187994</v>
      </c>
    </row>
    <row r="76" spans="2:16" x14ac:dyDescent="0.35">
      <c r="B76" s="438">
        <v>4</v>
      </c>
      <c r="C76" s="438">
        <v>24</v>
      </c>
      <c r="D76" s="431">
        <v>51379649.674697578</v>
      </c>
      <c r="E76" s="432">
        <v>0.5</v>
      </c>
      <c r="F76" s="433">
        <v>0.5</v>
      </c>
      <c r="G76" s="309">
        <v>1.2080102789102707</v>
      </c>
      <c r="H76" s="309">
        <v>1.1992915352768989</v>
      </c>
      <c r="I76" s="504">
        <v>7039331.3539906964</v>
      </c>
      <c r="J76" s="504">
        <v>8077947.4201049432</v>
      </c>
      <c r="K76" s="311">
        <v>2.2416423659248439</v>
      </c>
      <c r="L76" s="312">
        <v>0.18770019028427964</v>
      </c>
      <c r="M76" s="402">
        <v>0.2166678134207575</v>
      </c>
    </row>
  </sheetData>
  <mergeCells count="28">
    <mergeCell ref="B1:D1"/>
    <mergeCell ref="B4:C4"/>
    <mergeCell ref="B5:C5"/>
    <mergeCell ref="B6:C6"/>
    <mergeCell ref="B50:E50"/>
    <mergeCell ref="B37:B38"/>
    <mergeCell ref="C37:C38"/>
    <mergeCell ref="D37:D38"/>
    <mergeCell ref="E37:E38"/>
    <mergeCell ref="B45:C45"/>
    <mergeCell ref="D45:E45"/>
    <mergeCell ref="B46:C46"/>
    <mergeCell ref="D46:E46"/>
    <mergeCell ref="B51:B53"/>
    <mergeCell ref="C51:E51"/>
    <mergeCell ref="C52:E52"/>
    <mergeCell ref="C53:E53"/>
    <mergeCell ref="E70:I70"/>
    <mergeCell ref="B57:E57"/>
    <mergeCell ref="C54:E54"/>
    <mergeCell ref="C55:E55"/>
    <mergeCell ref="C56:E56"/>
    <mergeCell ref="B54:B56"/>
    <mergeCell ref="B58:E58"/>
    <mergeCell ref="B59:E59"/>
    <mergeCell ref="B60:E60"/>
    <mergeCell ref="B61:E61"/>
    <mergeCell ref="B62:E62"/>
  </mergeCells>
  <conditionalFormatting sqref="D20:D23">
    <cfRule type="cellIs" dxfId="9" priority="7" stopIfTrue="1" operator="lessThan">
      <formula>0</formula>
    </cfRule>
    <cfRule type="cellIs" dxfId="8" priority="8" stopIfTrue="1" operator="greaterThan">
      <formula>0</formula>
    </cfRule>
  </conditionalFormatting>
  <conditionalFormatting sqref="D33">
    <cfRule type="colorScale" priority="4">
      <colorScale>
        <cfvo type="num" val="&quot;0.06&quot;"/>
        <cfvo type="num" val="&quot;0.12&quot;"/>
        <cfvo type="num" val="&quot;0.38&quot;"/>
        <color rgb="FFFF0000"/>
        <color rgb="FFFFFF00"/>
        <color rgb="FF66FF33"/>
      </colorScale>
    </cfRule>
  </conditionalFormatting>
  <conditionalFormatting sqref="D28:E28">
    <cfRule type="cellIs" dxfId="7" priority="3" operator="greaterThan">
      <formula>0</formula>
    </cfRule>
    <cfRule type="cellIs" dxfId="6" priority="2" operator="equal">
      <formula>0</formula>
    </cfRule>
    <cfRule type="cellIs" dxfId="5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4:E5"/>
  <sheetViews>
    <sheetView zoomScale="88" zoomScaleNormal="130" workbookViewId="0">
      <selection activeCell="G22" sqref="G22"/>
    </sheetView>
  </sheetViews>
  <sheetFormatPr baseColWidth="10" defaultColWidth="11.5" defaultRowHeight="20.25" x14ac:dyDescent="0.3"/>
  <cols>
    <col min="1" max="3" width="11.5" style="176"/>
    <col min="4" max="4" width="15.5" style="176" customWidth="1"/>
    <col min="5" max="16384" width="11.5" style="176"/>
  </cols>
  <sheetData>
    <row r="4" spans="3:5" x14ac:dyDescent="0.3">
      <c r="C4" s="631" t="s">
        <v>138</v>
      </c>
      <c r="D4" s="631"/>
      <c r="E4" s="633">
        <v>5</v>
      </c>
    </row>
    <row r="5" spans="3:5" x14ac:dyDescent="0.3">
      <c r="C5" s="632"/>
      <c r="D5" s="632"/>
      <c r="E5" s="634"/>
    </row>
  </sheetData>
  <mergeCells count="2">
    <mergeCell ref="C4:D5"/>
    <mergeCell ref="E4:E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S52"/>
  <sheetViews>
    <sheetView showGridLines="0" zoomScaleNormal="100" workbookViewId="0">
      <selection activeCell="P18" sqref="P18"/>
    </sheetView>
  </sheetViews>
  <sheetFormatPr baseColWidth="10" defaultColWidth="11.5" defaultRowHeight="15" x14ac:dyDescent="0.25"/>
  <cols>
    <col min="1" max="11" width="11.5" style="1"/>
    <col min="12" max="12" width="10.625" style="1" customWidth="1"/>
    <col min="13" max="13" width="16.25" style="1" customWidth="1"/>
    <col min="14" max="14" width="13.375" style="1" customWidth="1"/>
    <col min="15" max="16384" width="11.5" style="1"/>
  </cols>
  <sheetData>
    <row r="4" spans="1:19" ht="15.75" thickBot="1" x14ac:dyDescent="0.3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</row>
    <row r="5" spans="1:19" ht="15.75" thickBot="1" x14ac:dyDescent="0.3">
      <c r="A5" s="640" t="s">
        <v>139</v>
      </c>
      <c r="B5" s="641"/>
      <c r="C5" s="641"/>
      <c r="D5" s="641"/>
      <c r="E5" s="641"/>
      <c r="F5" s="641"/>
      <c r="G5" s="641"/>
      <c r="H5" s="641"/>
      <c r="I5" s="641"/>
      <c r="J5" s="641"/>
      <c r="K5" s="641"/>
      <c r="L5" s="641"/>
      <c r="M5" s="641"/>
      <c r="N5" s="641"/>
      <c r="O5" s="641"/>
      <c r="P5" s="642"/>
    </row>
    <row r="6" spans="1:19" ht="15.75" thickBot="1" x14ac:dyDescent="0.3">
      <c r="A6" s="8"/>
      <c r="O6" s="9"/>
      <c r="P6" s="9"/>
    </row>
    <row r="7" spans="1:19" x14ac:dyDescent="0.25">
      <c r="A7" s="7"/>
      <c r="B7" s="585"/>
      <c r="C7" s="517" t="s">
        <v>140</v>
      </c>
      <c r="D7" s="517" t="s">
        <v>141</v>
      </c>
      <c r="E7" s="517" t="s">
        <v>142</v>
      </c>
      <c r="F7" s="517" t="s">
        <v>143</v>
      </c>
      <c r="G7" s="517" t="s">
        <v>144</v>
      </c>
      <c r="H7" s="517" t="s">
        <v>145</v>
      </c>
      <c r="I7" s="517" t="s">
        <v>146</v>
      </c>
      <c r="J7" s="517" t="s">
        <v>147</v>
      </c>
      <c r="K7" s="517" t="s">
        <v>148</v>
      </c>
      <c r="L7" s="517" t="s">
        <v>149</v>
      </c>
      <c r="M7" s="517" t="s">
        <v>150</v>
      </c>
      <c r="N7" s="260" t="s">
        <v>151</v>
      </c>
      <c r="O7" s="7"/>
      <c r="P7" s="7"/>
    </row>
    <row r="8" spans="1:19" x14ac:dyDescent="0.25">
      <c r="A8" s="7"/>
      <c r="B8" s="586">
        <v>2022</v>
      </c>
      <c r="C8" s="236">
        <v>4</v>
      </c>
      <c r="D8" s="236">
        <v>6</v>
      </c>
      <c r="E8" s="236">
        <v>5</v>
      </c>
      <c r="F8" s="236">
        <v>7</v>
      </c>
      <c r="G8" s="236">
        <v>8</v>
      </c>
      <c r="H8" s="236">
        <v>9</v>
      </c>
      <c r="I8" s="236">
        <v>10</v>
      </c>
      <c r="J8" s="236">
        <v>12</v>
      </c>
      <c r="K8" s="236">
        <v>11</v>
      </c>
      <c r="L8" s="236">
        <v>10</v>
      </c>
      <c r="M8" s="236">
        <v>11</v>
      </c>
      <c r="N8" s="587">
        <v>12</v>
      </c>
      <c r="O8" s="7"/>
      <c r="P8" s="7"/>
    </row>
    <row r="9" spans="1:19" x14ac:dyDescent="0.25">
      <c r="A9" s="7"/>
      <c r="B9" s="586">
        <v>2023</v>
      </c>
      <c r="C9" s="236">
        <f>ROUNDUP(I8*(1+$O$14),0)</f>
        <v>11</v>
      </c>
      <c r="D9" s="236">
        <f t="shared" ref="D9:H9" si="0">ROUNDUP(J8*(1+$O$14),0)</f>
        <v>13</v>
      </c>
      <c r="E9" s="236">
        <f t="shared" si="0"/>
        <v>12</v>
      </c>
      <c r="F9" s="236">
        <f t="shared" si="0"/>
        <v>11</v>
      </c>
      <c r="G9" s="236">
        <f t="shared" si="0"/>
        <v>12</v>
      </c>
      <c r="H9" s="236">
        <f t="shared" si="0"/>
        <v>13</v>
      </c>
      <c r="I9" s="236">
        <f>ROUNDUP(C9*(1+$O$14),0)</f>
        <v>12</v>
      </c>
      <c r="J9" s="236">
        <f t="shared" ref="J9:N9" si="1">ROUNDUP(D9*(1+$O$14),0)</f>
        <v>14</v>
      </c>
      <c r="K9" s="236">
        <f t="shared" si="1"/>
        <v>13</v>
      </c>
      <c r="L9" s="236">
        <f t="shared" si="1"/>
        <v>12</v>
      </c>
      <c r="M9" s="236">
        <f t="shared" si="1"/>
        <v>13</v>
      </c>
      <c r="N9" s="587">
        <f t="shared" si="1"/>
        <v>14</v>
      </c>
      <c r="O9" s="7"/>
      <c r="P9" s="7"/>
    </row>
    <row r="10" spans="1:19" x14ac:dyDescent="0.25">
      <c r="A10" s="7"/>
      <c r="B10" s="586" t="s">
        <v>152</v>
      </c>
      <c r="C10" s="10">
        <f t="shared" ref="C10:N10" si="2">ROUNDUP(C8*$M$17,0)</f>
        <v>2</v>
      </c>
      <c r="D10" s="10">
        <f t="shared" si="2"/>
        <v>3</v>
      </c>
      <c r="E10" s="10">
        <f t="shared" si="2"/>
        <v>2</v>
      </c>
      <c r="F10" s="10">
        <f t="shared" si="2"/>
        <v>3</v>
      </c>
      <c r="G10" s="10">
        <f t="shared" si="2"/>
        <v>4</v>
      </c>
      <c r="H10" s="10">
        <f t="shared" si="2"/>
        <v>4</v>
      </c>
      <c r="I10" s="10">
        <f t="shared" si="2"/>
        <v>4</v>
      </c>
      <c r="J10" s="10">
        <f t="shared" si="2"/>
        <v>5</v>
      </c>
      <c r="K10" s="10">
        <f t="shared" si="2"/>
        <v>5</v>
      </c>
      <c r="L10" s="10">
        <f t="shared" si="2"/>
        <v>4</v>
      </c>
      <c r="M10" s="10">
        <f t="shared" si="2"/>
        <v>5</v>
      </c>
      <c r="N10" s="588">
        <f t="shared" si="2"/>
        <v>5</v>
      </c>
      <c r="O10" s="7"/>
      <c r="P10" s="7"/>
    </row>
    <row r="11" spans="1:19" ht="15.75" thickBot="1" x14ac:dyDescent="0.3">
      <c r="A11" s="7"/>
      <c r="B11" s="589" t="s">
        <v>153</v>
      </c>
      <c r="C11" s="590">
        <f t="shared" ref="C11:N11" si="3">ROUNDUP(C8*$N$17,0)</f>
        <v>3</v>
      </c>
      <c r="D11" s="590">
        <f t="shared" si="3"/>
        <v>4</v>
      </c>
      <c r="E11" s="590">
        <f t="shared" si="3"/>
        <v>3</v>
      </c>
      <c r="F11" s="590">
        <f t="shared" si="3"/>
        <v>5</v>
      </c>
      <c r="G11" s="590">
        <f t="shared" si="3"/>
        <v>5</v>
      </c>
      <c r="H11" s="590">
        <f t="shared" si="3"/>
        <v>6</v>
      </c>
      <c r="I11" s="590">
        <f t="shared" si="3"/>
        <v>6</v>
      </c>
      <c r="J11" s="590">
        <f t="shared" si="3"/>
        <v>8</v>
      </c>
      <c r="K11" s="590">
        <f t="shared" si="3"/>
        <v>7</v>
      </c>
      <c r="L11" s="590">
        <f t="shared" si="3"/>
        <v>6</v>
      </c>
      <c r="M11" s="590">
        <f t="shared" si="3"/>
        <v>7</v>
      </c>
      <c r="N11" s="591">
        <f t="shared" si="3"/>
        <v>8</v>
      </c>
      <c r="O11" s="7"/>
      <c r="P11" s="7"/>
    </row>
    <row r="12" spans="1:19" x14ac:dyDescent="0.25">
      <c r="A12" s="7"/>
      <c r="B12" s="510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7"/>
      <c r="P12" s="7"/>
    </row>
    <row r="13" spans="1:19" ht="15.75" thickBot="1" x14ac:dyDescent="0.3">
      <c r="A13" s="7"/>
      <c r="B13" s="510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126"/>
    </row>
    <row r="14" spans="1:19" ht="15.75" thickBot="1" x14ac:dyDescent="0.3">
      <c r="A14" s="7"/>
      <c r="B14" s="637"/>
      <c r="C14" s="639"/>
      <c r="D14" s="639"/>
      <c r="E14" s="639"/>
      <c r="F14" s="11"/>
      <c r="G14" s="7"/>
      <c r="H14" s="643" t="s">
        <v>154</v>
      </c>
      <c r="I14" s="644"/>
      <c r="J14" s="644"/>
      <c r="K14" s="644"/>
      <c r="L14" s="7"/>
      <c r="M14" s="645" t="s">
        <v>155</v>
      </c>
      <c r="N14" s="646"/>
      <c r="O14" s="127">
        <v>0.05</v>
      </c>
      <c r="P14" s="7"/>
    </row>
    <row r="15" spans="1:19" x14ac:dyDescent="0.25">
      <c r="A15" s="7"/>
      <c r="B15" s="637"/>
      <c r="C15" s="639"/>
      <c r="D15" s="639"/>
      <c r="E15" s="639"/>
      <c r="F15" s="11"/>
      <c r="G15" s="7"/>
      <c r="H15" s="574" t="s">
        <v>156</v>
      </c>
      <c r="I15" s="574" t="s">
        <v>70</v>
      </c>
      <c r="J15" s="574" t="s">
        <v>157</v>
      </c>
      <c r="K15" s="574" t="s">
        <v>158</v>
      </c>
      <c r="L15" s="7"/>
      <c r="M15" s="647"/>
      <c r="N15" s="647"/>
      <c r="O15" s="12"/>
      <c r="P15" s="7"/>
    </row>
    <row r="16" spans="1:19" x14ac:dyDescent="0.25">
      <c r="A16" s="7"/>
      <c r="B16" s="7"/>
      <c r="C16" s="7"/>
      <c r="D16" s="637"/>
      <c r="E16" s="638"/>
      <c r="F16" s="13"/>
      <c r="G16" s="575" t="s">
        <v>159</v>
      </c>
      <c r="H16" s="572">
        <v>2022</v>
      </c>
      <c r="I16" s="193"/>
      <c r="J16" s="237">
        <f>SUM(C8:N8)</f>
        <v>105</v>
      </c>
      <c r="K16" s="573">
        <f>ProyecciónIPC!E26</f>
        <v>3.4285999999999997E-2</v>
      </c>
      <c r="L16" s="7"/>
      <c r="M16" s="576" t="s">
        <v>160</v>
      </c>
      <c r="N16" s="576" t="s">
        <v>161</v>
      </c>
      <c r="O16" s="12"/>
      <c r="P16" s="7"/>
      <c r="R16" s="7"/>
      <c r="S16" s="7"/>
    </row>
    <row r="17" spans="1:16" x14ac:dyDescent="0.25">
      <c r="A17" s="7"/>
      <c r="B17" s="7"/>
      <c r="C17" s="7"/>
      <c r="D17" s="637"/>
      <c r="E17" s="639"/>
      <c r="F17" s="7"/>
      <c r="G17" s="575" t="s">
        <v>162</v>
      </c>
      <c r="H17" s="572">
        <v>2023</v>
      </c>
      <c r="I17" s="193">
        <f t="shared" ref="I17:I18" si="4">$O$14</f>
        <v>0.05</v>
      </c>
      <c r="J17" s="237">
        <f>SUM(C9:N9)</f>
        <v>150</v>
      </c>
      <c r="K17" s="573">
        <f>ProyecciónIPC!E27</f>
        <v>3.3299000000000002E-2</v>
      </c>
      <c r="L17" s="7"/>
      <c r="M17" s="577">
        <v>0.4</v>
      </c>
      <c r="N17" s="577">
        <v>0.6</v>
      </c>
      <c r="O17" s="7"/>
      <c r="P17" s="7"/>
    </row>
    <row r="18" spans="1:16" x14ac:dyDescent="0.25">
      <c r="A18" s="7"/>
      <c r="B18" s="7"/>
      <c r="C18" s="7"/>
      <c r="D18" s="14"/>
      <c r="E18" s="510"/>
      <c r="F18" s="7"/>
      <c r="G18" s="575" t="s">
        <v>163</v>
      </c>
      <c r="H18" s="572">
        <v>2024</v>
      </c>
      <c r="I18" s="193">
        <f t="shared" si="4"/>
        <v>0.05</v>
      </c>
      <c r="J18" s="237">
        <f t="shared" ref="J18" si="5">ROUNDUP(J17*(1+I18),0)</f>
        <v>158</v>
      </c>
      <c r="K18" s="579">
        <f>ProyecciónIPC!E28</f>
        <v>3.2312E-2</v>
      </c>
      <c r="L18" s="580" t="s">
        <v>159</v>
      </c>
      <c r="M18" s="578">
        <f>J16*$M$17</f>
        <v>42</v>
      </c>
      <c r="N18" s="578">
        <f>J16*$N$17</f>
        <v>63</v>
      </c>
      <c r="O18" s="125"/>
      <c r="P18" s="7"/>
    </row>
    <row r="19" spans="1:16" x14ac:dyDescent="0.25">
      <c r="A19" s="7"/>
      <c r="B19" s="7"/>
      <c r="C19" s="7"/>
      <c r="D19" s="14"/>
      <c r="E19" s="14"/>
      <c r="F19" s="7"/>
      <c r="L19" s="580" t="s">
        <v>162</v>
      </c>
      <c r="M19" s="578">
        <f>J17*$M$17</f>
        <v>60</v>
      </c>
      <c r="N19" s="578">
        <f>J17*$N$17</f>
        <v>90</v>
      </c>
      <c r="O19" s="125"/>
      <c r="P19" s="7"/>
    </row>
    <row r="20" spans="1:16" x14ac:dyDescent="0.25">
      <c r="A20" s="7"/>
      <c r="B20" s="7"/>
      <c r="C20" s="7"/>
      <c r="D20" s="14"/>
      <c r="E20" s="14"/>
      <c r="F20" s="7"/>
      <c r="L20" s="580" t="s">
        <v>163</v>
      </c>
      <c r="M20" s="578">
        <f>J18*$M$17</f>
        <v>63.2</v>
      </c>
      <c r="N20" s="578">
        <f>J18*$N$17</f>
        <v>94.8</v>
      </c>
      <c r="O20" s="125"/>
      <c r="P20" s="7"/>
    </row>
    <row r="21" spans="1:16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</row>
    <row r="22" spans="1:16" x14ac:dyDescent="0.25">
      <c r="A22" s="7"/>
      <c r="B22" s="635" t="s">
        <v>164</v>
      </c>
      <c r="C22" s="636"/>
      <c r="D22" s="581" t="s">
        <v>165</v>
      </c>
      <c r="E22" s="635" t="s">
        <v>159</v>
      </c>
      <c r="F22" s="636"/>
      <c r="G22" s="636"/>
      <c r="H22" s="636"/>
      <c r="I22" s="636"/>
      <c r="J22" s="636"/>
      <c r="K22" s="636"/>
      <c r="L22" s="636"/>
      <c r="M22" s="636"/>
      <c r="N22" s="636"/>
      <c r="O22" s="636"/>
      <c r="P22" s="7"/>
    </row>
    <row r="23" spans="1:16" x14ac:dyDescent="0.25">
      <c r="A23" s="7"/>
      <c r="B23" s="582" t="s">
        <v>166</v>
      </c>
      <c r="C23" s="582" t="s">
        <v>70</v>
      </c>
      <c r="D23" s="583">
        <v>44562</v>
      </c>
      <c r="E23" s="583">
        <v>44593</v>
      </c>
      <c r="F23" s="583">
        <v>44621</v>
      </c>
      <c r="G23" s="583">
        <v>44652</v>
      </c>
      <c r="H23" s="583">
        <v>44682</v>
      </c>
      <c r="I23" s="583">
        <v>44713</v>
      </c>
      <c r="J23" s="583">
        <v>44743</v>
      </c>
      <c r="K23" s="583">
        <v>44774</v>
      </c>
      <c r="L23" s="583">
        <v>44805</v>
      </c>
      <c r="M23" s="583">
        <v>44835</v>
      </c>
      <c r="N23" s="583">
        <v>44866</v>
      </c>
      <c r="O23" s="583">
        <v>44896</v>
      </c>
      <c r="P23" s="7"/>
    </row>
    <row r="24" spans="1:16" x14ac:dyDescent="0.25">
      <c r="A24" s="7"/>
      <c r="B24" s="635" t="s">
        <v>167</v>
      </c>
      <c r="C24" s="636"/>
      <c r="D24" s="584">
        <f t="shared" ref="D24:O24" si="6">C8</f>
        <v>4</v>
      </c>
      <c r="E24" s="584">
        <f t="shared" si="6"/>
        <v>6</v>
      </c>
      <c r="F24" s="584">
        <f t="shared" si="6"/>
        <v>5</v>
      </c>
      <c r="G24" s="584">
        <f t="shared" si="6"/>
        <v>7</v>
      </c>
      <c r="H24" s="584">
        <f t="shared" si="6"/>
        <v>8</v>
      </c>
      <c r="I24" s="584">
        <f t="shared" si="6"/>
        <v>9</v>
      </c>
      <c r="J24" s="584">
        <f t="shared" si="6"/>
        <v>10</v>
      </c>
      <c r="K24" s="584">
        <f t="shared" si="6"/>
        <v>12</v>
      </c>
      <c r="L24" s="584">
        <f t="shared" si="6"/>
        <v>11</v>
      </c>
      <c r="M24" s="584">
        <f t="shared" si="6"/>
        <v>10</v>
      </c>
      <c r="N24" s="584">
        <f t="shared" si="6"/>
        <v>11</v>
      </c>
      <c r="O24" s="584">
        <f t="shared" si="6"/>
        <v>12</v>
      </c>
      <c r="P24" s="7"/>
    </row>
    <row r="25" spans="1:16" x14ac:dyDescent="0.25">
      <c r="A25" s="7"/>
      <c r="B25" s="635" t="s">
        <v>168</v>
      </c>
      <c r="C25" s="636"/>
      <c r="D25" s="584">
        <f>D24*(1+$O$20)</f>
        <v>4</v>
      </c>
      <c r="E25" s="584">
        <f>E24*(1+$O$14)</f>
        <v>6.3000000000000007</v>
      </c>
      <c r="F25" s="584">
        <f t="shared" ref="F25:N25" si="7">F24*(1+$O$14)</f>
        <v>5.25</v>
      </c>
      <c r="G25" s="584">
        <f t="shared" si="7"/>
        <v>7.3500000000000005</v>
      </c>
      <c r="H25" s="584">
        <f t="shared" si="7"/>
        <v>8.4</v>
      </c>
      <c r="I25" s="584">
        <f t="shared" si="7"/>
        <v>9.4500000000000011</v>
      </c>
      <c r="J25" s="584">
        <f t="shared" si="7"/>
        <v>10.5</v>
      </c>
      <c r="K25" s="584">
        <f t="shared" si="7"/>
        <v>12.600000000000001</v>
      </c>
      <c r="L25" s="584">
        <f t="shared" si="7"/>
        <v>11.55</v>
      </c>
      <c r="M25" s="584">
        <f t="shared" si="7"/>
        <v>10.5</v>
      </c>
      <c r="N25" s="584">
        <f t="shared" si="7"/>
        <v>11.55</v>
      </c>
      <c r="O25" s="584">
        <f>O24*(1+$O$14)</f>
        <v>12.600000000000001</v>
      </c>
      <c r="P25" s="7"/>
    </row>
    <row r="26" spans="1:16" x14ac:dyDescent="0.25">
      <c r="A26" s="7"/>
      <c r="B26" s="635" t="s">
        <v>169</v>
      </c>
      <c r="C26" s="636"/>
      <c r="D26" s="584">
        <f>D24*(1-$O$20)</f>
        <v>4</v>
      </c>
      <c r="E26" s="584">
        <f>E24*(1-$O$14)</f>
        <v>5.6999999999999993</v>
      </c>
      <c r="F26" s="584">
        <f>F24*(1-$O$14)</f>
        <v>4.75</v>
      </c>
      <c r="G26" s="584">
        <f>G24*(1-$O$14)</f>
        <v>6.6499999999999995</v>
      </c>
      <c r="H26" s="584">
        <f t="shared" ref="H26:O26" si="8">H24*(1-$O$14)</f>
        <v>7.6</v>
      </c>
      <c r="I26" s="584">
        <f t="shared" si="8"/>
        <v>8.5499999999999989</v>
      </c>
      <c r="J26" s="584">
        <f t="shared" si="8"/>
        <v>9.5</v>
      </c>
      <c r="K26" s="584">
        <f t="shared" si="8"/>
        <v>11.399999999999999</v>
      </c>
      <c r="L26" s="584">
        <f>L24*(1-$O$14)</f>
        <v>10.45</v>
      </c>
      <c r="M26" s="584">
        <f t="shared" si="8"/>
        <v>9.5</v>
      </c>
      <c r="N26" s="584">
        <f t="shared" si="8"/>
        <v>10.45</v>
      </c>
      <c r="O26" s="584">
        <f t="shared" si="8"/>
        <v>11.399999999999999</v>
      </c>
      <c r="P26" s="7"/>
    </row>
    <row r="27" spans="1:16" x14ac:dyDescent="0.25">
      <c r="A27" s="7"/>
      <c r="B27" s="635" t="s">
        <v>170</v>
      </c>
      <c r="C27" s="636"/>
      <c r="D27" s="584">
        <f ca="1">RANDBETWEEN(D26,D25)</f>
        <v>4</v>
      </c>
      <c r="E27" s="584">
        <f ca="1">RANDBETWEEN(E26,E25)</f>
        <v>6</v>
      </c>
      <c r="F27" s="584">
        <f ca="1">RANDBETWEEN(F26,F25)</f>
        <v>5</v>
      </c>
      <c r="G27" s="584">
        <f ca="1">RANDBETWEEN(G26,G25)</f>
        <v>7</v>
      </c>
      <c r="H27" s="584">
        <f ca="1">RANDBETWEEN(H26,H25)</f>
        <v>8</v>
      </c>
      <c r="I27" s="584">
        <f t="shared" ref="I27:O27" ca="1" si="9">RANDBETWEEN(I26,I25)</f>
        <v>9</v>
      </c>
      <c r="J27" s="584">
        <f t="shared" ca="1" si="9"/>
        <v>10</v>
      </c>
      <c r="K27" s="584">
        <f t="shared" ca="1" si="9"/>
        <v>12</v>
      </c>
      <c r="L27" s="584">
        <f ca="1">RANDBETWEEN(L26,L25)</f>
        <v>11</v>
      </c>
      <c r="M27" s="584">
        <f t="shared" ca="1" si="9"/>
        <v>10</v>
      </c>
      <c r="N27" s="584">
        <f t="shared" ca="1" si="9"/>
        <v>11</v>
      </c>
      <c r="O27" s="584">
        <f t="shared" ca="1" si="9"/>
        <v>12</v>
      </c>
      <c r="P27" s="7"/>
    </row>
    <row r="28" spans="1:16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</row>
    <row r="29" spans="1:16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</row>
    <row r="30" spans="1:16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</row>
    <row r="31" spans="1:16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</row>
    <row r="32" spans="1:16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</row>
    <row r="33" spans="1:16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</row>
    <row r="34" spans="1:16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</row>
    <row r="35" spans="1:16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</row>
    <row r="36" spans="1:16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</row>
    <row r="37" spans="1:16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</row>
    <row r="38" spans="1:16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</row>
    <row r="39" spans="1:16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</row>
    <row r="40" spans="1:16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</row>
    <row r="41" spans="1:16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</row>
    <row r="42" spans="1:16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</row>
    <row r="43" spans="1:16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</row>
    <row r="44" spans="1:16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</row>
    <row r="45" spans="1:16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</row>
    <row r="46" spans="1:16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</row>
    <row r="47" spans="1:16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</row>
    <row r="48" spans="1:16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</row>
    <row r="49" spans="1:16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</row>
    <row r="50" spans="1:16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</row>
    <row r="51" spans="1:16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</row>
    <row r="52" spans="1:16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</row>
  </sheetData>
  <mergeCells count="14">
    <mergeCell ref="A5:P5"/>
    <mergeCell ref="B14:E14"/>
    <mergeCell ref="H14:K14"/>
    <mergeCell ref="M14:N14"/>
    <mergeCell ref="B15:E15"/>
    <mergeCell ref="M15:N15"/>
    <mergeCell ref="B25:C25"/>
    <mergeCell ref="B26:C26"/>
    <mergeCell ref="B27:C27"/>
    <mergeCell ref="D16:E16"/>
    <mergeCell ref="D17:E17"/>
    <mergeCell ref="B22:C22"/>
    <mergeCell ref="E22:O22"/>
    <mergeCell ref="B24:C24"/>
  </mergeCells>
  <phoneticPr fontId="10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4:Q46"/>
  <sheetViews>
    <sheetView showGridLines="0" zoomScaleNormal="100" workbookViewId="0">
      <selection activeCell="B40" sqref="B40"/>
    </sheetView>
  </sheetViews>
  <sheetFormatPr baseColWidth="10" defaultColWidth="11.5" defaultRowHeight="15" x14ac:dyDescent="0.25"/>
  <cols>
    <col min="1" max="1" width="15.5" style="1" customWidth="1"/>
    <col min="2" max="2" width="24.5" style="1" customWidth="1"/>
    <col min="3" max="3" width="7.5" style="1" customWidth="1"/>
    <col min="4" max="4" width="9.5" style="1" customWidth="1"/>
    <col min="5" max="5" width="11.75" style="1" customWidth="1"/>
    <col min="6" max="6" width="11.875" style="1" customWidth="1"/>
    <col min="7" max="8" width="13.5" style="1" customWidth="1"/>
    <col min="9" max="9" width="24.125" style="1" customWidth="1"/>
    <col min="10" max="14" width="12.375" style="1" customWidth="1"/>
    <col min="15" max="16" width="13.5" style="1" customWidth="1"/>
    <col min="17" max="17" width="11.5" style="1"/>
    <col min="18" max="18" width="33.875" style="1" customWidth="1"/>
    <col min="19" max="16384" width="11.5" style="1"/>
  </cols>
  <sheetData>
    <row r="4" spans="2:13" x14ac:dyDescent="0.25">
      <c r="B4" s="648" t="s">
        <v>171</v>
      </c>
      <c r="C4" s="648"/>
      <c r="D4" s="648"/>
      <c r="E4" s="648"/>
      <c r="F4" s="648"/>
      <c r="G4" s="648"/>
      <c r="I4" s="516" t="s">
        <v>172</v>
      </c>
      <c r="J4" s="515" t="s">
        <v>173</v>
      </c>
      <c r="K4" s="15"/>
    </row>
    <row r="5" spans="2:13" x14ac:dyDescent="0.25">
      <c r="B5" s="527" t="s">
        <v>172</v>
      </c>
      <c r="C5" s="527" t="s">
        <v>174</v>
      </c>
      <c r="D5" s="527" t="s">
        <v>175</v>
      </c>
      <c r="E5" s="527" t="s">
        <v>176</v>
      </c>
      <c r="F5" s="527" t="s">
        <v>173</v>
      </c>
      <c r="G5" s="527" t="s">
        <v>70</v>
      </c>
      <c r="I5" s="16" t="s">
        <v>177</v>
      </c>
      <c r="J5" s="50">
        <f>F23+F39</f>
        <v>1930000</v>
      </c>
      <c r="K5" s="15"/>
      <c r="L5" s="15"/>
      <c r="M5" s="15"/>
    </row>
    <row r="6" spans="2:13" ht="16.5" customHeight="1" x14ac:dyDescent="0.25">
      <c r="B6" s="5" t="s">
        <v>178</v>
      </c>
      <c r="C6" s="5" t="s">
        <v>179</v>
      </c>
      <c r="D6" s="17">
        <v>1</v>
      </c>
      <c r="E6" s="50">
        <v>250000</v>
      </c>
      <c r="F6" s="50">
        <f t="shared" ref="F6:F9" si="0">E6*D6</f>
        <v>250000</v>
      </c>
      <c r="G6" s="18">
        <f t="shared" ref="G6:G10" si="1">F6/$F$14</f>
        <v>4.0783034257748776E-2</v>
      </c>
      <c r="I6" s="16" t="s">
        <v>180</v>
      </c>
      <c r="J6" s="50">
        <f>F14</f>
        <v>6130000</v>
      </c>
      <c r="K6" s="15"/>
      <c r="L6" s="15"/>
      <c r="M6" s="52"/>
    </row>
    <row r="7" spans="2:13" x14ac:dyDescent="0.25">
      <c r="B7" s="5" t="s">
        <v>181</v>
      </c>
      <c r="C7" s="5" t="s">
        <v>179</v>
      </c>
      <c r="D7" s="17">
        <v>2</v>
      </c>
      <c r="E7" s="50">
        <v>2500000</v>
      </c>
      <c r="F7" s="50">
        <f t="shared" si="0"/>
        <v>5000000</v>
      </c>
      <c r="G7" s="18">
        <f t="shared" si="1"/>
        <v>0.81566068515497558</v>
      </c>
      <c r="I7" s="16" t="s">
        <v>83</v>
      </c>
      <c r="J7" s="50">
        <f>J6+J5</f>
        <v>8060000</v>
      </c>
      <c r="M7" s="52"/>
    </row>
    <row r="8" spans="2:13" x14ac:dyDescent="0.25">
      <c r="B8" s="5" t="s">
        <v>182</v>
      </c>
      <c r="C8" s="5" t="s">
        <v>179</v>
      </c>
      <c r="D8" s="17">
        <v>2</v>
      </c>
      <c r="E8" s="50">
        <v>220000</v>
      </c>
      <c r="F8" s="50">
        <f t="shared" si="0"/>
        <v>440000</v>
      </c>
      <c r="G8" s="18">
        <f t="shared" si="1"/>
        <v>7.177814029363784E-2</v>
      </c>
    </row>
    <row r="9" spans="2:13" x14ac:dyDescent="0.25">
      <c r="B9" s="5" t="s">
        <v>183</v>
      </c>
      <c r="C9" s="5" t="s">
        <v>179</v>
      </c>
      <c r="D9" s="17">
        <v>2</v>
      </c>
      <c r="E9" s="50">
        <v>140000</v>
      </c>
      <c r="F9" s="50">
        <f t="shared" si="0"/>
        <v>280000</v>
      </c>
      <c r="G9" s="18">
        <f t="shared" si="1"/>
        <v>4.5676998368678633E-2</v>
      </c>
      <c r="I9" s="63" t="s">
        <v>184</v>
      </c>
    </row>
    <row r="10" spans="2:13" x14ac:dyDescent="0.25">
      <c r="B10" s="5" t="s">
        <v>185</v>
      </c>
      <c r="C10" s="5" t="s">
        <v>179</v>
      </c>
      <c r="D10" s="17">
        <v>2</v>
      </c>
      <c r="E10" s="50">
        <v>80000</v>
      </c>
      <c r="F10" s="50">
        <f>E10*D10</f>
        <v>160000</v>
      </c>
      <c r="G10" s="18">
        <f t="shared" si="1"/>
        <v>2.6101141924959218E-2</v>
      </c>
      <c r="I10" s="19">
        <v>1000000</v>
      </c>
    </row>
    <row r="11" spans="2:13" hidden="1" x14ac:dyDescent="0.25">
      <c r="B11" s="5"/>
      <c r="C11" s="5"/>
      <c r="D11" s="5"/>
      <c r="E11" s="5"/>
      <c r="F11" s="5"/>
      <c r="G11" s="5"/>
    </row>
    <row r="12" spans="2:13" hidden="1" x14ac:dyDescent="0.25">
      <c r="B12" s="5"/>
      <c r="C12" s="5"/>
      <c r="D12" s="5"/>
      <c r="E12" s="5"/>
      <c r="F12" s="5"/>
      <c r="G12" s="5"/>
    </row>
    <row r="13" spans="2:13" hidden="1" x14ac:dyDescent="0.25">
      <c r="B13" s="5"/>
      <c r="C13" s="5"/>
      <c r="D13" s="5"/>
      <c r="E13" s="5"/>
      <c r="F13" s="5"/>
      <c r="G13" s="5"/>
    </row>
    <row r="14" spans="2:13" x14ac:dyDescent="0.25">
      <c r="B14" s="649" t="s">
        <v>83</v>
      </c>
      <c r="C14" s="649"/>
      <c r="D14" s="649"/>
      <c r="E14" s="649"/>
      <c r="F14" s="450">
        <f>SUM(F6:F13)</f>
        <v>6130000</v>
      </c>
      <c r="G14" s="135">
        <f>SUM(G6:G13)</f>
        <v>1</v>
      </c>
    </row>
    <row r="15" spans="2:13" x14ac:dyDescent="0.25">
      <c r="I15" s="515" t="s">
        <v>187</v>
      </c>
      <c r="J15" s="141">
        <f>J7/I10</f>
        <v>8.06</v>
      </c>
    </row>
    <row r="16" spans="2:13" x14ac:dyDescent="0.25">
      <c r="B16" s="648" t="s">
        <v>188</v>
      </c>
      <c r="C16" s="648"/>
      <c r="D16" s="648"/>
      <c r="E16" s="648"/>
      <c r="F16" s="648"/>
      <c r="G16" s="648"/>
    </row>
    <row r="17" spans="2:17" x14ac:dyDescent="0.25">
      <c r="B17" s="515" t="s">
        <v>172</v>
      </c>
      <c r="C17" s="527" t="s">
        <v>174</v>
      </c>
      <c r="D17" s="515" t="s">
        <v>175</v>
      </c>
      <c r="E17" s="527" t="s">
        <v>189</v>
      </c>
      <c r="F17" s="515" t="s">
        <v>173</v>
      </c>
      <c r="G17" s="515" t="s">
        <v>70</v>
      </c>
    </row>
    <row r="18" spans="2:17" s="15" customFormat="1" x14ac:dyDescent="0.25">
      <c r="B18" s="5" t="s">
        <v>190</v>
      </c>
      <c r="C18" s="5" t="s">
        <v>179</v>
      </c>
      <c r="D18" s="17">
        <v>1</v>
      </c>
      <c r="E18" s="50">
        <v>120000</v>
      </c>
      <c r="F18" s="50">
        <f t="shared" ref="F18:F22" si="2">E18*D18</f>
        <v>120000</v>
      </c>
      <c r="G18" s="18">
        <f>F18/$F$23</f>
        <v>7.3619631901840496E-2</v>
      </c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2:17" s="15" customFormat="1" x14ac:dyDescent="0.25">
      <c r="B19" s="5" t="s">
        <v>191</v>
      </c>
      <c r="C19" s="5" t="s">
        <v>179</v>
      </c>
      <c r="D19" s="17">
        <v>1</v>
      </c>
      <c r="E19" s="50">
        <v>456000</v>
      </c>
      <c r="F19" s="50">
        <f t="shared" si="2"/>
        <v>456000</v>
      </c>
      <c r="G19" s="18">
        <f>F19/$F$23</f>
        <v>0.27975460122699386</v>
      </c>
      <c r="H19" s="1"/>
      <c r="O19" s="1"/>
      <c r="P19" s="1"/>
      <c r="Q19" s="1"/>
    </row>
    <row r="20" spans="2:17" s="15" customFormat="1" x14ac:dyDescent="0.25">
      <c r="B20" s="5" t="s">
        <v>192</v>
      </c>
      <c r="C20" s="5" t="s">
        <v>179</v>
      </c>
      <c r="D20" s="17">
        <f>D19</f>
        <v>1</v>
      </c>
      <c r="E20" s="50">
        <v>400000</v>
      </c>
      <c r="F20" s="50">
        <f t="shared" si="2"/>
        <v>400000</v>
      </c>
      <c r="G20" s="18">
        <f>F20/$F$23</f>
        <v>0.24539877300613497</v>
      </c>
    </row>
    <row r="21" spans="2:17" x14ac:dyDescent="0.25">
      <c r="B21" s="5" t="s">
        <v>193</v>
      </c>
      <c r="C21" s="5" t="s">
        <v>179</v>
      </c>
      <c r="D21" s="17">
        <f>D20</f>
        <v>1</v>
      </c>
      <c r="E21" s="50">
        <v>114000</v>
      </c>
      <c r="F21" s="50">
        <f t="shared" si="2"/>
        <v>114000</v>
      </c>
      <c r="G21" s="18">
        <f>F21/$F$23</f>
        <v>6.9938650306748465E-2</v>
      </c>
    </row>
    <row r="22" spans="2:17" x14ac:dyDescent="0.25">
      <c r="B22" s="5" t="s">
        <v>194</v>
      </c>
      <c r="C22" s="5" t="s">
        <v>179</v>
      </c>
      <c r="D22" s="17">
        <f>D21</f>
        <v>1</v>
      </c>
      <c r="E22" s="50">
        <v>540000</v>
      </c>
      <c r="F22" s="50">
        <f t="shared" si="2"/>
        <v>540000</v>
      </c>
      <c r="G22" s="18">
        <f>F22/$F$23</f>
        <v>0.33128834355828218</v>
      </c>
    </row>
    <row r="23" spans="2:17" x14ac:dyDescent="0.25">
      <c r="B23" s="649" t="s">
        <v>83</v>
      </c>
      <c r="C23" s="649"/>
      <c r="D23" s="649"/>
      <c r="E23" s="649"/>
      <c r="F23" s="450">
        <f>SUM(F18:F22)</f>
        <v>1630000</v>
      </c>
      <c r="G23" s="135">
        <f>SUM(G18:G22)</f>
        <v>1</v>
      </c>
    </row>
    <row r="25" spans="2:17" x14ac:dyDescent="0.25">
      <c r="B25" s="653" t="s">
        <v>195</v>
      </c>
      <c r="C25" s="654"/>
      <c r="D25" s="654"/>
      <c r="E25" s="654"/>
      <c r="F25" s="654"/>
      <c r="G25" s="655"/>
    </row>
    <row r="26" spans="2:17" x14ac:dyDescent="0.25">
      <c r="B26" s="515" t="s">
        <v>172</v>
      </c>
      <c r="C26" s="527" t="s">
        <v>174</v>
      </c>
      <c r="D26" s="515" t="s">
        <v>175</v>
      </c>
      <c r="E26" s="527" t="s">
        <v>189</v>
      </c>
      <c r="F26" s="515" t="s">
        <v>173</v>
      </c>
      <c r="G26" s="515" t="s">
        <v>70</v>
      </c>
    </row>
    <row r="27" spans="2:17" x14ac:dyDescent="0.25">
      <c r="B27" s="20" t="s">
        <v>196</v>
      </c>
      <c r="C27" s="5" t="s">
        <v>179</v>
      </c>
      <c r="D27" s="17">
        <v>1</v>
      </c>
      <c r="E27" s="50">
        <v>200000</v>
      </c>
      <c r="F27" s="50">
        <f t="shared" ref="F27:F33" si="3">E27*D27</f>
        <v>200000</v>
      </c>
      <c r="G27" s="18">
        <f>IFERROR(F27/$F$39,0)</f>
        <v>0.66666666666666663</v>
      </c>
    </row>
    <row r="28" spans="2:17" x14ac:dyDescent="0.25">
      <c r="B28" s="20" t="s">
        <v>197</v>
      </c>
      <c r="C28" s="5" t="s">
        <v>179</v>
      </c>
      <c r="D28" s="17">
        <v>1</v>
      </c>
      <c r="E28" s="50">
        <v>100000</v>
      </c>
      <c r="F28" s="50">
        <f t="shared" si="3"/>
        <v>100000</v>
      </c>
      <c r="G28" s="18">
        <f t="shared" ref="G28:G38" si="4">IFERROR(F28/$F$39,0)</f>
        <v>0.33333333333333331</v>
      </c>
    </row>
    <row r="29" spans="2:17" hidden="1" x14ac:dyDescent="0.25">
      <c r="B29" s="21"/>
      <c r="C29" s="5" t="s">
        <v>179</v>
      </c>
      <c r="D29" s="17">
        <v>1</v>
      </c>
      <c r="E29" s="50">
        <v>0</v>
      </c>
      <c r="F29" s="50">
        <f t="shared" si="3"/>
        <v>0</v>
      </c>
      <c r="G29" s="18">
        <f t="shared" si="4"/>
        <v>0</v>
      </c>
    </row>
    <row r="30" spans="2:17" hidden="1" x14ac:dyDescent="0.25">
      <c r="B30" s="21"/>
      <c r="C30" s="5" t="s">
        <v>179</v>
      </c>
      <c r="D30" s="17">
        <v>1</v>
      </c>
      <c r="E30" s="50">
        <v>0</v>
      </c>
      <c r="F30" s="50">
        <f t="shared" si="3"/>
        <v>0</v>
      </c>
      <c r="G30" s="18">
        <f t="shared" si="4"/>
        <v>0</v>
      </c>
    </row>
    <row r="31" spans="2:17" hidden="1" x14ac:dyDescent="0.25">
      <c r="B31" s="21"/>
      <c r="C31" s="5" t="s">
        <v>179</v>
      </c>
      <c r="D31" s="17">
        <v>1</v>
      </c>
      <c r="E31" s="50">
        <v>0</v>
      </c>
      <c r="F31" s="50">
        <f t="shared" si="3"/>
        <v>0</v>
      </c>
      <c r="G31" s="18">
        <f t="shared" si="4"/>
        <v>0</v>
      </c>
    </row>
    <row r="32" spans="2:17" hidden="1" x14ac:dyDescent="0.25">
      <c r="B32" s="21"/>
      <c r="C32" s="5" t="s">
        <v>179</v>
      </c>
      <c r="D32" s="17">
        <v>1</v>
      </c>
      <c r="E32" s="50">
        <v>0</v>
      </c>
      <c r="F32" s="50">
        <f t="shared" si="3"/>
        <v>0</v>
      </c>
      <c r="G32" s="18">
        <f t="shared" si="4"/>
        <v>0</v>
      </c>
    </row>
    <row r="33" spans="2:7" hidden="1" x14ac:dyDescent="0.25">
      <c r="B33" s="21"/>
      <c r="C33" s="5" t="s">
        <v>179</v>
      </c>
      <c r="D33" s="17">
        <v>1</v>
      </c>
      <c r="E33" s="50">
        <v>0</v>
      </c>
      <c r="F33" s="50">
        <f t="shared" si="3"/>
        <v>0</v>
      </c>
      <c r="G33" s="18">
        <f t="shared" si="4"/>
        <v>0</v>
      </c>
    </row>
    <row r="34" spans="2:7" hidden="1" x14ac:dyDescent="0.25">
      <c r="B34" s="21"/>
      <c r="C34" s="5" t="s">
        <v>179</v>
      </c>
      <c r="D34" s="17">
        <v>1</v>
      </c>
      <c r="E34" s="50">
        <v>0</v>
      </c>
      <c r="F34" s="50">
        <f>E34*D34</f>
        <v>0</v>
      </c>
      <c r="G34" s="18">
        <f t="shared" si="4"/>
        <v>0</v>
      </c>
    </row>
    <row r="35" spans="2:7" hidden="1" x14ac:dyDescent="0.25">
      <c r="B35" s="21"/>
      <c r="C35" s="5" t="s">
        <v>179</v>
      </c>
      <c r="D35" s="17">
        <v>1</v>
      </c>
      <c r="E35" s="50">
        <v>0</v>
      </c>
      <c r="F35" s="50">
        <f>E35*D35</f>
        <v>0</v>
      </c>
      <c r="G35" s="18">
        <f t="shared" si="4"/>
        <v>0</v>
      </c>
    </row>
    <row r="36" spans="2:7" hidden="1" x14ac:dyDescent="0.25">
      <c r="B36" s="21"/>
      <c r="C36" s="5" t="s">
        <v>179</v>
      </c>
      <c r="D36" s="17">
        <v>1</v>
      </c>
      <c r="E36" s="50">
        <v>0</v>
      </c>
      <c r="F36" s="50">
        <f>E36*D36</f>
        <v>0</v>
      </c>
      <c r="G36" s="18">
        <f t="shared" si="4"/>
        <v>0</v>
      </c>
    </row>
    <row r="37" spans="2:7" hidden="1" x14ac:dyDescent="0.25">
      <c r="B37" s="21"/>
      <c r="C37" s="5" t="s">
        <v>179</v>
      </c>
      <c r="D37" s="17">
        <v>1</v>
      </c>
      <c r="E37" s="50">
        <v>0</v>
      </c>
      <c r="F37" s="50">
        <f>E37*D37</f>
        <v>0</v>
      </c>
      <c r="G37" s="18">
        <f t="shared" si="4"/>
        <v>0</v>
      </c>
    </row>
    <row r="38" spans="2:7" x14ac:dyDescent="0.25">
      <c r="B38" s="21"/>
      <c r="C38" s="5" t="s">
        <v>179</v>
      </c>
      <c r="D38" s="17">
        <v>1</v>
      </c>
      <c r="E38" s="50">
        <v>0</v>
      </c>
      <c r="F38" s="50">
        <f>E38*D38</f>
        <v>0</v>
      </c>
      <c r="G38" s="18">
        <f t="shared" si="4"/>
        <v>0</v>
      </c>
    </row>
    <row r="39" spans="2:7" x14ac:dyDescent="0.25">
      <c r="B39" s="649" t="s">
        <v>83</v>
      </c>
      <c r="C39" s="649"/>
      <c r="D39" s="649"/>
      <c r="E39" s="649"/>
      <c r="F39" s="450">
        <f>SUM(F27:F38)</f>
        <v>300000</v>
      </c>
      <c r="G39" s="135">
        <f>SUM(G27:G38)</f>
        <v>1</v>
      </c>
    </row>
    <row r="41" spans="2:7" x14ac:dyDescent="0.25">
      <c r="B41" s="653" t="s">
        <v>198</v>
      </c>
      <c r="C41" s="654"/>
      <c r="D41" s="654"/>
      <c r="E41" s="654"/>
      <c r="F41" s="654"/>
      <c r="G41" s="655"/>
    </row>
    <row r="42" spans="2:7" x14ac:dyDescent="0.25">
      <c r="B42" s="515" t="s">
        <v>172</v>
      </c>
      <c r="C42" s="527" t="s">
        <v>174</v>
      </c>
      <c r="D42" s="515" t="s">
        <v>175</v>
      </c>
      <c r="E42" s="527" t="s">
        <v>189</v>
      </c>
      <c r="F42" s="515" t="s">
        <v>173</v>
      </c>
      <c r="G42" s="515" t="s">
        <v>70</v>
      </c>
    </row>
    <row r="43" spans="2:7" x14ac:dyDescent="0.25">
      <c r="B43" s="5" t="s">
        <v>199</v>
      </c>
      <c r="C43" s="5" t="s">
        <v>179</v>
      </c>
      <c r="D43" s="17">
        <v>1</v>
      </c>
      <c r="E43" s="50">
        <v>30000</v>
      </c>
      <c r="F43" s="50">
        <f>E43*D43</f>
        <v>30000</v>
      </c>
      <c r="G43" s="18">
        <f>F43/$F$46</f>
        <v>0.20689655172413793</v>
      </c>
    </row>
    <row r="44" spans="2:7" x14ac:dyDescent="0.25">
      <c r="B44" s="5" t="s">
        <v>200</v>
      </c>
      <c r="C44" s="5" t="s">
        <v>179</v>
      </c>
      <c r="D44" s="17">
        <v>1</v>
      </c>
      <c r="E44" s="50">
        <v>55000</v>
      </c>
      <c r="F44" s="50">
        <f>E44*D44</f>
        <v>55000</v>
      </c>
      <c r="G44" s="18">
        <f t="shared" ref="G44:G45" si="5">F44/$F$46</f>
        <v>0.37931034482758619</v>
      </c>
    </row>
    <row r="45" spans="2:7" x14ac:dyDescent="0.25">
      <c r="B45" s="5" t="s">
        <v>201</v>
      </c>
      <c r="C45" s="5" t="s">
        <v>179</v>
      </c>
      <c r="D45" s="17">
        <v>1</v>
      </c>
      <c r="E45" s="50">
        <v>60000</v>
      </c>
      <c r="F45" s="50">
        <f>E45*D45</f>
        <v>60000</v>
      </c>
      <c r="G45" s="18">
        <f t="shared" si="5"/>
        <v>0.41379310344827586</v>
      </c>
    </row>
    <row r="46" spans="2:7" x14ac:dyDescent="0.25">
      <c r="B46" s="650" t="s">
        <v>202</v>
      </c>
      <c r="C46" s="651"/>
      <c r="D46" s="652"/>
      <c r="E46" s="450">
        <f t="shared" ref="E46:F46" si="6">SUM(E43:E45)</f>
        <v>145000</v>
      </c>
      <c r="F46" s="450">
        <f t="shared" si="6"/>
        <v>145000</v>
      </c>
      <c r="G46" s="233">
        <f>SUM(G43:G45)</f>
        <v>1</v>
      </c>
    </row>
  </sheetData>
  <mergeCells count="8">
    <mergeCell ref="B4:G4"/>
    <mergeCell ref="B14:E14"/>
    <mergeCell ref="B16:G16"/>
    <mergeCell ref="B46:D46"/>
    <mergeCell ref="B41:G41"/>
    <mergeCell ref="B25:G25"/>
    <mergeCell ref="B23:E23"/>
    <mergeCell ref="B39:E39"/>
  </mergeCells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4:S28"/>
  <sheetViews>
    <sheetView zoomScaleNormal="100" workbookViewId="0">
      <selection activeCell="G19" sqref="G19"/>
    </sheetView>
  </sheetViews>
  <sheetFormatPr baseColWidth="10" defaultColWidth="11.5" defaultRowHeight="15" x14ac:dyDescent="0.25"/>
  <cols>
    <col min="1" max="1" width="11.5" style="1"/>
    <col min="2" max="2" width="22.375" style="1" customWidth="1"/>
    <col min="3" max="3" width="11.625" style="1" customWidth="1"/>
    <col min="4" max="5" width="12.5" style="1" customWidth="1"/>
    <col min="6" max="6" width="11.5" style="1"/>
    <col min="7" max="7" width="23.875" style="1" customWidth="1"/>
    <col min="8" max="9" width="12" style="1" customWidth="1"/>
    <col min="10" max="10" width="11.625" style="1" customWidth="1"/>
    <col min="11" max="11" width="11.5" style="1" customWidth="1"/>
    <col min="12" max="12" width="12.875" style="1" customWidth="1"/>
    <col min="13" max="19" width="13.875" style="2" customWidth="1"/>
    <col min="20" max="16384" width="11.5" style="1"/>
  </cols>
  <sheetData>
    <row r="4" spans="2:19" x14ac:dyDescent="0.25">
      <c r="B4" s="660" t="s">
        <v>203</v>
      </c>
      <c r="C4" s="661"/>
      <c r="G4" s="656" t="s">
        <v>204</v>
      </c>
      <c r="H4" s="656"/>
      <c r="I4" s="656"/>
      <c r="J4" s="656"/>
      <c r="K4" s="656"/>
      <c r="L4" s="656"/>
      <c r="M4" s="656"/>
      <c r="N4" s="656"/>
      <c r="O4" s="656"/>
      <c r="P4" s="656"/>
      <c r="Q4" s="656"/>
      <c r="R4" s="656"/>
      <c r="S4" s="656"/>
    </row>
    <row r="5" spans="2:19" x14ac:dyDescent="0.25">
      <c r="B5" s="184" t="s">
        <v>205</v>
      </c>
      <c r="C5" s="184" t="s">
        <v>206</v>
      </c>
      <c r="G5" s="658" t="s">
        <v>207</v>
      </c>
      <c r="H5" s="658" t="s">
        <v>208</v>
      </c>
      <c r="I5" s="658" t="s">
        <v>175</v>
      </c>
      <c r="J5" s="658" t="s">
        <v>202</v>
      </c>
      <c r="K5" s="658" t="s">
        <v>209</v>
      </c>
      <c r="L5" s="658" t="s">
        <v>210</v>
      </c>
      <c r="M5" s="657" t="s">
        <v>211</v>
      </c>
      <c r="N5" s="657"/>
      <c r="O5" s="657"/>
      <c r="P5" s="657"/>
      <c r="Q5" s="657"/>
      <c r="R5" s="657"/>
      <c r="S5" s="657"/>
    </row>
    <row r="6" spans="2:19" x14ac:dyDescent="0.25">
      <c r="B6" s="5" t="s">
        <v>212</v>
      </c>
      <c r="C6" s="17">
        <v>20</v>
      </c>
      <c r="G6" s="659"/>
      <c r="H6" s="659"/>
      <c r="I6" s="659"/>
      <c r="J6" s="659"/>
      <c r="K6" s="659"/>
      <c r="L6" s="659"/>
      <c r="M6" s="129" t="s">
        <v>213</v>
      </c>
      <c r="N6" s="129" t="s">
        <v>214</v>
      </c>
      <c r="O6" s="129" t="s">
        <v>215</v>
      </c>
      <c r="P6" s="129" t="s">
        <v>216</v>
      </c>
      <c r="Q6" s="129" t="s">
        <v>217</v>
      </c>
      <c r="R6" s="129" t="s">
        <v>218</v>
      </c>
      <c r="S6" s="129" t="s">
        <v>219</v>
      </c>
    </row>
    <row r="7" spans="2:19" x14ac:dyDescent="0.25">
      <c r="B7" s="5" t="s">
        <v>220</v>
      </c>
      <c r="C7" s="65" t="s">
        <v>221</v>
      </c>
      <c r="G7" s="5" t="str">
        <f>InvActivosFijos!B6</f>
        <v>Página Web</v>
      </c>
      <c r="H7" s="50">
        <f>InvActivosFijos!E6</f>
        <v>250000</v>
      </c>
      <c r="I7" s="17">
        <f>InvActivosFijos!D6</f>
        <v>1</v>
      </c>
      <c r="J7" s="50">
        <f>H7*I7</f>
        <v>250000</v>
      </c>
      <c r="K7" s="17">
        <v>1</v>
      </c>
      <c r="L7" s="50">
        <f>J7/K7</f>
        <v>250000</v>
      </c>
      <c r="M7" s="50">
        <f>L7</f>
        <v>250000</v>
      </c>
      <c r="N7" s="50">
        <f>M7</f>
        <v>250000</v>
      </c>
      <c r="O7" s="50">
        <f t="shared" ref="O7:S7" si="0">N7</f>
        <v>250000</v>
      </c>
      <c r="P7" s="50">
        <f t="shared" si="0"/>
        <v>250000</v>
      </c>
      <c r="Q7" s="50">
        <f t="shared" si="0"/>
        <v>250000</v>
      </c>
      <c r="R7" s="50">
        <f t="shared" si="0"/>
        <v>250000</v>
      </c>
      <c r="S7" s="50">
        <f t="shared" si="0"/>
        <v>250000</v>
      </c>
    </row>
    <row r="8" spans="2:19" x14ac:dyDescent="0.25">
      <c r="B8" s="5" t="s">
        <v>222</v>
      </c>
      <c r="C8" s="17">
        <v>5</v>
      </c>
      <c r="G8" s="5" t="str">
        <f>InvActivosFijos!B7</f>
        <v>Computadores</v>
      </c>
      <c r="H8" s="50">
        <f>InvActivosFijos!E7</f>
        <v>2500000</v>
      </c>
      <c r="I8" s="17">
        <f>InvActivosFijos!D7</f>
        <v>2</v>
      </c>
      <c r="J8" s="50">
        <f t="shared" ref="J8:J11" si="1">H8*I8</f>
        <v>5000000</v>
      </c>
      <c r="K8" s="17">
        <v>3</v>
      </c>
      <c r="L8" s="50">
        <f>J8/K8</f>
        <v>1666666.6666666667</v>
      </c>
      <c r="M8" s="50">
        <f t="shared" ref="M8:O13" si="2">L8</f>
        <v>1666666.6666666667</v>
      </c>
      <c r="N8" s="50">
        <f t="shared" si="2"/>
        <v>1666666.6666666667</v>
      </c>
      <c r="O8" s="50">
        <f t="shared" si="2"/>
        <v>1666666.6666666667</v>
      </c>
      <c r="P8" s="50">
        <v>0</v>
      </c>
      <c r="Q8" s="50">
        <v>0</v>
      </c>
      <c r="R8" s="50">
        <v>0</v>
      </c>
      <c r="S8" s="50">
        <v>0</v>
      </c>
    </row>
    <row r="9" spans="2:19" x14ac:dyDescent="0.25">
      <c r="B9" s="5" t="s">
        <v>223</v>
      </c>
      <c r="C9" s="65" t="s">
        <v>224</v>
      </c>
      <c r="G9" s="5" t="str">
        <f>InvActivosFijos!B8</f>
        <v>Escritorios</v>
      </c>
      <c r="H9" s="50">
        <f>InvActivosFijos!E8</f>
        <v>220000</v>
      </c>
      <c r="I9" s="17">
        <f>InvActivosFijos!D8</f>
        <v>2</v>
      </c>
      <c r="J9" s="50">
        <f t="shared" si="1"/>
        <v>440000</v>
      </c>
      <c r="K9" s="17">
        <v>6</v>
      </c>
      <c r="L9" s="50">
        <f t="shared" ref="L9:L11" si="3">J9/K9</f>
        <v>73333.333333333328</v>
      </c>
      <c r="M9" s="50">
        <f t="shared" si="2"/>
        <v>73333.333333333328</v>
      </c>
      <c r="N9" s="50">
        <f t="shared" ref="N9:N11" si="4">M9</f>
        <v>73333.333333333328</v>
      </c>
      <c r="O9" s="50">
        <f t="shared" ref="O9:O11" si="5">N9</f>
        <v>73333.333333333328</v>
      </c>
      <c r="P9" s="50">
        <f t="shared" ref="P9:P11" si="6">O9</f>
        <v>73333.333333333328</v>
      </c>
      <c r="Q9" s="50">
        <f t="shared" ref="Q9:Q11" si="7">P9</f>
        <v>73333.333333333328</v>
      </c>
      <c r="R9" s="50">
        <f t="shared" ref="R9" si="8">Q9</f>
        <v>73333.333333333328</v>
      </c>
      <c r="S9" s="50">
        <v>0</v>
      </c>
    </row>
    <row r="10" spans="2:19" x14ac:dyDescent="0.25">
      <c r="B10" s="5" t="s">
        <v>225</v>
      </c>
      <c r="C10" s="65" t="s">
        <v>226</v>
      </c>
      <c r="G10" s="5" t="str">
        <f>InvActivosFijos!B9</f>
        <v>Sillas escritorio</v>
      </c>
      <c r="H10" s="50">
        <f>InvActivosFijos!E9</f>
        <v>140000</v>
      </c>
      <c r="I10" s="17">
        <v>4</v>
      </c>
      <c r="J10" s="50">
        <f t="shared" si="1"/>
        <v>560000</v>
      </c>
      <c r="K10" s="17">
        <v>5</v>
      </c>
      <c r="L10" s="50">
        <f>J10/K10</f>
        <v>112000</v>
      </c>
      <c r="M10" s="50">
        <f t="shared" si="2"/>
        <v>112000</v>
      </c>
      <c r="N10" s="50">
        <f t="shared" si="4"/>
        <v>112000</v>
      </c>
      <c r="O10" s="50">
        <f t="shared" si="5"/>
        <v>112000</v>
      </c>
      <c r="P10" s="50">
        <f t="shared" si="6"/>
        <v>112000</v>
      </c>
      <c r="Q10" s="50">
        <f t="shared" si="7"/>
        <v>112000</v>
      </c>
      <c r="R10" s="50">
        <v>0</v>
      </c>
      <c r="S10" s="50">
        <v>0</v>
      </c>
    </row>
    <row r="11" spans="2:19" x14ac:dyDescent="0.25">
      <c r="B11" s="5" t="s">
        <v>227</v>
      </c>
      <c r="C11" s="65" t="s">
        <v>228</v>
      </c>
      <c r="G11" s="5" t="str">
        <f>InvActivosFijos!B10</f>
        <v xml:space="preserve">Sillas </v>
      </c>
      <c r="H11" s="50">
        <f>InvActivosFijos!E10</f>
        <v>80000</v>
      </c>
      <c r="I11" s="17">
        <f>InvActivosFijos!D10</f>
        <v>2</v>
      </c>
      <c r="J11" s="50">
        <f t="shared" si="1"/>
        <v>160000</v>
      </c>
      <c r="K11" s="17">
        <v>5</v>
      </c>
      <c r="L11" s="50">
        <f t="shared" si="3"/>
        <v>32000</v>
      </c>
      <c r="M11" s="50">
        <f t="shared" si="2"/>
        <v>32000</v>
      </c>
      <c r="N11" s="50">
        <f t="shared" si="4"/>
        <v>32000</v>
      </c>
      <c r="O11" s="50">
        <f t="shared" si="5"/>
        <v>32000</v>
      </c>
      <c r="P11" s="50">
        <f t="shared" si="6"/>
        <v>32000</v>
      </c>
      <c r="Q11" s="50">
        <f t="shared" si="7"/>
        <v>32000</v>
      </c>
      <c r="R11" s="50">
        <v>0</v>
      </c>
      <c r="S11" s="50">
        <v>0</v>
      </c>
    </row>
    <row r="12" spans="2:19" x14ac:dyDescent="0.25">
      <c r="G12" s="5" t="s">
        <v>229</v>
      </c>
      <c r="H12" s="50">
        <f>InvActivosFijos!F23</f>
        <v>1630000</v>
      </c>
      <c r="I12" s="17">
        <v>1</v>
      </c>
      <c r="J12" s="50">
        <f>H12*I12</f>
        <v>1630000</v>
      </c>
      <c r="K12" s="17">
        <v>1</v>
      </c>
      <c r="L12" s="50">
        <f>J12/K12</f>
        <v>1630000</v>
      </c>
      <c r="M12" s="50">
        <f t="shared" si="2"/>
        <v>1630000</v>
      </c>
      <c r="N12" s="50">
        <f t="shared" ref="N12:S13" si="9">M12</f>
        <v>1630000</v>
      </c>
      <c r="O12" s="50">
        <f t="shared" si="9"/>
        <v>1630000</v>
      </c>
      <c r="P12" s="50">
        <f t="shared" si="9"/>
        <v>1630000</v>
      </c>
      <c r="Q12" s="50">
        <f t="shared" si="9"/>
        <v>1630000</v>
      </c>
      <c r="R12" s="50">
        <f t="shared" si="9"/>
        <v>1630000</v>
      </c>
      <c r="S12" s="50">
        <f t="shared" si="9"/>
        <v>1630000</v>
      </c>
    </row>
    <row r="13" spans="2:19" x14ac:dyDescent="0.25">
      <c r="G13" s="5" t="s">
        <v>230</v>
      </c>
      <c r="H13" s="50">
        <f>InvActivosFijos!F39</f>
        <v>300000</v>
      </c>
      <c r="I13" s="17">
        <v>1</v>
      </c>
      <c r="J13" s="50">
        <f>H13*I13</f>
        <v>300000</v>
      </c>
      <c r="K13" s="17">
        <v>1</v>
      </c>
      <c r="L13" s="50">
        <f>J13/K13</f>
        <v>300000</v>
      </c>
      <c r="M13" s="50">
        <f t="shared" si="2"/>
        <v>300000</v>
      </c>
      <c r="N13" s="50">
        <f t="shared" si="9"/>
        <v>300000</v>
      </c>
      <c r="O13" s="50">
        <f t="shared" si="9"/>
        <v>300000</v>
      </c>
      <c r="P13" s="50">
        <f t="shared" si="9"/>
        <v>300000</v>
      </c>
      <c r="Q13" s="50">
        <f t="shared" si="9"/>
        <v>300000</v>
      </c>
      <c r="R13" s="50">
        <f t="shared" si="9"/>
        <v>300000</v>
      </c>
      <c r="S13" s="50">
        <f t="shared" si="9"/>
        <v>300000</v>
      </c>
    </row>
    <row r="14" spans="2:19" x14ac:dyDescent="0.25">
      <c r="B14" s="656" t="s">
        <v>231</v>
      </c>
      <c r="C14" s="656"/>
      <c r="D14" s="656"/>
      <c r="E14" s="656"/>
      <c r="G14" s="5"/>
      <c r="H14" s="66"/>
      <c r="I14" s="17"/>
      <c r="J14" s="66"/>
      <c r="K14" s="17"/>
      <c r="L14" s="66"/>
      <c r="M14" s="66"/>
      <c r="N14" s="66"/>
      <c r="O14" s="66"/>
      <c r="P14" s="66"/>
      <c r="Q14" s="66"/>
      <c r="R14" s="66"/>
      <c r="S14" s="66"/>
    </row>
    <row r="15" spans="2:19" x14ac:dyDescent="0.25">
      <c r="B15" s="184" t="s">
        <v>205</v>
      </c>
      <c r="C15" s="184" t="s">
        <v>232</v>
      </c>
      <c r="D15" s="184" t="s">
        <v>233</v>
      </c>
      <c r="E15" s="184" t="s">
        <v>215</v>
      </c>
      <c r="G15" s="5"/>
      <c r="H15" s="66"/>
      <c r="I15" s="17"/>
      <c r="J15" s="66"/>
      <c r="K15" s="17"/>
      <c r="L15" s="66"/>
      <c r="M15" s="19"/>
      <c r="N15" s="19"/>
      <c r="O15" s="19"/>
      <c r="P15" s="19"/>
      <c r="Q15" s="19"/>
      <c r="R15" s="19"/>
      <c r="S15" s="19"/>
    </row>
    <row r="16" spans="2:19" x14ac:dyDescent="0.25">
      <c r="B16" s="17" t="s">
        <v>234</v>
      </c>
      <c r="C16" s="50">
        <f>M7</f>
        <v>250000</v>
      </c>
      <c r="D16" s="50">
        <f>N7</f>
        <v>250000</v>
      </c>
      <c r="E16" s="50">
        <f>O7</f>
        <v>250000</v>
      </c>
      <c r="G16" s="64" t="s">
        <v>83</v>
      </c>
      <c r="H16" s="450">
        <f>SUM(H7:H15)</f>
        <v>5120000</v>
      </c>
      <c r="I16" s="64"/>
      <c r="J16" s="450">
        <f>SUM(J7:J15)</f>
        <v>8340000</v>
      </c>
      <c r="K16" s="64"/>
      <c r="L16" s="450">
        <f t="shared" ref="L16:S16" si="10">SUM(L7:L15)</f>
        <v>4064000</v>
      </c>
      <c r="M16" s="450">
        <f t="shared" si="10"/>
        <v>4064000</v>
      </c>
      <c r="N16" s="450">
        <f t="shared" si="10"/>
        <v>4064000</v>
      </c>
      <c r="O16" s="450">
        <f t="shared" si="10"/>
        <v>4064000</v>
      </c>
      <c r="P16" s="450">
        <f t="shared" si="10"/>
        <v>2397333.3333333335</v>
      </c>
      <c r="Q16" s="450">
        <f t="shared" si="10"/>
        <v>2397333.3333333335</v>
      </c>
      <c r="R16" s="450">
        <f t="shared" si="10"/>
        <v>2253333.333333333</v>
      </c>
      <c r="S16" s="450">
        <f t="shared" si="10"/>
        <v>2180000</v>
      </c>
    </row>
    <row r="17" spans="2:19" x14ac:dyDescent="0.25">
      <c r="B17" s="17" t="s">
        <v>181</v>
      </c>
      <c r="C17" s="50">
        <f>M8</f>
        <v>1666666.6666666667</v>
      </c>
      <c r="D17" s="50">
        <f>N8</f>
        <v>1666666.6666666667</v>
      </c>
      <c r="E17" s="50">
        <f t="shared" ref="E17" si="11">O8</f>
        <v>1666666.6666666667</v>
      </c>
      <c r="M17" s="1"/>
      <c r="N17" s="1"/>
      <c r="O17" s="1"/>
      <c r="P17" s="1"/>
      <c r="Q17" s="1"/>
      <c r="R17" s="1"/>
      <c r="S17" s="1"/>
    </row>
    <row r="18" spans="2:19" x14ac:dyDescent="0.25">
      <c r="B18" s="17" t="s">
        <v>227</v>
      </c>
      <c r="C18" s="50">
        <f>SUM(M9:M11)</f>
        <v>217333.33333333331</v>
      </c>
      <c r="D18" s="50">
        <f>SUM(N9:N11)</f>
        <v>217333.33333333331</v>
      </c>
      <c r="E18" s="50">
        <f>SUM(O9:O11)</f>
        <v>217333.33333333331</v>
      </c>
    </row>
    <row r="19" spans="2:19" x14ac:dyDescent="0.25">
      <c r="B19" s="17" t="s">
        <v>229</v>
      </c>
      <c r="C19" s="50">
        <f>(M12+M13)</f>
        <v>1930000</v>
      </c>
      <c r="D19" s="50">
        <f>(N12+N13)</f>
        <v>1930000</v>
      </c>
      <c r="E19" s="50">
        <f>(O12+O13)</f>
        <v>1930000</v>
      </c>
    </row>
    <row r="20" spans="2:19" x14ac:dyDescent="0.25">
      <c r="B20" s="235" t="s">
        <v>83</v>
      </c>
      <c r="C20" s="168">
        <f>SUM(C16:C19)</f>
        <v>4064000</v>
      </c>
      <c r="D20" s="168">
        <f>SUM(D16:D19)</f>
        <v>4064000</v>
      </c>
      <c r="E20" s="64">
        <f>SUM(E16:E19)</f>
        <v>4064000</v>
      </c>
      <c r="M20" s="1"/>
      <c r="N20" s="1"/>
      <c r="O20" s="1"/>
      <c r="P20" s="1"/>
      <c r="Q20" s="1"/>
      <c r="R20" s="1"/>
      <c r="S20" s="1"/>
    </row>
    <row r="21" spans="2:19" x14ac:dyDescent="0.25">
      <c r="M21" s="1"/>
      <c r="N21" s="1"/>
      <c r="O21" s="1"/>
      <c r="P21" s="1"/>
      <c r="Q21" s="1"/>
      <c r="R21" s="1"/>
      <c r="S21" s="1"/>
    </row>
    <row r="22" spans="2:19" x14ac:dyDescent="0.25">
      <c r="B22" s="656" t="s">
        <v>235</v>
      </c>
      <c r="C22" s="656"/>
      <c r="D22" s="656"/>
      <c r="E22" s="656"/>
    </row>
    <row r="23" spans="2:19" x14ac:dyDescent="0.25">
      <c r="B23" s="515" t="s">
        <v>205</v>
      </c>
      <c r="C23" s="184" t="s">
        <v>232</v>
      </c>
      <c r="D23" s="184" t="s">
        <v>233</v>
      </c>
      <c r="E23" s="184" t="s">
        <v>215</v>
      </c>
    </row>
    <row r="24" spans="2:19" x14ac:dyDescent="0.25">
      <c r="B24" s="17" t="s">
        <v>234</v>
      </c>
      <c r="C24" s="50">
        <f>C16</f>
        <v>250000</v>
      </c>
      <c r="D24" s="50">
        <f t="shared" ref="D24:E27" si="12">C24+D16</f>
        <v>500000</v>
      </c>
      <c r="E24" s="50">
        <f t="shared" si="12"/>
        <v>750000</v>
      </c>
    </row>
    <row r="25" spans="2:19" x14ac:dyDescent="0.25">
      <c r="B25" s="17" t="s">
        <v>234</v>
      </c>
      <c r="C25" s="50">
        <f>C17</f>
        <v>1666666.6666666667</v>
      </c>
      <c r="D25" s="50">
        <f t="shared" si="12"/>
        <v>3333333.3333333335</v>
      </c>
      <c r="E25" s="50">
        <f t="shared" si="12"/>
        <v>5000000</v>
      </c>
    </row>
    <row r="26" spans="2:19" x14ac:dyDescent="0.25">
      <c r="B26" s="17" t="s">
        <v>227</v>
      </c>
      <c r="C26" s="50">
        <f>C18</f>
        <v>217333.33333333331</v>
      </c>
      <c r="D26" s="50">
        <f t="shared" si="12"/>
        <v>434666.66666666663</v>
      </c>
      <c r="E26" s="50">
        <f t="shared" si="12"/>
        <v>652000</v>
      </c>
    </row>
    <row r="27" spans="2:19" x14ac:dyDescent="0.25">
      <c r="B27" s="17" t="str">
        <f>B19</f>
        <v>Software Especializado</v>
      </c>
      <c r="C27" s="50">
        <f>C19</f>
        <v>1930000</v>
      </c>
      <c r="D27" s="50">
        <f t="shared" si="12"/>
        <v>3860000</v>
      </c>
      <c r="E27" s="50">
        <f t="shared" si="12"/>
        <v>5790000</v>
      </c>
    </row>
    <row r="28" spans="2:19" x14ac:dyDescent="0.25">
      <c r="B28" s="235" t="s">
        <v>83</v>
      </c>
      <c r="C28" s="64">
        <f>SUM(C24:C27)</f>
        <v>4064000</v>
      </c>
      <c r="D28" s="168">
        <f>SUM(D24:D27)</f>
        <v>8128000</v>
      </c>
      <c r="E28" s="64">
        <f>SUM(E24:E27)</f>
        <v>12192000</v>
      </c>
    </row>
  </sheetData>
  <mergeCells count="11">
    <mergeCell ref="B22:E22"/>
    <mergeCell ref="M5:S5"/>
    <mergeCell ref="J5:J6"/>
    <mergeCell ref="B14:E14"/>
    <mergeCell ref="B4:C4"/>
    <mergeCell ref="G5:G6"/>
    <mergeCell ref="H5:H6"/>
    <mergeCell ref="I5:I6"/>
    <mergeCell ref="K5:K6"/>
    <mergeCell ref="L5:L6"/>
    <mergeCell ref="G4:S4"/>
  </mergeCells>
  <phoneticPr fontId="10" type="noConversion"/>
  <conditionalFormatting sqref="M6 M15:S15">
    <cfRule type="expression" dxfId="47" priority="5">
      <formula>$M7=""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5:L18"/>
  <sheetViews>
    <sheetView workbookViewId="0">
      <selection activeCell="I5" sqref="I5"/>
    </sheetView>
  </sheetViews>
  <sheetFormatPr baseColWidth="10" defaultColWidth="11.5" defaultRowHeight="15" x14ac:dyDescent="0.25"/>
  <cols>
    <col min="1" max="1" width="11.5" style="1"/>
    <col min="2" max="2" width="50.875" style="1" customWidth="1"/>
    <col min="3" max="3" width="11.875" style="1" customWidth="1"/>
    <col min="4" max="12" width="11.5" style="1" customWidth="1"/>
    <col min="13" max="16384" width="11.5" style="1"/>
  </cols>
  <sheetData>
    <row r="5" spans="2:12" x14ac:dyDescent="0.25">
      <c r="B5" s="648" t="s">
        <v>236</v>
      </c>
      <c r="C5" s="662"/>
      <c r="D5" s="662"/>
    </row>
    <row r="6" spans="2:12" x14ac:dyDescent="0.25">
      <c r="B6" s="528" t="s">
        <v>207</v>
      </c>
      <c r="C6" s="528" t="s">
        <v>237</v>
      </c>
      <c r="D6" s="528" t="s">
        <v>238</v>
      </c>
      <c r="F6" s="656" t="s">
        <v>239</v>
      </c>
      <c r="G6" s="656"/>
      <c r="H6" s="656"/>
    </row>
    <row r="7" spans="2:12" x14ac:dyDescent="0.25">
      <c r="B7" s="22" t="s">
        <v>240</v>
      </c>
      <c r="C7" s="50">
        <f>F7+F11+F8+F9+F10</f>
        <v>303500</v>
      </c>
      <c r="D7" s="23">
        <f>C7/$C$11</f>
        <v>0.22094151904877457</v>
      </c>
      <c r="F7" s="50">
        <v>135000</v>
      </c>
      <c r="G7" s="238" t="s">
        <v>241</v>
      </c>
      <c r="H7" s="238"/>
    </row>
    <row r="8" spans="2:12" x14ac:dyDescent="0.25">
      <c r="B8" s="22" t="s">
        <v>242</v>
      </c>
      <c r="C8" s="50">
        <f>InvActivosFijos!I10*2/30</f>
        <v>66666.666666666672</v>
      </c>
      <c r="D8" s="23">
        <f>C8/$C$11</f>
        <v>4.8531909730647901E-2</v>
      </c>
      <c r="F8" s="50">
        <v>48000</v>
      </c>
      <c r="G8" s="143" t="s">
        <v>243</v>
      </c>
      <c r="H8" s="143"/>
    </row>
    <row r="9" spans="2:12" x14ac:dyDescent="0.25">
      <c r="B9" s="22" t="s">
        <v>244</v>
      </c>
      <c r="C9" s="50">
        <v>1003500</v>
      </c>
      <c r="D9" s="23">
        <f>C9/$C$11</f>
        <v>0.73052657122057751</v>
      </c>
      <c r="F9" s="50">
        <v>16000</v>
      </c>
      <c r="G9" s="143" t="s">
        <v>245</v>
      </c>
      <c r="H9" s="143"/>
    </row>
    <row r="10" spans="2:12" x14ac:dyDescent="0.25">
      <c r="B10" s="22"/>
      <c r="C10" s="157"/>
      <c r="D10" s="23"/>
      <c r="F10" s="50">
        <v>6500</v>
      </c>
      <c r="G10" s="143" t="s">
        <v>246</v>
      </c>
      <c r="H10" s="143"/>
    </row>
    <row r="11" spans="2:12" x14ac:dyDescent="0.25">
      <c r="B11" s="593" t="s">
        <v>247</v>
      </c>
      <c r="C11" s="450">
        <f>SUM(C7:C9)</f>
        <v>1373666.6666666667</v>
      </c>
      <c r="D11" s="131">
        <f>SUM(D7:D9)</f>
        <v>1</v>
      </c>
      <c r="F11" s="50">
        <v>98000</v>
      </c>
      <c r="G11" s="143" t="s">
        <v>248</v>
      </c>
      <c r="H11" s="143"/>
    </row>
    <row r="13" spans="2:12" x14ac:dyDescent="0.25">
      <c r="B13" s="660" t="s">
        <v>249</v>
      </c>
      <c r="C13" s="663"/>
      <c r="D13" s="663"/>
      <c r="E13" s="663"/>
      <c r="F13" s="663"/>
      <c r="G13" s="663"/>
      <c r="H13" s="663"/>
      <c r="I13" s="663"/>
      <c r="J13" s="663"/>
      <c r="K13" s="663"/>
      <c r="L13" s="661"/>
    </row>
    <row r="14" spans="2:12" x14ac:dyDescent="0.25">
      <c r="B14" s="664" t="s">
        <v>207</v>
      </c>
      <c r="C14" s="658" t="s">
        <v>250</v>
      </c>
      <c r="D14" s="658" t="s">
        <v>251</v>
      </c>
      <c r="E14" s="130"/>
      <c r="F14" s="665" t="s">
        <v>252</v>
      </c>
      <c r="G14" s="666"/>
      <c r="H14" s="666"/>
      <c r="I14" s="666"/>
      <c r="J14" s="666"/>
      <c r="K14" s="666"/>
      <c r="L14" s="667"/>
    </row>
    <row r="15" spans="2:12" x14ac:dyDescent="0.25">
      <c r="B15" s="664"/>
      <c r="C15" s="659"/>
      <c r="D15" s="659"/>
      <c r="E15" s="515" t="s">
        <v>253</v>
      </c>
      <c r="F15" s="515" t="s">
        <v>213</v>
      </c>
      <c r="G15" s="515" t="s">
        <v>214</v>
      </c>
      <c r="H15" s="515" t="s">
        <v>215</v>
      </c>
      <c r="I15" s="515" t="s">
        <v>216</v>
      </c>
      <c r="J15" s="515" t="s">
        <v>217</v>
      </c>
      <c r="K15" s="515" t="s">
        <v>218</v>
      </c>
      <c r="L15" s="515" t="s">
        <v>219</v>
      </c>
    </row>
    <row r="16" spans="2:12" x14ac:dyDescent="0.25">
      <c r="B16" s="592" t="s">
        <v>254</v>
      </c>
      <c r="C16" s="50">
        <f>C11</f>
        <v>1373666.6666666667</v>
      </c>
      <c r="D16" s="534">
        <v>7</v>
      </c>
      <c r="E16" s="50">
        <f>$C$16/$D$16</f>
        <v>196238.09523809524</v>
      </c>
      <c r="F16" s="50">
        <f>C16+$E$16</f>
        <v>1569904.7619047619</v>
      </c>
      <c r="G16" s="50">
        <f>F16+$E$16</f>
        <v>1766142.857142857</v>
      </c>
      <c r="H16" s="50">
        <f>G16+$E$16</f>
        <v>1962380.9523809522</v>
      </c>
      <c r="I16" s="50">
        <f t="shared" ref="I16:K16" si="0">H16+$E$16</f>
        <v>2158619.0476190476</v>
      </c>
      <c r="J16" s="50">
        <f t="shared" si="0"/>
        <v>2354857.1428571427</v>
      </c>
      <c r="K16" s="50">
        <f t="shared" si="0"/>
        <v>2551095.2380952379</v>
      </c>
      <c r="L16" s="50">
        <f>K16+$E$16</f>
        <v>2747333.333333333</v>
      </c>
    </row>
    <row r="18" spans="8:8" x14ac:dyDescent="0.25">
      <c r="H18" s="1" t="s">
        <v>255</v>
      </c>
    </row>
  </sheetData>
  <mergeCells count="7">
    <mergeCell ref="B5:D5"/>
    <mergeCell ref="B13:L13"/>
    <mergeCell ref="B14:B15"/>
    <mergeCell ref="C14:C15"/>
    <mergeCell ref="D14:D15"/>
    <mergeCell ref="F14:L14"/>
    <mergeCell ref="F6:H6"/>
  </mergeCells>
  <phoneticPr fontId="10" type="noConversion"/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U28"/>
  <sheetViews>
    <sheetView zoomScale="85" zoomScaleNormal="85" workbookViewId="0">
      <selection activeCell="U22" sqref="U22"/>
    </sheetView>
  </sheetViews>
  <sheetFormatPr baseColWidth="10" defaultColWidth="11.5" defaultRowHeight="15" x14ac:dyDescent="0.25"/>
  <cols>
    <col min="1" max="9" width="11.5" style="1"/>
    <col min="10" max="10" width="11.875" style="1" customWidth="1"/>
    <col min="11" max="11" width="11.5" style="29"/>
    <col min="12" max="19" width="11.5" style="1"/>
    <col min="20" max="20" width="17.125" style="1" customWidth="1"/>
    <col min="21" max="16384" width="11.5" style="1"/>
  </cols>
  <sheetData>
    <row r="1" spans="1:73" x14ac:dyDescent="0.25">
      <c r="K1" s="1"/>
    </row>
    <row r="2" spans="1:73" x14ac:dyDescent="0.25">
      <c r="K2" s="1"/>
    </row>
    <row r="3" spans="1:73" x14ac:dyDescent="0.25">
      <c r="K3" s="1"/>
    </row>
    <row r="4" spans="1:73" ht="14.25" customHeight="1" x14ac:dyDescent="0.25">
      <c r="K4" s="1"/>
    </row>
    <row r="5" spans="1:73" s="7" customFormat="1" ht="15" customHeight="1" thickBo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73" s="7" customFormat="1" ht="15.75" thickBot="1" x14ac:dyDescent="0.3">
      <c r="A6" s="1"/>
      <c r="B6" s="668" t="s">
        <v>256</v>
      </c>
      <c r="C6" s="669"/>
      <c r="D6" s="669"/>
      <c r="E6" s="669"/>
      <c r="F6" s="669"/>
      <c r="G6" s="669"/>
      <c r="H6" s="669"/>
      <c r="I6" s="669"/>
      <c r="J6" s="669"/>
      <c r="K6" s="669"/>
      <c r="L6" s="669"/>
      <c r="M6" s="669"/>
      <c r="N6" s="669"/>
      <c r="O6" s="669"/>
      <c r="P6" s="669"/>
      <c r="Q6" s="669"/>
      <c r="R6" s="669"/>
      <c r="S6" s="669"/>
      <c r="T6" s="669"/>
      <c r="U6" s="669"/>
      <c r="V6" s="669"/>
      <c r="W6" s="669"/>
      <c r="X6" s="670"/>
      <c r="Y6" s="1"/>
      <c r="Z6" s="1"/>
      <c r="AA6" s="1"/>
      <c r="AB6" s="1"/>
      <c r="AC6" s="1"/>
      <c r="AD6" s="1"/>
      <c r="AE6" s="1"/>
      <c r="AF6" s="1"/>
      <c r="AG6" s="1"/>
    </row>
    <row r="7" spans="1:73" s="7" customFormat="1" x14ac:dyDescent="0.25">
      <c r="A7" s="1"/>
      <c r="B7" s="25"/>
      <c r="C7" s="25">
        <v>100</v>
      </c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6"/>
      <c r="Y7" s="1"/>
      <c r="Z7" s="1"/>
      <c r="AA7" s="1"/>
      <c r="AB7" s="1"/>
      <c r="AC7" s="1"/>
      <c r="AD7" s="1"/>
      <c r="AE7" s="1"/>
      <c r="AF7" s="1"/>
      <c r="AG7" s="1"/>
    </row>
    <row r="8" spans="1:73" s="7" customFormat="1" x14ac:dyDescent="0.25">
      <c r="A8" s="1"/>
      <c r="B8" s="192" t="s">
        <v>257</v>
      </c>
      <c r="C8" s="380">
        <f>0.0649*$C$7</f>
        <v>6.49</v>
      </c>
      <c r="D8" s="380">
        <f>0.055*C7</f>
        <v>5.5</v>
      </c>
      <c r="E8" s="380">
        <f>0.0485*C7</f>
        <v>4.8500000000000005</v>
      </c>
      <c r="F8" s="380">
        <f>0.0448*C7</f>
        <v>4.4799999999999995</v>
      </c>
      <c r="G8" s="380">
        <f>0.0569*C7</f>
        <v>5.6899999999999995</v>
      </c>
      <c r="H8" s="380">
        <f>0.0767*C7</f>
        <v>7.6700000000000008</v>
      </c>
      <c r="I8" s="380">
        <f>0.02*C7</f>
        <v>2</v>
      </c>
      <c r="J8" s="380">
        <f>0.0317*C7</f>
        <v>3.17</v>
      </c>
      <c r="K8" s="380">
        <f>0.0373*C7</f>
        <v>3.73</v>
      </c>
      <c r="L8" s="380">
        <f>0.0244*C7</f>
        <v>2.44</v>
      </c>
      <c r="M8" s="380">
        <f>0.0194*C7</f>
        <v>1.94</v>
      </c>
      <c r="N8" s="380">
        <f>0.0366*C7</f>
        <v>3.66</v>
      </c>
      <c r="O8" s="380">
        <f>0.0677*C7</f>
        <v>6.77</v>
      </c>
      <c r="P8" s="380">
        <f>0.0575*C7</f>
        <v>5.75</v>
      </c>
      <c r="Q8" s="380">
        <f>0.0409*C7</f>
        <v>4.09</v>
      </c>
      <c r="R8" s="380">
        <f>0.0318*C7</f>
        <v>3.18</v>
      </c>
      <c r="S8" s="380">
        <f>0.038*C7</f>
        <v>3.8</v>
      </c>
      <c r="T8" s="380">
        <f>0.0161*C7</f>
        <v>1.6099999999999999</v>
      </c>
      <c r="U8" s="380">
        <f>0.0562*C7</f>
        <v>5.62</v>
      </c>
      <c r="V8" s="244">
        <v>3.5480000000000178E-2</v>
      </c>
      <c r="W8" s="244">
        <v>3.4910000000000219E-2</v>
      </c>
      <c r="X8" s="244">
        <v>3.4340000000000037E-2</v>
      </c>
      <c r="Y8" s="1"/>
      <c r="Z8" s="1"/>
      <c r="AA8" s="1"/>
      <c r="AB8" s="1"/>
      <c r="AC8" s="1"/>
      <c r="AD8" s="1"/>
      <c r="AE8" s="1"/>
      <c r="AF8" s="1"/>
      <c r="AG8" s="1"/>
    </row>
    <row r="9" spans="1:73" s="7" customFormat="1" x14ac:dyDescent="0.25">
      <c r="A9" s="1"/>
      <c r="B9" s="192" t="s">
        <v>258</v>
      </c>
      <c r="C9" s="27">
        <v>2003</v>
      </c>
      <c r="D9" s="27">
        <v>2004</v>
      </c>
      <c r="E9" s="27">
        <v>2005</v>
      </c>
      <c r="F9" s="27">
        <v>2006</v>
      </c>
      <c r="G9" s="27">
        <v>2007</v>
      </c>
      <c r="H9" s="27">
        <v>2008</v>
      </c>
      <c r="I9" s="27">
        <v>2009</v>
      </c>
      <c r="J9" s="27">
        <v>2010</v>
      </c>
      <c r="K9" s="27">
        <v>2011</v>
      </c>
      <c r="L9" s="27">
        <v>2012</v>
      </c>
      <c r="M9" s="27">
        <v>2013</v>
      </c>
      <c r="N9" s="27">
        <v>2014</v>
      </c>
      <c r="O9" s="27">
        <v>2015</v>
      </c>
      <c r="P9" s="27">
        <v>2016</v>
      </c>
      <c r="Q9" s="27">
        <v>2017</v>
      </c>
      <c r="R9" s="27">
        <v>2018</v>
      </c>
      <c r="S9" s="27">
        <v>2019</v>
      </c>
      <c r="T9" s="27">
        <v>2020</v>
      </c>
      <c r="U9" s="27">
        <v>2021</v>
      </c>
      <c r="V9" s="28">
        <v>2022</v>
      </c>
      <c r="W9" s="28">
        <v>2023</v>
      </c>
      <c r="X9" s="28">
        <v>2024</v>
      </c>
      <c r="Y9" s="1"/>
      <c r="Z9" s="1"/>
      <c r="AA9" s="1"/>
      <c r="AB9" s="1"/>
      <c r="AC9" s="1"/>
      <c r="AD9" s="1"/>
      <c r="AE9" s="1"/>
      <c r="AF9" s="1"/>
      <c r="AG9" s="1"/>
    </row>
    <row r="10" spans="1:73" s="7" customFormat="1" x14ac:dyDescent="0.25">
      <c r="A10" s="1"/>
      <c r="B10" s="1"/>
      <c r="C10" s="241">
        <v>6.4899999999999999E-2</v>
      </c>
      <c r="D10" s="241">
        <v>5.5E-2</v>
      </c>
      <c r="E10" s="241">
        <v>4.8500000000000001E-2</v>
      </c>
      <c r="F10" s="241">
        <v>4.48E-2</v>
      </c>
      <c r="G10" s="241">
        <v>5.6899999999999999E-2</v>
      </c>
      <c r="H10" s="241">
        <v>7.6700000000000004E-2</v>
      </c>
      <c r="I10" s="241">
        <v>0.02</v>
      </c>
      <c r="J10" s="241">
        <v>3.1699999999999999E-2</v>
      </c>
      <c r="K10" s="241">
        <v>3.73E-2</v>
      </c>
      <c r="L10" s="241">
        <v>2.4400000000000002E-2</v>
      </c>
      <c r="M10" s="241">
        <v>1.9400000000000001E-2</v>
      </c>
      <c r="N10" s="241">
        <v>3.6600000000000001E-2</v>
      </c>
      <c r="O10" s="241">
        <v>6.7699999999999996E-2</v>
      </c>
      <c r="P10" s="241">
        <v>5.7500000000000002E-2</v>
      </c>
      <c r="Q10" s="241">
        <v>4.0899999999999999E-2</v>
      </c>
      <c r="R10" s="241">
        <v>3.1800000000000002E-2</v>
      </c>
      <c r="S10" s="241">
        <v>3.7999999999999999E-2</v>
      </c>
      <c r="T10" s="241">
        <v>1.61E-2</v>
      </c>
      <c r="U10" s="241">
        <v>5.62E-2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73" s="7" customForma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73" s="7" customFormat="1" x14ac:dyDescent="0.25">
      <c r="A12" s="1"/>
      <c r="B12" s="1"/>
      <c r="C12" s="1"/>
      <c r="D12" s="511" t="s">
        <v>259</v>
      </c>
      <c r="E12" s="511" t="s">
        <v>260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73" s="7" customFormat="1" x14ac:dyDescent="0.25">
      <c r="A13" s="1"/>
      <c r="B13" s="1"/>
      <c r="C13" s="1"/>
      <c r="D13" s="27">
        <v>2009</v>
      </c>
      <c r="E13" s="241">
        <v>0.02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s="7" customFormat="1" ht="15" customHeight="1" x14ac:dyDescent="0.25">
      <c r="A14" s="1"/>
      <c r="B14" s="1"/>
      <c r="C14" s="1"/>
      <c r="D14" s="27">
        <v>2010</v>
      </c>
      <c r="E14" s="241">
        <v>3.1699999999999999E-2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x14ac:dyDescent="0.25">
      <c r="D15" s="27">
        <v>2011</v>
      </c>
      <c r="E15" s="241">
        <v>3.73E-2</v>
      </c>
    </row>
    <row r="16" spans="1:73" x14ac:dyDescent="0.25">
      <c r="D16" s="27">
        <v>2012</v>
      </c>
      <c r="E16" s="241">
        <v>2.4400000000000002E-2</v>
      </c>
    </row>
    <row r="17" spans="3:13" x14ac:dyDescent="0.25">
      <c r="D17" s="27">
        <v>2013</v>
      </c>
      <c r="E17" s="241">
        <v>1.9400000000000001E-2</v>
      </c>
    </row>
    <row r="18" spans="3:13" x14ac:dyDescent="0.25">
      <c r="D18" s="27">
        <v>2014</v>
      </c>
      <c r="E18" s="241">
        <v>3.6600000000000001E-2</v>
      </c>
    </row>
    <row r="19" spans="3:13" x14ac:dyDescent="0.25">
      <c r="D19" s="27">
        <v>2015</v>
      </c>
      <c r="E19" s="241">
        <v>6.7699999999999996E-2</v>
      </c>
    </row>
    <row r="20" spans="3:13" x14ac:dyDescent="0.25">
      <c r="D20" s="27">
        <v>2016</v>
      </c>
      <c r="E20" s="241">
        <v>5.7500000000000002E-2</v>
      </c>
    </row>
    <row r="21" spans="3:13" x14ac:dyDescent="0.25">
      <c r="D21" s="27">
        <v>2017</v>
      </c>
      <c r="E21" s="241">
        <v>4.0899999999999999E-2</v>
      </c>
    </row>
    <row r="22" spans="3:13" x14ac:dyDescent="0.25">
      <c r="D22" s="27">
        <v>2018</v>
      </c>
      <c r="E22" s="241">
        <v>3.1800000000000002E-2</v>
      </c>
    </row>
    <row r="23" spans="3:13" x14ac:dyDescent="0.25">
      <c r="D23" s="27">
        <v>2019</v>
      </c>
      <c r="E23" s="241">
        <v>3.7999999999999999E-2</v>
      </c>
    </row>
    <row r="24" spans="3:13" x14ac:dyDescent="0.25">
      <c r="D24" s="27">
        <v>2020</v>
      </c>
      <c r="E24" s="241">
        <v>1.61E-2</v>
      </c>
    </row>
    <row r="25" spans="3:13" x14ac:dyDescent="0.25">
      <c r="D25" s="27">
        <v>2021</v>
      </c>
      <c r="E25" s="242">
        <v>5.62E-2</v>
      </c>
    </row>
    <row r="26" spans="3:13" x14ac:dyDescent="0.25">
      <c r="C26" s="512" t="s">
        <v>261</v>
      </c>
      <c r="D26" s="240">
        <v>2022</v>
      </c>
      <c r="E26" s="243">
        <v>3.4285999999999997E-2</v>
      </c>
      <c r="M26" s="379"/>
    </row>
    <row r="27" spans="3:13" x14ac:dyDescent="0.25">
      <c r="C27" s="512" t="s">
        <v>162</v>
      </c>
      <c r="D27" s="240">
        <v>2023</v>
      </c>
      <c r="E27" s="243">
        <v>3.3299000000000002E-2</v>
      </c>
      <c r="M27" s="379"/>
    </row>
    <row r="28" spans="3:13" x14ac:dyDescent="0.25">
      <c r="C28" s="512" t="s">
        <v>163</v>
      </c>
      <c r="D28" s="240">
        <v>2024</v>
      </c>
      <c r="E28" s="243">
        <v>3.2312E-2</v>
      </c>
      <c r="M28" s="379"/>
    </row>
  </sheetData>
  <mergeCells count="1">
    <mergeCell ref="B6:X6"/>
  </mergeCells>
  <phoneticPr fontId="10" type="noConversion"/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38</vt:i4>
      </vt:variant>
    </vt:vector>
  </HeadingPairs>
  <TitlesOfParts>
    <vt:vector size="38" baseType="lpstr">
      <vt:lpstr>FODA</vt:lpstr>
      <vt:lpstr>FODA_Aumentada</vt:lpstr>
      <vt:lpstr>WorkFlowServicio</vt:lpstr>
      <vt:lpstr>Organigrama</vt:lpstr>
      <vt:lpstr>PronósticoDmda</vt:lpstr>
      <vt:lpstr>InvActivosFijos</vt:lpstr>
      <vt:lpstr>DepreciaciónActFijos</vt:lpstr>
      <vt:lpstr>GastosArranque</vt:lpstr>
      <vt:lpstr>ProyecciónIPC</vt:lpstr>
      <vt:lpstr>EgrePlanOrgá</vt:lpstr>
      <vt:lpstr>EgreUndPlanOrgá</vt:lpstr>
      <vt:lpstr>Egre$PlanOrgá</vt:lpstr>
      <vt:lpstr>EgrePlanMix</vt:lpstr>
      <vt:lpstr>EgreUndPlanMix</vt:lpstr>
      <vt:lpstr>Egre$PlanMix</vt:lpstr>
      <vt:lpstr>CapProd</vt:lpstr>
      <vt:lpstr>AtenciónDmda</vt:lpstr>
      <vt:lpstr>PrestSociales</vt:lpstr>
      <vt:lpstr>PresPersonal</vt:lpstr>
      <vt:lpstr>HE-PersonalTemp</vt:lpstr>
      <vt:lpstr>PresCostosProd</vt:lpstr>
      <vt:lpstr>PresGastosAdmin</vt:lpstr>
      <vt:lpstr>PresOperac</vt:lpstr>
      <vt:lpstr>ProyIngresos</vt:lpstr>
      <vt:lpstr>PresIngresos</vt:lpstr>
      <vt:lpstr>GastosVentas</vt:lpstr>
      <vt:lpstr>ClasifCostos</vt:lpstr>
      <vt:lpstr>IngVsEgr</vt:lpstr>
      <vt:lpstr>InvCapital</vt:lpstr>
      <vt:lpstr>InvTotal</vt:lpstr>
      <vt:lpstr>Crédito</vt:lpstr>
      <vt:lpstr>EstadoResult</vt:lpstr>
      <vt:lpstr>CashFlow</vt:lpstr>
      <vt:lpstr>BG-AV</vt:lpstr>
      <vt:lpstr>BG-AH</vt:lpstr>
      <vt:lpstr>Med_Anali</vt:lpstr>
      <vt:lpstr>IndicFinanc</vt:lpstr>
      <vt:lpstr>Ind_Finan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Julieth</dc:creator>
  <cp:keywords/>
  <dc:description/>
  <cp:lastModifiedBy>Felipe López</cp:lastModifiedBy>
  <cp:revision/>
  <dcterms:created xsi:type="dcterms:W3CDTF">2018-10-19T17:18:21Z</dcterms:created>
  <dcterms:modified xsi:type="dcterms:W3CDTF">2022-11-13T19:21:31Z</dcterms:modified>
  <cp:category/>
  <cp:contentStatus/>
</cp:coreProperties>
</file>