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755"/>
  </bookViews>
  <sheets>
    <sheet name="Inversiones" sheetId="1" r:id="rId1"/>
    <sheet name="Detalle-CT" sheetId="10" r:id="rId2"/>
    <sheet name="Aportes y Financiación" sheetId="3" r:id="rId3"/>
    <sheet name="Costos y Gastos " sheetId="5" r:id="rId4"/>
    <sheet name="Detalle - CP " sheetId="8" r:id="rId5"/>
    <sheet name="Precio de Venta" sheetId="15" r:id="rId6"/>
    <sheet name="Proyección de ventas" sheetId="13" r:id="rId7"/>
    <sheet name="PEU" sheetId="14" r:id="rId8"/>
    <sheet name="PyG" sheetId="16" r:id="rId9"/>
    <sheet name="Flujo de Caja" sheetId="19" r:id="rId10"/>
    <sheet name="Otros Indicadores" sheetId="20" r:id="rId11"/>
    <sheet name="Balance General" sheetId="17" r:id="rId12"/>
    <sheet name="Nómina" sheetId="4" r:id="rId13"/>
    <sheet name="Detalles-N" sheetId="9" r:id="rId14"/>
    <sheet name="Amortizacion Credito" sheetId="7" r:id="rId15"/>
    <sheet name="Depreciaciones" sheetId="12" r:id="rId16"/>
    <sheet name="Cotizaciones" sheetId="6" r:id="rId17"/>
    <sheet name="Flujo de cajaT" sheetId="18" state="hidden" r:id="rId18"/>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0" l="1"/>
  <c r="F29" i="20"/>
  <c r="D15" i="20"/>
  <c r="D14" i="20"/>
  <c r="D12" i="20"/>
  <c r="D11" i="20"/>
  <c r="D9" i="20"/>
  <c r="D8" i="20"/>
  <c r="F35" i="19"/>
  <c r="D17" i="13"/>
  <c r="E17" i="13" s="1"/>
  <c r="F17" i="13" s="1"/>
  <c r="C17" i="13"/>
  <c r="D16" i="13"/>
  <c r="E16" i="13"/>
  <c r="F16" i="13" s="1"/>
  <c r="C16" i="13"/>
  <c r="F14" i="20" l="1"/>
  <c r="F11" i="20"/>
  <c r="F8" i="20"/>
  <c r="E34" i="7"/>
  <c r="F34" i="7"/>
  <c r="B5" i="17"/>
  <c r="B4" i="17"/>
  <c r="F9" i="17"/>
  <c r="F8" i="17"/>
  <c r="G7" i="17" s="1"/>
  <c r="G10" i="17" s="1"/>
  <c r="D6" i="20" s="1"/>
  <c r="F3" i="17"/>
  <c r="G2" i="17" s="1"/>
  <c r="B12" i="17"/>
  <c r="B10" i="17"/>
  <c r="B9" i="17"/>
  <c r="B8" i="17"/>
  <c r="B7" i="17"/>
  <c r="B11" i="17" s="1"/>
  <c r="G4" i="17" l="1"/>
  <c r="D24" i="20"/>
  <c r="D5" i="20"/>
  <c r="F5" i="20" s="1"/>
  <c r="C2" i="17"/>
  <c r="C6" i="17"/>
  <c r="B15" i="3"/>
  <c r="C5" i="3"/>
  <c r="C19" i="13"/>
  <c r="D19" i="13"/>
  <c r="C18" i="13"/>
  <c r="D18" i="13"/>
  <c r="B18" i="13"/>
  <c r="B19" i="13"/>
  <c r="E18" i="13"/>
  <c r="F18" i="13"/>
  <c r="G19" i="9"/>
  <c r="G18" i="9"/>
  <c r="F18" i="9"/>
  <c r="E18" i="9"/>
  <c r="B54" i="5"/>
  <c r="G11" i="4"/>
  <c r="F11" i="4"/>
  <c r="C20" i="19"/>
  <c r="D20" i="19"/>
  <c r="E20" i="19"/>
  <c r="F20" i="19"/>
  <c r="G20" i="19"/>
  <c r="G13" i="4"/>
  <c r="F13" i="4"/>
  <c r="G12" i="4"/>
  <c r="F12" i="4"/>
  <c r="G10" i="4"/>
  <c r="F10" i="4"/>
  <c r="G9" i="4"/>
  <c r="F9" i="4"/>
  <c r="D21" i="20" l="1"/>
  <c r="D27" i="20" s="1"/>
  <c r="G13" i="17"/>
  <c r="D2" i="20"/>
  <c r="D20" i="20"/>
  <c r="D23" i="20"/>
  <c r="F23" i="20" s="1"/>
  <c r="C13" i="17"/>
  <c r="D3" i="20" s="1"/>
  <c r="D20" i="13"/>
  <c r="D3" i="16" s="1"/>
  <c r="C20" i="13"/>
  <c r="D54" i="5"/>
  <c r="C54" i="5"/>
  <c r="C11" i="16"/>
  <c r="D11" i="16" s="1"/>
  <c r="E11" i="16" s="1"/>
  <c r="F11" i="16" s="1"/>
  <c r="D26" i="20" l="1"/>
  <c r="F26" i="20" s="1"/>
  <c r="F20" i="20"/>
  <c r="F2" i="20"/>
  <c r="C3" i="16"/>
  <c r="F54" i="5"/>
  <c r="E54" i="5"/>
  <c r="J33" i="19"/>
  <c r="K33" i="19" s="1"/>
  <c r="B37" i="19"/>
  <c r="F13" i="16"/>
  <c r="E13" i="16"/>
  <c r="D13" i="16"/>
  <c r="C13" i="16"/>
  <c r="B13" i="16"/>
  <c r="K34" i="19" l="1"/>
  <c r="F50" i="8"/>
  <c r="D50" i="8"/>
  <c r="K35" i="19" l="1"/>
  <c r="B10" i="16" l="1"/>
  <c r="B13" i="13"/>
  <c r="B12" i="13"/>
  <c r="G24" i="19"/>
  <c r="D20" i="10"/>
  <c r="D18" i="10"/>
  <c r="I8" i="18"/>
  <c r="I19" i="18"/>
  <c r="I12" i="18"/>
  <c r="I11" i="18"/>
  <c r="I10" i="18"/>
  <c r="E35" i="18"/>
  <c r="D35" i="18"/>
  <c r="C35" i="18"/>
  <c r="B30" i="18"/>
  <c r="B29" i="18"/>
  <c r="B35" i="18" s="1"/>
  <c r="E26" i="18"/>
  <c r="F26" i="18" s="1"/>
  <c r="D26" i="18"/>
  <c r="B26" i="18"/>
  <c r="E25" i="18"/>
  <c r="F25" i="18" s="1"/>
  <c r="D25" i="18"/>
  <c r="B25" i="18"/>
  <c r="B24" i="18"/>
  <c r="C24" i="18" s="1"/>
  <c r="C27" i="18" s="1"/>
  <c r="C36" i="18" s="1"/>
  <c r="E17" i="18"/>
  <c r="D17" i="18"/>
  <c r="C17" i="18"/>
  <c r="B12" i="18"/>
  <c r="C10" i="16"/>
  <c r="D10" i="16" s="1"/>
  <c r="E10" i="16" s="1"/>
  <c r="F10" i="16" s="1"/>
  <c r="F69" i="5"/>
  <c r="E7" i="14"/>
  <c r="E6" i="14"/>
  <c r="B27" i="18" l="1"/>
  <c r="B36" i="18" s="1"/>
  <c r="D24" i="18"/>
  <c r="F19" i="13"/>
  <c r="F20" i="13" s="1"/>
  <c r="F3" i="16" s="1"/>
  <c r="E19" i="13"/>
  <c r="E20" i="13" s="1"/>
  <c r="C13" i="13"/>
  <c r="B8" i="13"/>
  <c r="C12" i="13" s="1"/>
  <c r="F12" i="15"/>
  <c r="F14" i="15" s="1"/>
  <c r="B12" i="15"/>
  <c r="B14" i="15" s="1"/>
  <c r="E5" i="14"/>
  <c r="C17" i="14" s="1"/>
  <c r="D49" i="8"/>
  <c r="F49" i="8" s="1"/>
  <c r="B11" i="5" s="1"/>
  <c r="D48" i="8"/>
  <c r="F48" i="8" s="1"/>
  <c r="B10" i="5" s="1"/>
  <c r="F66" i="5"/>
  <c r="E66" i="5"/>
  <c r="D66" i="5"/>
  <c r="C66" i="5"/>
  <c r="E3" i="16" l="1"/>
  <c r="B20" i="13"/>
  <c r="B3" i="16" s="1"/>
  <c r="B21" i="13"/>
  <c r="C21" i="13" s="1"/>
  <c r="D21" i="13" s="1"/>
  <c r="E21" i="13" s="1"/>
  <c r="F21" i="13" s="1"/>
  <c r="B22" i="13"/>
  <c r="C22" i="13" s="1"/>
  <c r="D22" i="13" s="1"/>
  <c r="E22" i="13" s="1"/>
  <c r="F22" i="13" s="1"/>
  <c r="C67" i="5"/>
  <c r="E67" i="5"/>
  <c r="F67" i="5"/>
  <c r="B23" i="14"/>
  <c r="C18" i="14"/>
  <c r="E23" i="14" s="1"/>
  <c r="D67" i="5"/>
  <c r="D13" i="13"/>
  <c r="D12" i="13"/>
  <c r="E24" i="18"/>
  <c r="D27" i="18"/>
  <c r="D36" i="18" s="1"/>
  <c r="L6" i="12"/>
  <c r="L11" i="12"/>
  <c r="L12" i="12"/>
  <c r="L13" i="12"/>
  <c r="L14" i="12"/>
  <c r="L15" i="12"/>
  <c r="L16" i="12"/>
  <c r="L17" i="12"/>
  <c r="L18" i="12"/>
  <c r="L10" i="12"/>
  <c r="F8" i="12"/>
  <c r="G8" i="12" s="1"/>
  <c r="H8" i="12" s="1"/>
  <c r="I8" i="12" s="1"/>
  <c r="J8" i="12" s="1"/>
  <c r="K8" i="12" s="1"/>
  <c r="D4" i="12"/>
  <c r="D5" i="12"/>
  <c r="D7" i="12"/>
  <c r="D8" i="12"/>
  <c r="D9" i="12"/>
  <c r="F9" i="12" s="1"/>
  <c r="G9" i="12" s="1"/>
  <c r="H9" i="12" s="1"/>
  <c r="I9" i="12" s="1"/>
  <c r="J9" i="12" s="1"/>
  <c r="K9" i="12" s="1"/>
  <c r="D10" i="12"/>
  <c r="F10" i="12" s="1"/>
  <c r="G10" i="12" s="1"/>
  <c r="H10" i="12" s="1"/>
  <c r="I10" i="12" s="1"/>
  <c r="D11" i="12"/>
  <c r="F11" i="12" s="1"/>
  <c r="G11" i="12" s="1"/>
  <c r="H11" i="12" s="1"/>
  <c r="I11" i="12" s="1"/>
  <c r="D12" i="12"/>
  <c r="F12" i="12" s="1"/>
  <c r="G12" i="12" s="1"/>
  <c r="H12" i="12" s="1"/>
  <c r="I12" i="12" s="1"/>
  <c r="D13" i="12"/>
  <c r="F13" i="12" s="1"/>
  <c r="G13" i="12" s="1"/>
  <c r="H13" i="12" s="1"/>
  <c r="I13" i="12" s="1"/>
  <c r="D14" i="12"/>
  <c r="F14" i="12" s="1"/>
  <c r="G14" i="12" s="1"/>
  <c r="H14" i="12" s="1"/>
  <c r="I14" i="12" s="1"/>
  <c r="D15" i="12"/>
  <c r="F15" i="12" s="1"/>
  <c r="G15" i="12" s="1"/>
  <c r="H15" i="12" s="1"/>
  <c r="I15" i="12" s="1"/>
  <c r="D16" i="12"/>
  <c r="F16" i="12" s="1"/>
  <c r="G16" i="12" s="1"/>
  <c r="H16" i="12" s="1"/>
  <c r="I16" i="12" s="1"/>
  <c r="D17" i="12"/>
  <c r="F17" i="12" s="1"/>
  <c r="G17" i="12" s="1"/>
  <c r="H17" i="12" s="1"/>
  <c r="I17" i="12" s="1"/>
  <c r="D18" i="12"/>
  <c r="F18" i="12" s="1"/>
  <c r="G18" i="12" s="1"/>
  <c r="H18" i="12" s="1"/>
  <c r="I18" i="12" s="1"/>
  <c r="D6" i="12"/>
  <c r="F6" i="12" s="1"/>
  <c r="G6" i="12" s="1"/>
  <c r="H6" i="12" s="1"/>
  <c r="I6" i="12" s="1"/>
  <c r="B14" i="10"/>
  <c r="D14" i="10" s="1"/>
  <c r="B13" i="10"/>
  <c r="D13" i="10" s="1"/>
  <c r="D5" i="10"/>
  <c r="D4" i="10"/>
  <c r="D3" i="10"/>
  <c r="F15" i="4"/>
  <c r="F4" i="4"/>
  <c r="B16" i="10" s="1"/>
  <c r="D16" i="10" s="1"/>
  <c r="F5" i="4"/>
  <c r="B17" i="10" s="1"/>
  <c r="D17" i="10" s="1"/>
  <c r="F6" i="4"/>
  <c r="B12" i="10" s="1"/>
  <c r="D12" i="10" s="1"/>
  <c r="F3" i="4"/>
  <c r="F36" i="5"/>
  <c r="B6" i="18" l="1"/>
  <c r="C6" i="18" s="1"/>
  <c r="D6" i="18" s="1"/>
  <c r="D9" i="18" s="1"/>
  <c r="D18" i="18" s="1"/>
  <c r="F7" i="4"/>
  <c r="B15" i="10"/>
  <c r="D15" i="10" s="1"/>
  <c r="D21" i="12"/>
  <c r="L8" i="12"/>
  <c r="B11" i="18"/>
  <c r="B17" i="18" s="1"/>
  <c r="B18" i="19"/>
  <c r="F4" i="12"/>
  <c r="G4" i="12" s="1"/>
  <c r="F7" i="12"/>
  <c r="G7" i="12" s="1"/>
  <c r="H7" i="12" s="1"/>
  <c r="I7" i="12" s="1"/>
  <c r="J7" i="12" s="1"/>
  <c r="K7" i="12" s="1"/>
  <c r="L7" i="12" s="1"/>
  <c r="L9" i="12"/>
  <c r="E13" i="13"/>
  <c r="E12" i="13"/>
  <c r="E27" i="18"/>
  <c r="E36" i="18" s="1"/>
  <c r="F24" i="18"/>
  <c r="F27" i="18" s="1"/>
  <c r="F36" i="18" s="1"/>
  <c r="F5" i="12"/>
  <c r="G5" i="12" s="1"/>
  <c r="H5" i="12" s="1"/>
  <c r="I5" i="12" s="1"/>
  <c r="J5" i="12" s="1"/>
  <c r="K5" i="12" s="1"/>
  <c r="L5" i="12" s="1"/>
  <c r="F17" i="9"/>
  <c r="E17" i="9"/>
  <c r="G17" i="9"/>
  <c r="E14" i="9"/>
  <c r="B14" i="9"/>
  <c r="D6" i="9"/>
  <c r="A6" i="9"/>
  <c r="G4" i="4"/>
  <c r="B27" i="5" s="1"/>
  <c r="G5" i="4"/>
  <c r="B28" i="5" s="1"/>
  <c r="G6" i="4"/>
  <c r="B19" i="5" s="1"/>
  <c r="B22" i="5" s="1"/>
  <c r="G3" i="4"/>
  <c r="B26" i="5" s="1"/>
  <c r="C4" i="5"/>
  <c r="D4" i="5" s="1"/>
  <c r="E4" i="5" s="1"/>
  <c r="F4" i="5" s="1"/>
  <c r="C5" i="5"/>
  <c r="D5" i="5" s="1"/>
  <c r="E5" i="5" s="1"/>
  <c r="F5" i="5" s="1"/>
  <c r="D44" i="8"/>
  <c r="D40" i="8"/>
  <c r="D42" i="8" s="1"/>
  <c r="C37" i="8"/>
  <c r="B37" i="8"/>
  <c r="D36" i="8"/>
  <c r="D35" i="8"/>
  <c r="D34" i="8"/>
  <c r="C31" i="8"/>
  <c r="B31" i="8"/>
  <c r="D30" i="8"/>
  <c r="D29" i="8"/>
  <c r="D31" i="8" s="1"/>
  <c r="B26" i="8"/>
  <c r="D25" i="8"/>
  <c r="D24" i="8"/>
  <c r="D23" i="8"/>
  <c r="D22" i="8"/>
  <c r="D21" i="8"/>
  <c r="D20" i="8"/>
  <c r="D19" i="8"/>
  <c r="C18" i="8"/>
  <c r="D18" i="8" s="1"/>
  <c r="D17" i="8"/>
  <c r="D16" i="8"/>
  <c r="D15" i="8"/>
  <c r="C14" i="8"/>
  <c r="D14" i="8" s="1"/>
  <c r="D12" i="8"/>
  <c r="D11" i="8"/>
  <c r="D10" i="8"/>
  <c r="D9" i="8"/>
  <c r="D8" i="8"/>
  <c r="C7" i="8"/>
  <c r="D7" i="8" s="1"/>
  <c r="D6" i="8"/>
  <c r="D5" i="8"/>
  <c r="C4" i="8"/>
  <c r="D4" i="8" s="1"/>
  <c r="E6" i="18" l="1"/>
  <c r="F6" i="18" s="1"/>
  <c r="F9" i="18" s="1"/>
  <c r="F18" i="18" s="1"/>
  <c r="C9" i="18"/>
  <c r="C18" i="18" s="1"/>
  <c r="G19" i="12"/>
  <c r="B30" i="5" s="1"/>
  <c r="H4" i="12"/>
  <c r="B7" i="5"/>
  <c r="C7" i="5" s="1"/>
  <c r="B7" i="10"/>
  <c r="D7" i="10" s="1"/>
  <c r="B13" i="5"/>
  <c r="B10" i="10"/>
  <c r="D10" i="10" s="1"/>
  <c r="C3" i="8"/>
  <c r="D3" i="8" s="1"/>
  <c r="B11" i="10"/>
  <c r="D11" i="10" s="1"/>
  <c r="B14" i="5"/>
  <c r="I12" i="5"/>
  <c r="B7" i="16"/>
  <c r="C7" i="16" s="1"/>
  <c r="D7" i="16" s="1"/>
  <c r="E7" i="16" s="1"/>
  <c r="F7" i="16" s="1"/>
  <c r="F13" i="13"/>
  <c r="F12" i="13"/>
  <c r="B31" i="5"/>
  <c r="C13" i="8"/>
  <c r="D13" i="8" s="1"/>
  <c r="D26" i="8" s="1"/>
  <c r="C26" i="8"/>
  <c r="D37" i="8"/>
  <c r="E9" i="18" l="1"/>
  <c r="E18" i="18" s="1"/>
  <c r="H19" i="12"/>
  <c r="C30" i="5" s="1"/>
  <c r="I4" i="12"/>
  <c r="B8" i="5"/>
  <c r="B8" i="10"/>
  <c r="D8" i="10" s="1"/>
  <c r="B6" i="5"/>
  <c r="C6" i="5" s="1"/>
  <c r="B6" i="10"/>
  <c r="D6" i="10" s="1"/>
  <c r="I13" i="5"/>
  <c r="B6" i="16"/>
  <c r="B8" i="16" s="1"/>
  <c r="C8" i="16" s="1"/>
  <c r="I8" i="5"/>
  <c r="J4" i="12" l="1"/>
  <c r="I19" i="12"/>
  <c r="D30" i="5" s="1"/>
  <c r="C29" i="5"/>
  <c r="D29" i="5" s="1"/>
  <c r="E29" i="5" s="1"/>
  <c r="F29" i="5" s="1"/>
  <c r="C9" i="5"/>
  <c r="D9" i="5" s="1"/>
  <c r="E9" i="5" s="1"/>
  <c r="F9" i="5" s="1"/>
  <c r="C3" i="5"/>
  <c r="C10" i="5"/>
  <c r="D10" i="5" s="1"/>
  <c r="E10" i="5" s="1"/>
  <c r="F10" i="5" s="1"/>
  <c r="C11" i="5"/>
  <c r="D11" i="5" s="1"/>
  <c r="E11" i="5" s="1"/>
  <c r="F11" i="5" s="1"/>
  <c r="C6" i="16"/>
  <c r="D6" i="16" s="1"/>
  <c r="E6" i="16" s="1"/>
  <c r="F6" i="16" s="1"/>
  <c r="C21" i="5"/>
  <c r="D21" i="5" s="1"/>
  <c r="E21" i="5" s="1"/>
  <c r="F21" i="5" s="1"/>
  <c r="C26" i="5"/>
  <c r="C27" i="5"/>
  <c r="D27" i="5" s="1"/>
  <c r="E27" i="5" s="1"/>
  <c r="F27" i="5" s="1"/>
  <c r="C20" i="5"/>
  <c r="C19" i="5"/>
  <c r="C14" i="5"/>
  <c r="D14" i="5" s="1"/>
  <c r="E14" i="5" s="1"/>
  <c r="F14" i="5" s="1"/>
  <c r="C28" i="5"/>
  <c r="D28" i="5" s="1"/>
  <c r="E28" i="5" s="1"/>
  <c r="F28" i="5" s="1"/>
  <c r="C13" i="5"/>
  <c r="D13" i="5" s="1"/>
  <c r="E13" i="5" s="1"/>
  <c r="F13" i="5" s="1"/>
  <c r="D7" i="5"/>
  <c r="E7" i="5" s="1"/>
  <c r="F7" i="5" s="1"/>
  <c r="C8" i="5"/>
  <c r="D8" i="5" s="1"/>
  <c r="E8" i="5" s="1"/>
  <c r="F8" i="5" s="1"/>
  <c r="D6" i="5"/>
  <c r="E6" i="5" s="1"/>
  <c r="F6" i="5" s="1"/>
  <c r="E15" i="4"/>
  <c r="G7" i="4"/>
  <c r="B24" i="1"/>
  <c r="B34" i="1" s="1"/>
  <c r="C11" i="3"/>
  <c r="B16" i="3" s="1"/>
  <c r="D10" i="3"/>
  <c r="D9" i="3"/>
  <c r="D11" i="3" s="1"/>
  <c r="C12" i="1"/>
  <c r="D9" i="1" s="1"/>
  <c r="D4" i="3" l="1"/>
  <c r="D3" i="3"/>
  <c r="D5" i="3" s="1"/>
  <c r="C31" i="5"/>
  <c r="K4" i="12"/>
  <c r="J19" i="12"/>
  <c r="E30" i="5" s="1"/>
  <c r="D3" i="5"/>
  <c r="C19" i="1"/>
  <c r="C17" i="1"/>
  <c r="C22" i="1"/>
  <c r="C18" i="1"/>
  <c r="C23" i="1"/>
  <c r="C16" i="1"/>
  <c r="C21" i="1"/>
  <c r="B33" i="1"/>
  <c r="D8" i="1"/>
  <c r="D11" i="1"/>
  <c r="D10" i="1"/>
  <c r="D7" i="1"/>
  <c r="D4" i="1"/>
  <c r="D5" i="1"/>
  <c r="D6" i="1"/>
  <c r="G14" i="4"/>
  <c r="B12" i="5" s="1"/>
  <c r="B15" i="5" s="1"/>
  <c r="B4" i="16" s="1"/>
  <c r="B5" i="16" s="1"/>
  <c r="D26" i="5"/>
  <c r="D31" i="5" s="1"/>
  <c r="D15" i="4"/>
  <c r="D19" i="5"/>
  <c r="C22" i="5"/>
  <c r="D20" i="5"/>
  <c r="D3" i="1"/>
  <c r="K19" i="12" l="1"/>
  <c r="F30" i="5" s="1"/>
  <c r="L4" i="12"/>
  <c r="L19" i="12" s="1"/>
  <c r="C4" i="16"/>
  <c r="E3" i="5"/>
  <c r="C24" i="1"/>
  <c r="D12" i="1"/>
  <c r="G15" i="4"/>
  <c r="B9" i="10" s="1"/>
  <c r="D9" i="10" s="1"/>
  <c r="E26" i="5"/>
  <c r="E31" i="5" s="1"/>
  <c r="I11" i="5"/>
  <c r="C12" i="5"/>
  <c r="C15" i="5" s="1"/>
  <c r="E19" i="5"/>
  <c r="D22" i="5"/>
  <c r="E20" i="5"/>
  <c r="D4" i="16" l="1"/>
  <c r="C5" i="16"/>
  <c r="C9" i="16" s="1"/>
  <c r="C17" i="16" s="1"/>
  <c r="F3" i="5"/>
  <c r="F26" i="5"/>
  <c r="F31" i="5" s="1"/>
  <c r="D12" i="5"/>
  <c r="D15" i="5" s="1"/>
  <c r="F19" i="5"/>
  <c r="E22" i="5"/>
  <c r="F20" i="5"/>
  <c r="E4" i="16" l="1"/>
  <c r="D5" i="16"/>
  <c r="E12" i="5"/>
  <c r="E15" i="5" s="1"/>
  <c r="F22" i="5"/>
  <c r="F4" i="16" l="1"/>
  <c r="F5" i="16" s="1"/>
  <c r="E5" i="16"/>
  <c r="F12" i="5"/>
  <c r="F15" i="5" s="1"/>
  <c r="D8" i="18"/>
  <c r="E8" i="18"/>
  <c r="F8" i="18"/>
  <c r="D21" i="10"/>
  <c r="B28" i="1" l="1"/>
  <c r="B29" i="1" s="1"/>
  <c r="B19" i="19" s="1"/>
  <c r="B20" i="19" s="1"/>
  <c r="B21" i="19" s="1"/>
  <c r="B35" i="1" l="1"/>
  <c r="B36" i="1" s="1"/>
  <c r="B23" i="3" s="1"/>
  <c r="B22" i="3" l="1"/>
  <c r="B17" i="3" s="1"/>
  <c r="B21" i="3"/>
  <c r="B3" i="7" s="1"/>
  <c r="C23" i="3"/>
  <c r="B8" i="18" l="1"/>
  <c r="B22" i="19"/>
  <c r="B41" i="19" s="1"/>
  <c r="B7" i="18"/>
  <c r="D7" i="18" s="1"/>
  <c r="E7" i="18" s="1"/>
  <c r="F7" i="18" s="1"/>
  <c r="C16" i="3"/>
  <c r="C15" i="3"/>
  <c r="E35" i="7"/>
  <c r="E24" i="7"/>
  <c r="F6" i="7"/>
  <c r="E37" i="7"/>
  <c r="F16" i="7"/>
  <c r="E29" i="7"/>
  <c r="F51" i="7"/>
  <c r="E31" i="7"/>
  <c r="F28" i="7"/>
  <c r="E36" i="7"/>
  <c r="E27" i="7"/>
  <c r="F7" i="7"/>
  <c r="F11" i="7"/>
  <c r="E21" i="7"/>
  <c r="F41" i="7"/>
  <c r="E26" i="7"/>
  <c r="F52" i="7"/>
  <c r="E10" i="7"/>
  <c r="E44" i="7"/>
  <c r="E33" i="7"/>
  <c r="F44" i="7"/>
  <c r="E40" i="7"/>
  <c r="E12" i="7"/>
  <c r="F47" i="7"/>
  <c r="F43" i="7"/>
  <c r="E47" i="7"/>
  <c r="F8" i="7"/>
  <c r="F33" i="7"/>
  <c r="F14" i="7"/>
  <c r="F49" i="7"/>
  <c r="F27" i="7"/>
  <c r="F37" i="7"/>
  <c r="F36" i="7"/>
  <c r="F12" i="7"/>
  <c r="E16" i="7"/>
  <c r="E32" i="7"/>
  <c r="F10" i="7"/>
  <c r="F42" i="7"/>
  <c r="E38" i="7"/>
  <c r="E41" i="7"/>
  <c r="G4" i="7"/>
  <c r="E51" i="7"/>
  <c r="F30" i="7"/>
  <c r="E48" i="7"/>
  <c r="E42" i="7"/>
  <c r="E28" i="7"/>
  <c r="E30" i="7"/>
  <c r="E11" i="7"/>
  <c r="E23" i="7"/>
  <c r="E22" i="7"/>
  <c r="F45" i="7"/>
  <c r="F31" i="7"/>
  <c r="F9" i="7"/>
  <c r="E50" i="7"/>
  <c r="F35" i="7"/>
  <c r="E43" i="7"/>
  <c r="F18" i="7"/>
  <c r="F22" i="7"/>
  <c r="F24" i="7"/>
  <c r="F29" i="7"/>
  <c r="E6" i="7"/>
  <c r="B6" i="7"/>
  <c r="E13" i="7"/>
  <c r="F20" i="7"/>
  <c r="E52" i="7"/>
  <c r="E9" i="7"/>
  <c r="F38" i="7"/>
  <c r="F21" i="7"/>
  <c r="E19" i="7"/>
  <c r="E49" i="7"/>
  <c r="F50" i="7"/>
  <c r="E7" i="7"/>
  <c r="F46" i="7"/>
  <c r="E8" i="7"/>
  <c r="F39" i="7"/>
  <c r="F26" i="7"/>
  <c r="E14" i="7"/>
  <c r="F19" i="7"/>
  <c r="F17" i="7"/>
  <c r="F40" i="7"/>
  <c r="E15" i="7"/>
  <c r="F13" i="7"/>
  <c r="F25" i="7"/>
  <c r="F32" i="7"/>
  <c r="E20" i="7"/>
  <c r="E46" i="7"/>
  <c r="E39" i="7"/>
  <c r="F48" i="7"/>
  <c r="F23" i="7"/>
  <c r="F5" i="7"/>
  <c r="E25" i="7"/>
  <c r="E45" i="7"/>
  <c r="E5" i="7"/>
  <c r="F15" i="7"/>
  <c r="E18" i="7"/>
  <c r="E17" i="7"/>
  <c r="G34" i="7" l="1"/>
  <c r="B24" i="19"/>
  <c r="B25" i="19" s="1"/>
  <c r="C41" i="19" s="1"/>
  <c r="D41" i="19" s="1"/>
  <c r="C17" i="3"/>
  <c r="B14" i="7"/>
  <c r="C23" i="19" s="1"/>
  <c r="C24" i="19" s="1"/>
  <c r="B17" i="7"/>
  <c r="F23" i="19" s="1"/>
  <c r="F24" i="19" s="1"/>
  <c r="B16" i="7"/>
  <c r="E23" i="19" s="1"/>
  <c r="E24" i="19" s="1"/>
  <c r="B15" i="7"/>
  <c r="D23" i="19" s="1"/>
  <c r="D24" i="19" s="1"/>
  <c r="B9" i="18"/>
  <c r="B18" i="18" s="1"/>
  <c r="G23" i="7"/>
  <c r="G52" i="7"/>
  <c r="B11" i="7"/>
  <c r="G28" i="7"/>
  <c r="G29" i="7"/>
  <c r="G38" i="7"/>
  <c r="G47" i="7"/>
  <c r="G7" i="7"/>
  <c r="G9" i="7"/>
  <c r="G43" i="7"/>
  <c r="G10" i="7"/>
  <c r="G17" i="7"/>
  <c r="G48" i="7"/>
  <c r="G27" i="7"/>
  <c r="G12" i="7"/>
  <c r="G51" i="7"/>
  <c r="G49" i="7"/>
  <c r="G44" i="7"/>
  <c r="G14" i="7"/>
  <c r="G21" i="7"/>
  <c r="G20" i="7"/>
  <c r="G16" i="7"/>
  <c r="G40" i="7"/>
  <c r="G45" i="7"/>
  <c r="G36" i="7"/>
  <c r="G39" i="7"/>
  <c r="G26" i="7"/>
  <c r="G6" i="7"/>
  <c r="G11" i="7"/>
  <c r="G24" i="7"/>
  <c r="G31" i="7"/>
  <c r="G32" i="7"/>
  <c r="G50" i="7"/>
  <c r="G22" i="7"/>
  <c r="G30" i="7"/>
  <c r="G33" i="7"/>
  <c r="G15" i="7"/>
  <c r="G37" i="7"/>
  <c r="G13" i="7"/>
  <c r="B19" i="10"/>
  <c r="B8" i="7"/>
  <c r="G35" i="7"/>
  <c r="G19" i="7"/>
  <c r="G18" i="7"/>
  <c r="G46" i="7"/>
  <c r="G8" i="7"/>
  <c r="G5" i="7"/>
  <c r="G42" i="7"/>
  <c r="G41" i="7"/>
  <c r="G25" i="7"/>
  <c r="B9" i="7"/>
  <c r="B10" i="7"/>
  <c r="D8" i="16"/>
  <c r="B9" i="16"/>
  <c r="E8" i="16" l="1"/>
  <c r="D9" i="16"/>
  <c r="D17" i="16" s="1"/>
  <c r="C12" i="16"/>
  <c r="D17" i="19" s="1"/>
  <c r="C65" i="5"/>
  <c r="C69" i="5" s="1"/>
  <c r="D12" i="16"/>
  <c r="D65" i="5"/>
  <c r="D69" i="5" s="1"/>
  <c r="E12" i="16"/>
  <c r="E65" i="5"/>
  <c r="E69" i="5" s="1"/>
  <c r="B12" i="16"/>
  <c r="B17" i="16" s="1"/>
  <c r="C17" i="19" s="1"/>
  <c r="C21" i="19" s="1"/>
  <c r="C25" i="19" s="1"/>
  <c r="C30" i="19" s="1"/>
  <c r="B65" i="5"/>
  <c r="E35" i="5"/>
  <c r="E36" i="5" s="1"/>
  <c r="C35" i="5"/>
  <c r="C36" i="5" s="1"/>
  <c r="B35" i="5"/>
  <c r="B36" i="5" s="1"/>
  <c r="I14" i="5" s="1"/>
  <c r="I15" i="5" s="1"/>
  <c r="D35" i="5"/>
  <c r="D36" i="5" s="1"/>
  <c r="B14" i="16"/>
  <c r="D21" i="19" l="1"/>
  <c r="D25" i="19" s="1"/>
  <c r="F8" i="16"/>
  <c r="F9" i="16" s="1"/>
  <c r="F17" i="16" s="1"/>
  <c r="E9" i="16"/>
  <c r="E17" i="16" s="1"/>
  <c r="C42" i="19"/>
  <c r="D42" i="19" s="1"/>
  <c r="C43" i="19"/>
  <c r="B66" i="5"/>
  <c r="B69" i="5"/>
  <c r="E8" i="14" s="1"/>
  <c r="B24" i="14" s="1"/>
  <c r="B26" i="14" s="1"/>
  <c r="E17" i="19"/>
  <c r="E21" i="19" s="1"/>
  <c r="E25" i="19" s="1"/>
  <c r="E30" i="19" s="1"/>
  <c r="B15" i="16"/>
  <c r="C15" i="16" s="1"/>
  <c r="D15" i="16" s="1"/>
  <c r="E15" i="16" s="1"/>
  <c r="F15" i="16" s="1"/>
  <c r="C14" i="16"/>
  <c r="D14" i="16" s="1"/>
  <c r="E14" i="16" s="1"/>
  <c r="F14" i="16" s="1"/>
  <c r="D30" i="19" l="1"/>
  <c r="D43" i="19"/>
  <c r="C44" i="19"/>
  <c r="E9" i="14"/>
  <c r="E24" i="14" s="1"/>
  <c r="E26" i="14" s="1"/>
  <c r="D29" i="14" s="1"/>
  <c r="B67" i="5"/>
  <c r="B23" i="13" s="1"/>
  <c r="C23" i="13" s="1"/>
  <c r="D23" i="13" s="1"/>
  <c r="E23" i="13" s="1"/>
  <c r="F23" i="13" s="1"/>
  <c r="B16" i="16"/>
  <c r="C16" i="16" s="1"/>
  <c r="D16" i="16" s="1"/>
  <c r="E16" i="16" s="1"/>
  <c r="F16" i="16" s="1"/>
  <c r="F17" i="19"/>
  <c r="F21" i="19" l="1"/>
  <c r="F25" i="19" s="1"/>
  <c r="D44" i="19"/>
  <c r="C45" i="19"/>
  <c r="G17" i="19"/>
  <c r="G21" i="19" s="1"/>
  <c r="G25" i="19" s="1"/>
  <c r="G30" i="19" s="1"/>
  <c r="F30" i="19" l="1"/>
  <c r="A30" i="19" s="1"/>
  <c r="F33" i="19" s="1"/>
  <c r="D45" i="19"/>
  <c r="C46" i="19"/>
  <c r="D46" i="19" l="1"/>
  <c r="H38" i="19"/>
  <c r="F34" i="19" s="1"/>
</calcChain>
</file>

<file path=xl/sharedStrings.xml><?xml version="1.0" encoding="utf-8"?>
<sst xmlns="http://schemas.openxmlformats.org/spreadsheetml/2006/main" count="691" uniqueCount="433">
  <si>
    <t>Capital de Trabajo</t>
  </si>
  <si>
    <t>Adecuaciones y mejoras</t>
  </si>
  <si>
    <t xml:space="preserve">Temazcal </t>
  </si>
  <si>
    <t>Valor</t>
  </si>
  <si>
    <t>Total</t>
  </si>
  <si>
    <t>RECURSOS PROPIOS</t>
  </si>
  <si>
    <t>Tipo de aporte</t>
  </si>
  <si>
    <t xml:space="preserve">Aporte en efectivo </t>
  </si>
  <si>
    <t xml:space="preserve">OTROS RECURSOS </t>
  </si>
  <si>
    <t>Fuente</t>
  </si>
  <si>
    <t>SENA</t>
  </si>
  <si>
    <t xml:space="preserve">CAPITAL DE LA EMPRESA </t>
  </si>
  <si>
    <t>Recursos Propios</t>
  </si>
  <si>
    <t>Otros Recursos</t>
  </si>
  <si>
    <t>TOTAL RECURSOS PROPIO</t>
  </si>
  <si>
    <t xml:space="preserve">TOTAL OTROS RECURSOS </t>
  </si>
  <si>
    <t xml:space="preserve">TOTAL CAPITAL </t>
  </si>
  <si>
    <t xml:space="preserve">Señalización de senderos </t>
  </si>
  <si>
    <t xml:space="preserve">Donación </t>
  </si>
  <si>
    <t>Programa de capacitación</t>
  </si>
  <si>
    <t xml:space="preserve">Descripción </t>
  </si>
  <si>
    <t xml:space="preserve">Asesoría de comercialización y administración </t>
  </si>
  <si>
    <t xml:space="preserve">Cámara de Comercio </t>
  </si>
  <si>
    <t>Programa de capacitación y asesoría técnica</t>
  </si>
  <si>
    <t xml:space="preserve">Ítem </t>
  </si>
  <si>
    <t xml:space="preserve">Construcción </t>
  </si>
  <si>
    <t>Estudios y Asesorías</t>
  </si>
  <si>
    <t xml:space="preserve">Capacitación Previa de Guías de Turismo </t>
  </si>
  <si>
    <t xml:space="preserve">Mercadeo y Promoción </t>
  </si>
  <si>
    <t>Dotación y Elementos necesarios</t>
  </si>
  <si>
    <t>Señalización de senderos</t>
  </si>
  <si>
    <t xml:space="preserve">Campaña de promoción </t>
  </si>
  <si>
    <t>Licencia ambiental</t>
  </si>
  <si>
    <t xml:space="preserve">GASTOS OPERACIONALES </t>
  </si>
  <si>
    <t>Inscripción Cámara de Comercio (7% capital)</t>
  </si>
  <si>
    <t>Matricula, Primer año</t>
  </si>
  <si>
    <t>Inscripción de los libros</t>
  </si>
  <si>
    <t>Costos Meses 1,2 y 3</t>
  </si>
  <si>
    <t xml:space="preserve">Valor </t>
  </si>
  <si>
    <t>Inversiones de capital de trabajo</t>
  </si>
  <si>
    <t>Personal</t>
  </si>
  <si>
    <t>Total devengado</t>
  </si>
  <si>
    <t>Sueldo Anual</t>
  </si>
  <si>
    <t>1 a 3</t>
  </si>
  <si>
    <t>3 a 5</t>
  </si>
  <si>
    <t>5 a 8</t>
  </si>
  <si>
    <t>mas de 8</t>
  </si>
  <si>
    <t>Tamaño Muestral=100</t>
  </si>
  <si>
    <t>Al menos una vez</t>
  </si>
  <si>
    <t>Mensualmente</t>
  </si>
  <si>
    <t xml:space="preserve">Total de posible tamaño muestra  visitante </t>
  </si>
  <si>
    <t>Recorridos posibles a las semana</t>
  </si>
  <si>
    <t>Numero de Semanas en el mes</t>
  </si>
  <si>
    <t>Secretaria General</t>
  </si>
  <si>
    <t xml:space="preserve">Coordinador Ambiental </t>
  </si>
  <si>
    <t xml:space="preserve">Total Mensual </t>
  </si>
  <si>
    <t>Total Anual</t>
  </si>
  <si>
    <t>Total Mensual de Ley</t>
  </si>
  <si>
    <t>Promedio</t>
  </si>
  <si>
    <t>2015 (Acumulado)</t>
  </si>
  <si>
    <t>CONCEPTO</t>
  </si>
  <si>
    <t>AÑO 1</t>
  </si>
  <si>
    <t>AÑO 2</t>
  </si>
  <si>
    <t>AÑO 3</t>
  </si>
  <si>
    <t>AÑO 4</t>
  </si>
  <si>
    <t>AÑO 5</t>
  </si>
  <si>
    <t>Publicidad</t>
  </si>
  <si>
    <t xml:space="preserve">Dotación Trabajadores </t>
  </si>
  <si>
    <t>COSTOS DE PRODUCCIÓN</t>
  </si>
  <si>
    <t>GASTOS DE VENTAS</t>
  </si>
  <si>
    <t xml:space="preserve">Radios Intercomunicadores  Daiku </t>
  </si>
  <si>
    <t xml:space="preserve">Adecuación de senderos </t>
  </si>
  <si>
    <t>TOTAL</t>
  </si>
  <si>
    <t>Compra de alimentos</t>
  </si>
  <si>
    <t xml:space="preserve">Compra de elementos ceremoniales </t>
  </si>
  <si>
    <t>COSTOS DE FINANCIACIÓN</t>
  </si>
  <si>
    <t>GASTOS  DE ADMINISTRACIÓN</t>
  </si>
  <si>
    <t>Chucula</t>
  </si>
  <si>
    <t xml:space="preserve">Lapingachos (Puré de Papa con maní, queso, cebolla, sal y achiote) </t>
  </si>
  <si>
    <t>Empanada de Carne</t>
  </si>
  <si>
    <t>Chicha</t>
  </si>
  <si>
    <t xml:space="preserve">Tamal de Maíz, Quinua y Queso </t>
  </si>
  <si>
    <t>Manzana</t>
  </si>
  <si>
    <t>Banano</t>
  </si>
  <si>
    <t>Mandarina</t>
  </si>
  <si>
    <t>Jugo Natural Almuerzo</t>
  </si>
  <si>
    <t>Jugo Natural Refrigerio</t>
  </si>
  <si>
    <t>Opción 1</t>
  </si>
  <si>
    <t>Refrigerio</t>
  </si>
  <si>
    <t>Almuerzo</t>
  </si>
  <si>
    <t>Pollo en salsa de champiñones</t>
  </si>
  <si>
    <t>Puré de papa</t>
  </si>
  <si>
    <t>Arroz con verdura</t>
  </si>
  <si>
    <t>Consumidores de la opción</t>
  </si>
  <si>
    <t>Valor Unitario</t>
  </si>
  <si>
    <t>Producción Refrigerios y Almuerzo</t>
  </si>
  <si>
    <t>Dumplings (Cubitos de harina con polvo, sal, mantequilla  y leche)</t>
  </si>
  <si>
    <t>Valor mensual</t>
  </si>
  <si>
    <t>Total Producción Refrigerios y Almuerzos</t>
  </si>
  <si>
    <t>Producción de Ceremonias</t>
  </si>
  <si>
    <t>Producción de Charla Sobre Tradiciones y Costumbre Indígenas</t>
  </si>
  <si>
    <t>Litro de agua</t>
  </si>
  <si>
    <t xml:space="preserve">Paquete de Tabaco por 100 gr </t>
  </si>
  <si>
    <t>Total producción de Charla Sobre Tradiciones y Costumbre Indígenas</t>
  </si>
  <si>
    <t>Total producción de Ceremonias</t>
  </si>
  <si>
    <t>Compra de elementos Charlas</t>
  </si>
  <si>
    <t>Litro de agua (6 por ceremonia)</t>
  </si>
  <si>
    <t xml:space="preserve">Servicios Públicos </t>
  </si>
  <si>
    <t xml:space="preserve">Total Arriendo </t>
  </si>
  <si>
    <t>Gastos de Ventas</t>
  </si>
  <si>
    <t>Gastos de Administración</t>
  </si>
  <si>
    <t>Costos de Financiación</t>
  </si>
  <si>
    <t xml:space="preserve">Personas por recorrido </t>
  </si>
  <si>
    <t>Recorridos al mes</t>
  </si>
  <si>
    <t>Seguros</t>
  </si>
  <si>
    <t>Depreciaciones</t>
  </si>
  <si>
    <t>Monto del crédito:</t>
  </si>
  <si>
    <t># Pago</t>
  </si>
  <si>
    <t>Pago Interés</t>
  </si>
  <si>
    <t>Pago Capital</t>
  </si>
  <si>
    <t>Saldo</t>
  </si>
  <si>
    <t>Tasa de interés (anual):</t>
  </si>
  <si>
    <t>Número de pagos (mensuales):</t>
  </si>
  <si>
    <t>Pago (mensual):</t>
  </si>
  <si>
    <t xml:space="preserve">Computador </t>
  </si>
  <si>
    <t>Celular</t>
  </si>
  <si>
    <t>Equipo de oficina para la promoción de los servicios y manejo de la pagina</t>
  </si>
  <si>
    <t xml:space="preserve">Dominio Web </t>
  </si>
  <si>
    <t>Para comunicación con clientes</t>
  </si>
  <si>
    <t>Total pago intereses 1er año:</t>
  </si>
  <si>
    <t>Total pago intereses 2do año:</t>
  </si>
  <si>
    <t>Derechos de inscripción</t>
  </si>
  <si>
    <t>Certificados originales de existencia y representación legal (2)</t>
  </si>
  <si>
    <t>Sueldo mensual</t>
  </si>
  <si>
    <t xml:space="preserve">Total mensual incluyendo Ley </t>
  </si>
  <si>
    <t xml:space="preserve">Valor Mensual </t>
  </si>
  <si>
    <t>Cantidad de meses</t>
  </si>
  <si>
    <t>Total pago intereses 4to año:</t>
  </si>
  <si>
    <t>Total pago intereses 3er año:</t>
  </si>
  <si>
    <t>%</t>
  </si>
  <si>
    <t>Formulario de Registro Único Empresarial</t>
  </si>
  <si>
    <t>CAPITAL DE TRABAJO</t>
  </si>
  <si>
    <t xml:space="preserve">REQUERIMIENTOS DE CAPITAL </t>
  </si>
  <si>
    <t xml:space="preserve">Recurso </t>
  </si>
  <si>
    <t>FINANCIAMIENTO DEL PROYECTO</t>
  </si>
  <si>
    <t>Descripción</t>
  </si>
  <si>
    <t>Valor Capital Trabajo</t>
  </si>
  <si>
    <t>TOTAL CAPITAL DE TRABAJO</t>
  </si>
  <si>
    <t>TOTAL REQUERIMIENTOS DE CAPITAL</t>
  </si>
  <si>
    <t>DETALLE DEL CAPITAL DE TRABAJO</t>
  </si>
  <si>
    <t>TOTAL FINANCIAMIENTO DEL PROYECTO</t>
  </si>
  <si>
    <t>Préstamo Crediticio</t>
  </si>
  <si>
    <t>DETALLE DE LA AMORTIZACIÓN DEL CREDITO</t>
  </si>
  <si>
    <t>AMORTIZACIÓN DEL CRÉDITO</t>
  </si>
  <si>
    <t>Año 1</t>
  </si>
  <si>
    <t>Año 2</t>
  </si>
  <si>
    <t>Año 3</t>
  </si>
  <si>
    <t>Año 4</t>
  </si>
  <si>
    <t>Año 5</t>
  </si>
  <si>
    <t>Concepto</t>
  </si>
  <si>
    <t>Cantidad</t>
  </si>
  <si>
    <t>Vida Útil</t>
  </si>
  <si>
    <t>TABLA DE DEPRECIACIÓN</t>
  </si>
  <si>
    <t>Camilla de emergencia</t>
  </si>
  <si>
    <t xml:space="preserve">Botiquines </t>
  </si>
  <si>
    <t xml:space="preserve">Ollas </t>
  </si>
  <si>
    <t>Caldero</t>
  </si>
  <si>
    <t>Sartén</t>
  </si>
  <si>
    <t xml:space="preserve">Set Vasos de vidrio </t>
  </si>
  <si>
    <t>Vajilla</t>
  </si>
  <si>
    <t xml:space="preserve">Jarra Plástica </t>
  </si>
  <si>
    <t>Set Cubiertos</t>
  </si>
  <si>
    <t>Licuadora</t>
  </si>
  <si>
    <t>Valor Total</t>
  </si>
  <si>
    <t>Extintor</t>
  </si>
  <si>
    <t>Computador</t>
  </si>
  <si>
    <t xml:space="preserve">Celular </t>
  </si>
  <si>
    <t>Cuota de depreciación</t>
  </si>
  <si>
    <t>Depreciación Acumulada</t>
  </si>
  <si>
    <t>Valor neto en libros año  5</t>
  </si>
  <si>
    <t>TOTAL DEPRECIACIÓN</t>
  </si>
  <si>
    <t>TOTAL COSTOS Y GASTOS  2015</t>
  </si>
  <si>
    <t>COSTOS FIJOS</t>
  </si>
  <si>
    <t>COSTOS VARIABLES</t>
  </si>
  <si>
    <t xml:space="preserve">TOTAL COSTOS  </t>
  </si>
  <si>
    <t xml:space="preserve">Transporte Centro Chía – Vereda Fonqueta </t>
  </si>
  <si>
    <t>Caminata Ecológica por 6 lugares sagrados del Territorio Mhuysqa.</t>
  </si>
  <si>
    <t>Refrigerio Saludable (Incluye fuente de fibra, proteína, carbohidrato y bebida)</t>
  </si>
  <si>
    <t xml:space="preserve">Charla de Indígenas sobre Costumbres y Tradiciones </t>
  </si>
  <si>
    <t>Almuerzo (Incluye fuente de fibra, proteína, carbohidrato, bebida y postre)</t>
  </si>
  <si>
    <t>Taller de cocina o música ancestral</t>
  </si>
  <si>
    <t>Recordatorio del viaje</t>
  </si>
  <si>
    <t>Transporte Vereda Fonqueta - Centro Chía</t>
  </si>
  <si>
    <t>Ejercicio de Resignificación y Espiritualidad</t>
  </si>
  <si>
    <t>Recordatorio</t>
  </si>
  <si>
    <t>Margen de rentabilidad</t>
  </si>
  <si>
    <t>Subtotal</t>
  </si>
  <si>
    <t xml:space="preserve">Total </t>
  </si>
  <si>
    <t>PRECIO DE VENTA SIN TRANSPORTE</t>
  </si>
  <si>
    <t>PRECIO DE VENTA CON TRANSPORTE</t>
  </si>
  <si>
    <t xml:space="preserve">Costos anuales </t>
  </si>
  <si>
    <t>Precio de venta sin transporte</t>
  </si>
  <si>
    <t>Precio de venta con transporte</t>
  </si>
  <si>
    <t>Cantidad de paquetes sin transporte</t>
  </si>
  <si>
    <t>Cantidad de paquetes con transporte</t>
  </si>
  <si>
    <t>Valor ventas sin transporte</t>
  </si>
  <si>
    <t>Valor ventas total</t>
  </si>
  <si>
    <t>Valor ventas con transporte</t>
  </si>
  <si>
    <t>Costo paquete sin transporte</t>
  </si>
  <si>
    <t>Costo paquete con transporte</t>
  </si>
  <si>
    <t>PROYECCION DE VENTAS</t>
  </si>
  <si>
    <t xml:space="preserve"> PUNTO DE EQUILIBRIO UNIDADES</t>
  </si>
  <si>
    <t>Costos fijos totales</t>
  </si>
  <si>
    <t>Ventas Netas</t>
  </si>
  <si>
    <t xml:space="preserve">Costos de prestación
del servicio </t>
  </si>
  <si>
    <t>Utilidad Bruta</t>
  </si>
  <si>
    <t>Gastos de
Administración</t>
  </si>
  <si>
    <t>Total Gastos</t>
  </si>
  <si>
    <t>Utilidad Operativa</t>
  </si>
  <si>
    <t>Otros ingresos</t>
  </si>
  <si>
    <t>Impuestos (35%)</t>
  </si>
  <si>
    <t>Exención en renta</t>
  </si>
  <si>
    <t xml:space="preserve">Impuestos de renta real
</t>
  </si>
  <si>
    <t>Utilidad Neta Final</t>
  </si>
  <si>
    <t>Caja</t>
  </si>
  <si>
    <t>ACTIVOS</t>
  </si>
  <si>
    <t>Activos Fijos</t>
  </si>
  <si>
    <t xml:space="preserve">Depreciación </t>
  </si>
  <si>
    <t>TOTAL ACTIVOS</t>
  </si>
  <si>
    <t>CFT</t>
  </si>
  <si>
    <t>Sigla</t>
  </si>
  <si>
    <t>PVU - 1</t>
  </si>
  <si>
    <t>Precio de venta por unidad sin transporte</t>
  </si>
  <si>
    <t>PVU - 2</t>
  </si>
  <si>
    <t>CVU - 1</t>
  </si>
  <si>
    <t>CVU - 2</t>
  </si>
  <si>
    <t>Precio de venta por unidad con transporte</t>
  </si>
  <si>
    <t>Costos variables por unidad sin transporte</t>
  </si>
  <si>
    <t>Costos variables por unidad con transporte</t>
  </si>
  <si>
    <t xml:space="preserve">TOTAL COSTOS VARIABLES SIN TRANSPORTE </t>
  </si>
  <si>
    <t xml:space="preserve">16,67% de 300 </t>
  </si>
  <si>
    <t xml:space="preserve">83,33% de 300 </t>
  </si>
  <si>
    <t>PUE-1=</t>
  </si>
  <si>
    <t>PUE-2=</t>
  </si>
  <si>
    <t>PUE-1                                   (Sin transporte)=</t>
  </si>
  <si>
    <t>PUE -2                     (Con transporte)=</t>
  </si>
  <si>
    <t>PUE -1 + PUE-2=</t>
  </si>
  <si>
    <t>Gastos de ventas</t>
  </si>
  <si>
    <t>Ventas</t>
  </si>
  <si>
    <t>Gastos de constitución</t>
  </si>
  <si>
    <t>ipc</t>
  </si>
  <si>
    <t xml:space="preserve">Incremento en ventas anual </t>
  </si>
  <si>
    <t>AÑO 0</t>
  </si>
  <si>
    <t>Ingresos</t>
  </si>
  <si>
    <t>Amortizaciones</t>
  </si>
  <si>
    <t xml:space="preserve">FLUJO DE CAJA </t>
  </si>
  <si>
    <t>INGRESOS EN EFECTIVO</t>
  </si>
  <si>
    <t>GASTOS EN EFECTIVO</t>
  </si>
  <si>
    <t>Gastos de ventas en efectivo</t>
  </si>
  <si>
    <t>Compra de activos fijos</t>
  </si>
  <si>
    <t>Gastos de Administración en efectivo</t>
  </si>
  <si>
    <t xml:space="preserve">Gastos Operacionales </t>
  </si>
  <si>
    <t xml:space="preserve">Costos de producción en efectivo </t>
  </si>
  <si>
    <t>TOTAL FLUJO DE CAJA</t>
  </si>
  <si>
    <t>Crédito bancario</t>
  </si>
  <si>
    <t>=</t>
  </si>
  <si>
    <t>VPN</t>
  </si>
  <si>
    <t>TIR</t>
  </si>
  <si>
    <t>TIO</t>
  </si>
  <si>
    <t>Aportes de capital</t>
  </si>
  <si>
    <t xml:space="preserve">Utilidad </t>
  </si>
  <si>
    <t>Total Inversiones</t>
  </si>
  <si>
    <t>Total Flujo de deuda</t>
  </si>
  <si>
    <t xml:space="preserve">Inversión </t>
  </si>
  <si>
    <t>FLUJO DE CAJA</t>
  </si>
  <si>
    <t>PAYBACK</t>
  </si>
  <si>
    <t>Tasa esperada por el inversionista</t>
  </si>
  <si>
    <t>TASA INTERNA DE OPORTUNIDAD (TIO)</t>
  </si>
  <si>
    <t>Tasa del mercado financiero (DTF)</t>
  </si>
  <si>
    <t>Tasa esperada de inflación (IPC)</t>
  </si>
  <si>
    <t>VALOR PRESENTE NETO</t>
  </si>
  <si>
    <t xml:space="preserve">Nivel de endeudamiento </t>
  </si>
  <si>
    <t>Margen bruto de utilidad</t>
  </si>
  <si>
    <t xml:space="preserve">Margen operacional </t>
  </si>
  <si>
    <t xml:space="preserve">Margen Neto </t>
  </si>
  <si>
    <t>Generación de empleo en las comunidades locales</t>
  </si>
  <si>
    <t>Total Pasivo</t>
  </si>
  <si>
    <t>Total Activo</t>
  </si>
  <si>
    <t>Utilidad bruta</t>
  </si>
  <si>
    <t>Utilidad Operacional</t>
  </si>
  <si>
    <t>Utilidad Neta</t>
  </si>
  <si>
    <t>ESTADO DE PERDIDAS Y GANANCIAS</t>
  </si>
  <si>
    <t>FLUJOS DE CAJA INVERSIONISTA</t>
  </si>
  <si>
    <t xml:space="preserve">FLUJO DE CAJA ACUMULADO </t>
  </si>
  <si>
    <t>AÑO</t>
  </si>
  <si>
    <t>5 años</t>
  </si>
  <si>
    <t>PRÉSTAMO</t>
  </si>
  <si>
    <t>Transporte</t>
  </si>
  <si>
    <t xml:space="preserve">Valor Anual </t>
  </si>
  <si>
    <t>Total transporte</t>
  </si>
  <si>
    <t>TOTAL GASTOS OPERACIONALES</t>
  </si>
  <si>
    <t>IPC</t>
  </si>
  <si>
    <t>TOTAL ADMINISTRATIVOS</t>
  </si>
  <si>
    <t>TOTAL GUIAS DE TURISMO Y COCINERAS</t>
  </si>
  <si>
    <t>Valor Total de Activos Fijos</t>
  </si>
  <si>
    <t>NÓMINA PARA EL PAGO DE EMPLEADOS</t>
  </si>
  <si>
    <t>Amortizaciones Primeros 3 meses</t>
  </si>
  <si>
    <t>Nomina Guías de Turismo y Cocineras</t>
  </si>
  <si>
    <t>Servicios Públicos</t>
  </si>
  <si>
    <t xml:space="preserve">Arriendo (Aporte a Casa Indígena por uso de salón comunal) </t>
  </si>
  <si>
    <t>Coordinador de Promoción, Logística y Ventas</t>
  </si>
  <si>
    <t>Telefonía e Internet</t>
  </si>
  <si>
    <t>IPC  (Índice de precios al Consumo)</t>
  </si>
  <si>
    <t xml:space="preserve">Transporte Bogotá- Chía </t>
  </si>
  <si>
    <t>Transporte Chía- Fonqueta</t>
  </si>
  <si>
    <t>Costos de Producción</t>
  </si>
  <si>
    <t>Servicios Públicos (Aporte Casa Indígena)</t>
  </si>
  <si>
    <t>Arriendo (Aporte Casa Indígena)</t>
  </si>
  <si>
    <t xml:space="preserve">Interés por Préstamo Financiero </t>
  </si>
  <si>
    <t>Opción 2</t>
  </si>
  <si>
    <t>Si pack de leños ecológicos</t>
  </si>
  <si>
    <t>Paquete de Hierbas aromáticas</t>
  </si>
  <si>
    <t>Agua (Aporte a Casa Indígena por uso del baño)</t>
  </si>
  <si>
    <t xml:space="preserve"> Gas (Aporte a Casa Indígena por uso de cocina)</t>
  </si>
  <si>
    <t xml:space="preserve">Total Servicios Públicos </t>
  </si>
  <si>
    <t xml:space="preserve">Arriendo (Aporte a Casa Indígena por uso de instalaciones) </t>
  </si>
  <si>
    <t>Transporte Bogotá Chía (Cupo mínimo 10)</t>
  </si>
  <si>
    <t>Transporte Chía Fonqueta</t>
  </si>
  <si>
    <t>Transporte Bogotá Chía Adicional</t>
  </si>
  <si>
    <t>Como el total de estimado de unidades cambia en los dos paquetes turísticos:</t>
  </si>
  <si>
    <t xml:space="preserve">Se distribuyen en porcentajes (%) también los costos fijos así: </t>
  </si>
  <si>
    <t>Inversión Activos Fijos</t>
  </si>
  <si>
    <t>Inversión en Capital de Trabajo</t>
  </si>
  <si>
    <t>Préstamo</t>
  </si>
  <si>
    <t xml:space="preserve">Sueldo Básico </t>
  </si>
  <si>
    <t>Días</t>
  </si>
  <si>
    <t>Guía de turismo</t>
  </si>
  <si>
    <t>Cantidad de veces que visitaría la zona</t>
  </si>
  <si>
    <t>Total Población Objetivo=118384</t>
  </si>
  <si>
    <t>* 56 personas viajarían al menos una vez a una zona ecoturística</t>
  </si>
  <si>
    <t xml:space="preserve">88% de ese total viajaría a una empresa con los servicios que ofrece ChiguaChia </t>
  </si>
  <si>
    <t xml:space="preserve">Total de posible población visitante </t>
  </si>
  <si>
    <t>Guías</t>
  </si>
  <si>
    <t>Personas por guía mensuales</t>
  </si>
  <si>
    <t>Totumas (Vasos Indígenas)</t>
  </si>
  <si>
    <t xml:space="preserve">INVERSIÓN INICIAL PARA EL PROYECTO </t>
  </si>
  <si>
    <t xml:space="preserve">Costos de prestación del servicio 
</t>
  </si>
  <si>
    <t>Total pago a capital 1er año:</t>
  </si>
  <si>
    <t>Total pago  a capital 3er año:</t>
  </si>
  <si>
    <t>Total pago  a capital 2do año:</t>
  </si>
  <si>
    <t>Total pago  a capital 4to año:</t>
  </si>
  <si>
    <t>Efectivo</t>
  </si>
  <si>
    <t>Intereses</t>
  </si>
  <si>
    <t>Aporte a la conservación de la zona</t>
  </si>
  <si>
    <t xml:space="preserve">Adecuación de senderos  y aporte anual a conservación de la zona </t>
  </si>
  <si>
    <t xml:space="preserve">Secretaria General </t>
  </si>
  <si>
    <t>Presidente y Coordinador Financiero</t>
  </si>
  <si>
    <t xml:space="preserve">Coordinador y Ambiental </t>
  </si>
  <si>
    <t xml:space="preserve">Presidente y Coordinador Financiero </t>
  </si>
  <si>
    <t xml:space="preserve">Pagos de Ley  </t>
  </si>
  <si>
    <t>Por cumplimiento de metas</t>
  </si>
  <si>
    <t>Precio de venta sin transporte aprox</t>
  </si>
  <si>
    <t>Precio de venta con transporte aprox</t>
  </si>
  <si>
    <t xml:space="preserve">Coordinador (a) Ambiental </t>
  </si>
  <si>
    <t>Coordinador (a)de Promoción, logística y ventas</t>
  </si>
  <si>
    <t>Secretario (a) General</t>
  </si>
  <si>
    <t>Cocinero (a) y Oficios Varios</t>
  </si>
  <si>
    <t xml:space="preserve">Presidente y Coordinador  (a) Financiero </t>
  </si>
  <si>
    <t xml:space="preserve">Pero es claro que la capacidad de oferta del servicio para ese numero de visitantes aun no existe, se programa que se puede hacer un recorrido por día por guía (al tener 4 guías) el total de recorridos mensuales máximo es de 312 asi que se redondea la cantidad de 300. </t>
  </si>
  <si>
    <t xml:space="preserve">Por lo anterior se deben vender como minimo 2695 paquetes turísticos 485de ellos sin transporte y 2210 de ellos con transporte, para cubrir los gastos y costos generados del proyecto durante el primer año. </t>
  </si>
  <si>
    <t>DETALLE DE COSTOS DE PRODUCCIÓN</t>
  </si>
  <si>
    <t>Representación en unidades totales</t>
  </si>
  <si>
    <t>Unidades estimadas sin transporte</t>
  </si>
  <si>
    <t>Unidades estimadas con transporte</t>
  </si>
  <si>
    <t>UST</t>
  </si>
  <si>
    <t>UCT</t>
  </si>
  <si>
    <t>Representacion en costos fijos totales</t>
  </si>
  <si>
    <t>(PVU-1) - (CVU -1)</t>
  </si>
  <si>
    <t>(PVU-2) - (CVU -2)</t>
  </si>
  <si>
    <t>Bancos</t>
  </si>
  <si>
    <t>Preinversiones e inversiones</t>
  </si>
  <si>
    <t>Equipos de comunicación</t>
  </si>
  <si>
    <t>Equipos de computación</t>
  </si>
  <si>
    <t>Otros activos</t>
  </si>
  <si>
    <t>Activos corrientes</t>
  </si>
  <si>
    <t>Pasivos corrientes</t>
  </si>
  <si>
    <t>TOTAL PASIVOS</t>
  </si>
  <si>
    <t xml:space="preserve">PASIVOS   </t>
  </si>
  <si>
    <t>PATRIMONIO</t>
  </si>
  <si>
    <t>Obligaciones bancarias</t>
  </si>
  <si>
    <t>Recursos propios</t>
  </si>
  <si>
    <t>Otros recursos</t>
  </si>
  <si>
    <t>TOTAL PASIVO+ PATRIMONIO</t>
  </si>
  <si>
    <t>Secretario(a) General</t>
  </si>
  <si>
    <t>% Financiación</t>
  </si>
  <si>
    <t>Contribución</t>
  </si>
  <si>
    <t>TASA INTERNA DE RETORNO</t>
  </si>
  <si>
    <t>Tasa de interés</t>
  </si>
  <si>
    <t xml:space="preserve">TOTAL FLUJO DE CAJA DEL PROYECTO </t>
  </si>
  <si>
    <t>TOTAL FLUJO DE CAJA DE INVERSIONISTA</t>
  </si>
  <si>
    <t>Razón corriente</t>
  </si>
  <si>
    <t>Activo Corriente</t>
  </si>
  <si>
    <t>Pasivo Corriente</t>
  </si>
  <si>
    <t>Prueba Acida</t>
  </si>
  <si>
    <t xml:space="preserve">Activo Corriente - Inventarios </t>
  </si>
  <si>
    <t xml:space="preserve">Capital Neto de trabajo </t>
  </si>
  <si>
    <t>Activo Corriente  - Pasivo Corriente</t>
  </si>
  <si>
    <t>Aprovechamiento de residuos</t>
  </si>
  <si>
    <t>Cantidad de kilos generados semanales</t>
  </si>
  <si>
    <t>Cantidad de kilos aprovechados semanales</t>
  </si>
  <si>
    <t xml:space="preserve">Por cada peso que se tiene el activo, se debe 70% del mismo a la entidad bancaria. </t>
  </si>
  <si>
    <t>Apalancamiento</t>
  </si>
  <si>
    <t>Patrimonio</t>
  </si>
  <si>
    <t>TOTAL PATRIMONIO</t>
  </si>
  <si>
    <t xml:space="preserve">La empresa generó una utilidad operacional,
equivalente al 13% en el primer año, con respecto al total de ventas de cada período </t>
  </si>
  <si>
    <t xml:space="preserve"> La empresa generó 11% de utilidad ; a pesar del aumento en los costos de venta y en los gastos de administración y ventas, las ventas crecieron lo suficiente para asumir dicho aumento.</t>
  </si>
  <si>
    <t>Por cada peso del pasivo corriente, la
empresa cuenta con $1,36 de respaldo en el activo corriente para el primer año, permitiendo una buena liquidez a corto plazo.</t>
  </si>
  <si>
    <t>Por cada peso que se debe en el pasivo corriente, la
empresa cuenta con $1,28 de activo corriente para pagar.</t>
  </si>
  <si>
    <t>Empleos Generados</t>
  </si>
  <si>
    <t>Es la cantidad de capital que se tiene para operará si se pagaran todos los pasivos a corto plazo.</t>
  </si>
  <si>
    <t>Se cuenta con un aprovechamiento optimo de los residuos generados en  la prestación del servicio ecoturístico, acercando a la empresa convertir en una compañía líder y responsable ambientalmente.</t>
  </si>
  <si>
    <t>La empresa tiene comprometido su patrimonio 2,32 veces para el primer año.</t>
  </si>
  <si>
    <t xml:space="preserve">Por cada peso vendido la empresa genera una utilidad bruta del 38%, haciéndola notablemente rentable. </t>
  </si>
  <si>
    <t xml:space="preserve">La población contratada represente el 0,64% de la población total de indígenas en el Municipio de Chía Cundinamarca. </t>
  </si>
  <si>
    <t>Población indígena en los alrededores de Chía</t>
  </si>
  <si>
    <t>CLASIFICACIÓN DE COSTOS</t>
  </si>
  <si>
    <t xml:space="preserve">Inversión Inicial </t>
  </si>
  <si>
    <t xml:space="preserve">Inversión Intangible </t>
  </si>
  <si>
    <t>Necesarios para la creación de la pagina y su futura edición sin programadores</t>
  </si>
  <si>
    <t>TOTAL INVERSIÓN INICIAL</t>
  </si>
  <si>
    <t>Autenticación de la creación de la empresa S.A.S</t>
  </si>
  <si>
    <t>Paquete EcoTurístico 1</t>
  </si>
  <si>
    <t>Paquete EcoTurístico 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</si>
</sst>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quot;$&quot;#,##0;[Red]\-&quot;$&quot;#,##0"/>
    <numFmt numFmtId="165" formatCode="&quot;$&quot;#,##0.00;[Red]\-&quot;$&quot;#,##0.00"/>
    <numFmt numFmtId="166" formatCode="_-&quot;$&quot;* #,##0_-;\-&quot;$&quot;* #,##0_-;_-&quot;$&quot;* &quot;-&quot;_-;_-@_-"/>
    <numFmt numFmtId="167" formatCode="_-&quot;$&quot;* #,##0.00_-;\-&quot;$&quot;* #,##0.00_-;_-&quot;$&quot;* &quot;-&quot;??_-;_-@_-"/>
    <numFmt numFmtId="168" formatCode="_-&quot;$&quot;* #,##0_-;\-&quot;$&quot;* #,##0_-;_-&quot;$&quot;* &quot;-&quot;??_-;_-@_-"/>
    <numFmt numFmtId="169" formatCode="0.0%"/>
    <numFmt numFmtId="170" formatCode="&quot;$&quot;#,##0"/>
    <numFmt numFmtId="171" formatCode="_-[$$-240A]* #,##0_-;\-[$$-240A]* #,##0_-;_-[$$-240A]* &quot;-&quot;??_-;_-@_-"/>
    <numFmt numFmtId="172" formatCode="_-&quot;$&quot;* #,##0.0_-;\-&quot;$&quot;* #,##0.0_-;_-&quot;$&quot;* &quot;-&quot;??_-;_-@_-"/>
    <numFmt numFmtId="173" formatCode="0.0"/>
  </numFmts>
  <fonts count="11" x14ac:knownFonts="1">
    <font>
      <sz val="11"/>
      <color theme="1"/>
      <name val="Calibri"/>
      <family val="2"/>
      <scheme val="minor"/>
    </font>
    <font>
      <sz val="11"/>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b/>
      <sz val="10"/>
      <color theme="1"/>
      <name val="Times New Roman"/>
      <family val="1"/>
    </font>
    <font>
      <sz val="10"/>
      <color theme="1"/>
      <name val="Arial"/>
      <family val="2"/>
    </font>
    <font>
      <sz val="10"/>
      <color rgb="FF000000"/>
      <name val="Arial"/>
      <family val="2"/>
    </font>
    <font>
      <b/>
      <sz val="10"/>
      <color theme="1"/>
      <name val="Arial"/>
      <family val="2"/>
    </font>
    <font>
      <sz val="10"/>
      <color rgb="FF313131"/>
      <name val="Times New Roman"/>
      <family val="1"/>
    </font>
    <font>
      <b/>
      <sz val="10"/>
      <color rgb="FF313131"/>
      <name val="Times New Roman"/>
      <family val="1"/>
    </font>
  </fonts>
  <fills count="8">
    <fill>
      <patternFill patternType="none"/>
    </fill>
    <fill>
      <patternFill patternType="gray125"/>
    </fill>
    <fill>
      <patternFill patternType="solid">
        <fgColor theme="5" tint="0.59999389629810485"/>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B8CCE4"/>
        <bgColor indexed="64"/>
      </patternFill>
    </fill>
    <fill>
      <patternFill patternType="solid">
        <fgColor rgb="FFFEF2EC"/>
        <bgColor indexed="64"/>
      </patternFill>
    </fill>
  </fills>
  <borders count="5">
    <border>
      <left/>
      <right/>
      <top/>
      <bottom/>
      <diagonal/>
    </border>
    <border>
      <left/>
      <right/>
      <top/>
      <bottom style="thin">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right/>
      <top style="thin">
        <color indexed="64"/>
      </top>
      <bottom/>
      <diagonal/>
    </border>
  </borders>
  <cellStyleXfs count="3">
    <xf numFmtId="0" fontId="0" fillId="0" borderId="0"/>
    <xf numFmtId="167" fontId="1" fillId="0" borderId="0" applyFont="0" applyFill="0" applyBorder="0" applyAlignment="0" applyProtection="0"/>
    <xf numFmtId="9" fontId="1" fillId="0" borderId="0" applyFont="0" applyFill="0" applyBorder="0" applyAlignment="0" applyProtection="0"/>
  </cellStyleXfs>
  <cellXfs count="261">
    <xf numFmtId="0" fontId="0" fillId="0" borderId="0" xfId="0"/>
    <xf numFmtId="168" fontId="0" fillId="0" borderId="0" xfId="0" applyNumberFormat="1"/>
    <xf numFmtId="0" fontId="2" fillId="0" borderId="0" xfId="0" applyFont="1"/>
    <xf numFmtId="0" fontId="2" fillId="0" borderId="0" xfId="0" applyFont="1" applyAlignment="1">
      <alignment horizontal="center"/>
    </xf>
    <xf numFmtId="10" fontId="2" fillId="0" borderId="0" xfId="0" applyNumberFormat="1" applyFont="1" applyAlignment="1">
      <alignment horizontal="center"/>
    </xf>
    <xf numFmtId="168" fontId="2" fillId="0" borderId="0" xfId="0" applyNumberFormat="1" applyFont="1" applyAlignment="1">
      <alignment horizontal="center"/>
    </xf>
    <xf numFmtId="167" fontId="2" fillId="0" borderId="0" xfId="0" applyNumberFormat="1" applyFont="1" applyAlignment="1">
      <alignment horizontal="center"/>
    </xf>
    <xf numFmtId="0" fontId="2" fillId="0" borderId="0" xfId="0" applyFont="1" applyAlignment="1">
      <alignment horizontal="center" vertical="center"/>
    </xf>
    <xf numFmtId="10" fontId="2" fillId="0" borderId="0" xfId="0" applyNumberFormat="1" applyFont="1" applyAlignment="1">
      <alignment horizontal="center" vertical="center"/>
    </xf>
    <xf numFmtId="168" fontId="2" fillId="0" borderId="0" xfId="0" applyNumberFormat="1" applyFont="1" applyAlignment="1">
      <alignment horizontal="center" vertical="center"/>
    </xf>
    <xf numFmtId="0" fontId="2" fillId="2" borderId="0" xfId="0" applyFont="1" applyFill="1" applyAlignment="1">
      <alignment horizontal="center"/>
    </xf>
    <xf numFmtId="168" fontId="2" fillId="2" borderId="0" xfId="0" applyNumberFormat="1" applyFont="1" applyFill="1" applyAlignment="1">
      <alignment horizontal="center"/>
    </xf>
    <xf numFmtId="10" fontId="2" fillId="2" borderId="0" xfId="0" applyNumberFormat="1" applyFont="1" applyFill="1" applyAlignment="1">
      <alignment horizontal="center"/>
    </xf>
    <xf numFmtId="0" fontId="2" fillId="0" borderId="0" xfId="0" applyFont="1" applyAlignment="1">
      <alignment horizontal="center" wrapText="1"/>
    </xf>
    <xf numFmtId="168" fontId="2" fillId="0" borderId="0" xfId="1" applyNumberFormat="1" applyFont="1" applyAlignment="1">
      <alignment horizontal="center"/>
    </xf>
    <xf numFmtId="168" fontId="2" fillId="0" borderId="0" xfId="1" applyNumberFormat="1" applyFont="1" applyAlignment="1">
      <alignment horizontal="center" vertical="center"/>
    </xf>
    <xf numFmtId="168" fontId="2" fillId="0" borderId="0" xfId="0" applyNumberFormat="1" applyFont="1"/>
    <xf numFmtId="168" fontId="2" fillId="0" borderId="0" xfId="1" applyNumberFormat="1" applyFont="1"/>
    <xf numFmtId="0" fontId="2" fillId="0" borderId="0" xfId="0" applyFont="1" applyAlignment="1">
      <alignment horizontal="center" vertical="center" wrapText="1"/>
    </xf>
    <xf numFmtId="168" fontId="2" fillId="0" borderId="0" xfId="1" quotePrefix="1" applyNumberFormat="1" applyFont="1" applyAlignment="1">
      <alignment horizontal="center"/>
    </xf>
    <xf numFmtId="0" fontId="3" fillId="3" borderId="0" xfId="0" applyFont="1" applyFill="1" applyBorder="1" applyAlignment="1">
      <alignment horizontal="center" vertical="center" wrapText="1"/>
    </xf>
    <xf numFmtId="0" fontId="2" fillId="2" borderId="0" xfId="0" applyFont="1" applyFill="1"/>
    <xf numFmtId="0" fontId="2" fillId="0" borderId="0" xfId="0" applyFont="1" applyAlignment="1">
      <alignment horizontal="center"/>
    </xf>
    <xf numFmtId="0" fontId="2" fillId="3" borderId="0" xfId="0" applyFont="1" applyFill="1" applyAlignment="1">
      <alignment horizontal="center" vertical="center" wrapText="1"/>
    </xf>
    <xf numFmtId="0" fontId="2" fillId="2" borderId="0" xfId="0" applyFont="1" applyFill="1" applyAlignment="1">
      <alignment horizontal="center" vertical="center"/>
    </xf>
    <xf numFmtId="16" fontId="2" fillId="0" borderId="0" xfId="0" applyNumberFormat="1" applyFont="1" applyAlignment="1">
      <alignment horizontal="center"/>
    </xf>
    <xf numFmtId="16" fontId="2" fillId="0" borderId="0" xfId="0" applyNumberFormat="1" applyFont="1" applyAlignment="1">
      <alignment horizontal="center" vertical="center"/>
    </xf>
    <xf numFmtId="0" fontId="2" fillId="0" borderId="0" xfId="0" applyFont="1" applyAlignment="1">
      <alignment horizontal="left"/>
    </xf>
    <xf numFmtId="0" fontId="2" fillId="0" borderId="0" xfId="0" applyFont="1" applyBorder="1" applyAlignment="1">
      <alignment horizontal="left"/>
    </xf>
    <xf numFmtId="168" fontId="2" fillId="0" borderId="0" xfId="1" applyNumberFormat="1" applyFont="1" applyBorder="1" applyAlignment="1">
      <alignment horizontal="left"/>
    </xf>
    <xf numFmtId="167" fontId="2" fillId="0" borderId="0" xfId="1" applyFont="1" applyAlignment="1">
      <alignment horizontal="left"/>
    </xf>
    <xf numFmtId="0" fontId="2" fillId="0" borderId="0" xfId="0" applyFont="1" applyBorder="1" applyAlignment="1">
      <alignment horizontal="left" wrapText="1"/>
    </xf>
    <xf numFmtId="0" fontId="2" fillId="0" borderId="0" xfId="0" applyFont="1" applyAlignment="1">
      <alignment horizontal="left" wrapText="1"/>
    </xf>
    <xf numFmtId="0" fontId="2" fillId="0" borderId="0" xfId="0" applyFont="1" applyFill="1" applyBorder="1" applyAlignment="1">
      <alignment horizontal="left"/>
    </xf>
    <xf numFmtId="168" fontId="2" fillId="0" borderId="0" xfId="0" applyNumberFormat="1" applyFont="1" applyFill="1" applyBorder="1" applyAlignment="1">
      <alignment horizontal="left"/>
    </xf>
    <xf numFmtId="0" fontId="2" fillId="0" borderId="0" xfId="2" applyNumberFormat="1" applyFont="1" applyAlignment="1">
      <alignment horizontal="left"/>
    </xf>
    <xf numFmtId="168" fontId="2" fillId="0" borderId="0" xfId="0" applyNumberFormat="1" applyFont="1" applyAlignment="1">
      <alignment horizontal="left"/>
    </xf>
    <xf numFmtId="167" fontId="2" fillId="0" borderId="0" xfId="0" applyNumberFormat="1" applyFont="1" applyAlignment="1">
      <alignment horizontal="left"/>
    </xf>
    <xf numFmtId="0" fontId="2" fillId="0" borderId="0" xfId="0" applyFont="1" applyBorder="1" applyAlignment="1">
      <alignment horizontal="center"/>
    </xf>
    <xf numFmtId="0" fontId="2" fillId="0" borderId="0" xfId="0" applyFont="1" applyBorder="1" applyAlignment="1">
      <alignment horizontal="center" vertical="center"/>
    </xf>
    <xf numFmtId="9" fontId="2" fillId="0" borderId="0" xfId="2" applyNumberFormat="1" applyFont="1" applyBorder="1" applyAlignment="1">
      <alignment horizontal="center" vertical="center"/>
    </xf>
    <xf numFmtId="9" fontId="2" fillId="0" borderId="0" xfId="2" applyFont="1" applyBorder="1" applyAlignment="1">
      <alignment horizontal="center" vertical="center"/>
    </xf>
    <xf numFmtId="169" fontId="2" fillId="0" borderId="0" xfId="2" applyNumberFormat="1" applyFont="1" applyBorder="1" applyAlignment="1">
      <alignment horizontal="center" vertical="center"/>
    </xf>
    <xf numFmtId="0" fontId="2" fillId="0" borderId="0" xfId="0" applyFont="1" applyBorder="1" applyAlignment="1">
      <alignment horizontal="left" vertical="center"/>
    </xf>
    <xf numFmtId="168" fontId="2" fillId="0" borderId="0" xfId="1" applyNumberFormat="1" applyFont="1" applyBorder="1" applyAlignment="1">
      <alignment horizontal="left" vertical="center"/>
    </xf>
    <xf numFmtId="0" fontId="2" fillId="0" borderId="0" xfId="0" applyFont="1" applyBorder="1" applyAlignment="1">
      <alignment horizontal="left" vertical="center" wrapText="1"/>
    </xf>
    <xf numFmtId="10" fontId="2" fillId="0" borderId="0" xfId="2" applyNumberFormat="1" applyFont="1" applyAlignment="1">
      <alignment horizontal="center" vertical="center"/>
    </xf>
    <xf numFmtId="170" fontId="2" fillId="0" borderId="0" xfId="1" applyNumberFormat="1" applyFont="1" applyAlignment="1">
      <alignment horizontal="right"/>
    </xf>
    <xf numFmtId="168" fontId="2" fillId="0" borderId="0" xfId="1" applyNumberFormat="1" applyFont="1" applyFill="1" applyBorder="1" applyAlignment="1">
      <alignment horizontal="left"/>
    </xf>
    <xf numFmtId="168" fontId="2" fillId="0" borderId="0" xfId="1" applyNumberFormat="1" applyFont="1" applyAlignment="1">
      <alignment vertical="center"/>
    </xf>
    <xf numFmtId="168" fontId="2" fillId="0" borderId="0" xfId="0" applyNumberFormat="1" applyFont="1" applyAlignment="1">
      <alignment horizontal="left" vertical="center"/>
    </xf>
    <xf numFmtId="9" fontId="2" fillId="0" borderId="0" xfId="2" applyFont="1" applyAlignment="1">
      <alignment horizontal="center" vertical="center"/>
    </xf>
    <xf numFmtId="9" fontId="2" fillId="0" borderId="0" xfId="2" applyFont="1" applyAlignment="1">
      <alignment horizontal="center"/>
    </xf>
    <xf numFmtId="168" fontId="2" fillId="0" borderId="0" xfId="1" applyNumberFormat="1" applyFont="1" applyBorder="1"/>
    <xf numFmtId="0" fontId="5" fillId="3" borderId="0" xfId="0" applyFont="1" applyFill="1" applyAlignment="1">
      <alignment horizontal="center" vertical="center" wrapText="1"/>
    </xf>
    <xf numFmtId="0" fontId="5" fillId="0" borderId="0" xfId="0" applyFont="1" applyBorder="1" applyAlignment="1">
      <alignment horizontal="center" vertical="center"/>
    </xf>
    <xf numFmtId="0" fontId="2" fillId="0" borderId="0" xfId="0" applyFont="1" applyBorder="1"/>
    <xf numFmtId="0" fontId="5" fillId="2" borderId="0" xfId="0" applyFont="1" applyFill="1" applyAlignment="1">
      <alignment horizontal="center" vertical="center"/>
    </xf>
    <xf numFmtId="168" fontId="2" fillId="2" borderId="0" xfId="1" applyNumberFormat="1" applyFont="1" applyFill="1"/>
    <xf numFmtId="169" fontId="2" fillId="0" borderId="0" xfId="0" applyNumberFormat="1" applyFont="1" applyBorder="1" applyAlignment="1">
      <alignment horizontal="center" vertical="center"/>
    </xf>
    <xf numFmtId="168" fontId="2" fillId="3" borderId="0" xfId="1" applyNumberFormat="1" applyFont="1" applyFill="1"/>
    <xf numFmtId="168" fontId="2" fillId="3" borderId="0" xfId="1" applyNumberFormat="1" applyFont="1" applyFill="1" applyBorder="1"/>
    <xf numFmtId="0" fontId="5" fillId="4" borderId="0" xfId="0" applyFont="1" applyFill="1"/>
    <xf numFmtId="168" fontId="5" fillId="4" borderId="0" xfId="1" applyNumberFormat="1" applyFont="1" applyFill="1"/>
    <xf numFmtId="0" fontId="2" fillId="0" borderId="0" xfId="0" applyFont="1" applyAlignment="1">
      <alignment wrapText="1"/>
    </xf>
    <xf numFmtId="168" fontId="2" fillId="0" borderId="0" xfId="1" applyNumberFormat="1" applyFont="1" applyAlignment="1">
      <alignment wrapText="1"/>
    </xf>
    <xf numFmtId="0" fontId="5" fillId="2" borderId="0" xfId="0" applyFont="1" applyFill="1" applyAlignment="1">
      <alignment horizontal="right" vertical="center" wrapText="1"/>
    </xf>
    <xf numFmtId="0" fontId="5" fillId="2" borderId="0" xfId="0" applyFont="1" applyFill="1" applyAlignment="1">
      <alignment vertical="center"/>
    </xf>
    <xf numFmtId="168" fontId="5" fillId="2" borderId="0" xfId="0" applyNumberFormat="1" applyFont="1" applyFill="1" applyAlignment="1">
      <alignment vertical="center"/>
    </xf>
    <xf numFmtId="0" fontId="2" fillId="0" borderId="0" xfId="0" applyFont="1" applyAlignment="1"/>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167" fontId="2" fillId="0" borderId="0" xfId="1" applyFont="1"/>
    <xf numFmtId="168" fontId="2" fillId="3" borderId="0" xfId="0" applyNumberFormat="1" applyFont="1" applyFill="1"/>
    <xf numFmtId="0" fontId="2" fillId="0" borderId="0" xfId="0" applyFont="1" applyFill="1" applyBorder="1"/>
    <xf numFmtId="168" fontId="5" fillId="4" borderId="0" xfId="0" applyNumberFormat="1" applyFont="1" applyFill="1"/>
    <xf numFmtId="168" fontId="5" fillId="3" borderId="0" xfId="0" applyNumberFormat="1" applyFont="1" applyFill="1"/>
    <xf numFmtId="167" fontId="5" fillId="3" borderId="0" xfId="0" applyNumberFormat="1" applyFont="1" applyFill="1" applyAlignment="1">
      <alignment horizontal="center"/>
    </xf>
    <xf numFmtId="0" fontId="5" fillId="4" borderId="0" xfId="0" applyFont="1" applyFill="1" applyAlignment="1">
      <alignment horizontal="center" vertical="center" wrapText="1"/>
    </xf>
    <xf numFmtId="0" fontId="5" fillId="3" borderId="0" xfId="0" applyFont="1" applyFill="1" applyAlignment="1">
      <alignment horizontal="center" vertical="center"/>
    </xf>
    <xf numFmtId="167" fontId="5" fillId="3" borderId="0" xfId="0" applyNumberFormat="1" applyFont="1" applyFill="1"/>
    <xf numFmtId="0" fontId="2" fillId="0" borderId="0" xfId="0" applyFont="1" applyAlignment="1">
      <alignment horizontal="center"/>
    </xf>
    <xf numFmtId="0" fontId="5" fillId="3" borderId="0" xfId="0" applyFont="1" applyFill="1" applyAlignment="1">
      <alignment horizontal="center" wrapText="1"/>
    </xf>
    <xf numFmtId="168" fontId="5" fillId="3" borderId="0" xfId="1" applyNumberFormat="1" applyFont="1" applyFill="1"/>
    <xf numFmtId="0" fontId="2" fillId="0" borderId="0" xfId="0" applyNumberFormat="1" applyFont="1"/>
    <xf numFmtId="0" fontId="2" fillId="0" borderId="0" xfId="0" applyFont="1" applyFill="1" applyBorder="1" applyAlignment="1">
      <alignment vertical="center"/>
    </xf>
    <xf numFmtId="168" fontId="2" fillId="0" borderId="0" xfId="1" applyNumberFormat="1" applyFont="1" applyFill="1" applyBorder="1" applyAlignment="1">
      <alignment vertical="center"/>
    </xf>
    <xf numFmtId="0" fontId="2" fillId="0" borderId="0" xfId="0" applyFont="1" applyAlignment="1">
      <alignment vertical="center" wrapText="1"/>
    </xf>
    <xf numFmtId="0" fontId="2" fillId="0" borderId="0" xfId="0" applyFont="1" applyAlignment="1">
      <alignment vertical="center"/>
    </xf>
    <xf numFmtId="0" fontId="2" fillId="2" borderId="0" xfId="0" applyFont="1" applyFill="1" applyAlignment="1">
      <alignment vertical="center"/>
    </xf>
    <xf numFmtId="168" fontId="2" fillId="2" borderId="0" xfId="1" applyNumberFormat="1" applyFont="1" applyFill="1" applyAlignment="1">
      <alignment vertical="center"/>
    </xf>
    <xf numFmtId="0" fontId="5" fillId="3" borderId="0" xfId="0" applyFont="1" applyFill="1" applyAlignment="1">
      <alignment vertical="center"/>
    </xf>
    <xf numFmtId="168" fontId="5" fillId="3" borderId="0" xfId="1" applyNumberFormat="1" applyFont="1" applyFill="1" applyAlignment="1">
      <alignment vertical="center"/>
    </xf>
    <xf numFmtId="9" fontId="2" fillId="2" borderId="0" xfId="2" applyFont="1" applyFill="1" applyAlignment="1">
      <alignment vertical="center"/>
    </xf>
    <xf numFmtId="0" fontId="2" fillId="0" borderId="0" xfId="1" applyNumberFormat="1" applyFont="1"/>
    <xf numFmtId="0" fontId="5" fillId="3" borderId="0" xfId="0" applyFont="1" applyFill="1" applyAlignment="1">
      <alignment horizontal="center"/>
    </xf>
    <xf numFmtId="0" fontId="2" fillId="0" borderId="0" xfId="0" applyFont="1" applyAlignment="1">
      <alignment horizontal="center"/>
    </xf>
    <xf numFmtId="0" fontId="5" fillId="3" borderId="0" xfId="0" applyFont="1" applyFill="1" applyAlignment="1">
      <alignment horizontal="center" vertical="center"/>
    </xf>
    <xf numFmtId="0" fontId="2" fillId="2" borderId="1" xfId="0" applyFont="1" applyFill="1" applyBorder="1" applyAlignment="1">
      <alignment horizontal="center" vertical="center"/>
    </xf>
    <xf numFmtId="0" fontId="2" fillId="2" borderId="0" xfId="0" applyFont="1" applyFill="1" applyAlignment="1">
      <alignment horizontal="center" vertical="center" wrapText="1"/>
    </xf>
    <xf numFmtId="168" fontId="2" fillId="0" borderId="0" xfId="1" applyNumberFormat="1" applyFont="1" applyAlignment="1">
      <alignment horizontal="center" vertical="center"/>
    </xf>
    <xf numFmtId="0" fontId="5" fillId="2" borderId="0" xfId="0" applyFont="1" applyFill="1" applyAlignment="1">
      <alignment horizontal="center" wrapText="1"/>
    </xf>
    <xf numFmtId="168" fontId="5" fillId="2" borderId="0" xfId="0" applyNumberFormat="1" applyFont="1" applyFill="1" applyAlignment="1">
      <alignment horizontal="center"/>
    </xf>
    <xf numFmtId="168" fontId="2" fillId="2" borderId="1" xfId="1" applyNumberFormat="1" applyFont="1" applyFill="1" applyBorder="1" applyAlignment="1">
      <alignment vertical="center"/>
    </xf>
    <xf numFmtId="168" fontId="2" fillId="2" borderId="0" xfId="0" applyNumberFormat="1" applyFont="1" applyFill="1" applyAlignment="1">
      <alignment vertical="center"/>
    </xf>
    <xf numFmtId="0" fontId="2" fillId="2" borderId="0" xfId="0" applyFont="1" applyFill="1" applyAlignment="1">
      <alignment horizontal="center"/>
    </xf>
    <xf numFmtId="0" fontId="2" fillId="0" borderId="0" xfId="0" applyFont="1" applyAlignment="1">
      <alignment horizontal="left"/>
    </xf>
    <xf numFmtId="167" fontId="2" fillId="0" borderId="0" xfId="1" applyFont="1" applyAlignment="1">
      <alignment horizontal="center"/>
    </xf>
    <xf numFmtId="1" fontId="5" fillId="3" borderId="0" xfId="0" applyNumberFormat="1" applyFont="1" applyFill="1"/>
    <xf numFmtId="0" fontId="5" fillId="0" borderId="0" xfId="0" applyFont="1"/>
    <xf numFmtId="9" fontId="2" fillId="0" borderId="0" xfId="0" applyNumberFormat="1" applyFont="1"/>
    <xf numFmtId="164" fontId="2" fillId="0" borderId="0" xfId="0" applyNumberFormat="1" applyFont="1"/>
    <xf numFmtId="10" fontId="2" fillId="0" borderId="0" xfId="0" applyNumberFormat="1" applyFont="1"/>
    <xf numFmtId="165" fontId="2" fillId="0" borderId="0" xfId="0" applyNumberFormat="1" applyFont="1"/>
    <xf numFmtId="0" fontId="2" fillId="3" borderId="0" xfId="0" applyFont="1" applyFill="1"/>
    <xf numFmtId="10" fontId="2" fillId="2" borderId="0" xfId="0" applyNumberFormat="1" applyFont="1" applyFill="1"/>
    <xf numFmtId="9" fontId="2" fillId="2" borderId="0" xfId="0" applyNumberFormat="1" applyFont="1" applyFill="1"/>
    <xf numFmtId="0" fontId="5" fillId="2" borderId="0" xfId="0" applyFont="1" applyFill="1"/>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8" fillId="6" borderId="3" xfId="0" applyNumberFormat="1" applyFont="1" applyFill="1" applyBorder="1" applyAlignment="1">
      <alignment horizontal="center" vertical="center" wrapText="1"/>
    </xf>
    <xf numFmtId="164" fontId="6" fillId="0" borderId="2" xfId="0" applyNumberFormat="1" applyFont="1" applyBorder="1" applyAlignment="1">
      <alignment horizontal="center" vertical="center" wrapText="1"/>
    </xf>
    <xf numFmtId="0" fontId="0" fillId="0" borderId="3" xfId="0" applyBorder="1" applyAlignment="1">
      <alignment vertical="center" wrapText="1"/>
    </xf>
    <xf numFmtId="0" fontId="2" fillId="4" borderId="0" xfId="0" applyFont="1" applyFill="1"/>
    <xf numFmtId="168" fontId="2" fillId="4" borderId="0" xfId="0" applyNumberFormat="1" applyFont="1" applyFill="1"/>
    <xf numFmtId="164" fontId="2" fillId="4" borderId="0" xfId="0" applyNumberFormat="1" applyFont="1" applyFill="1"/>
    <xf numFmtId="0" fontId="5" fillId="3" borderId="0" xfId="0" applyFont="1" applyFill="1"/>
    <xf numFmtId="168" fontId="2" fillId="0" borderId="0" xfId="1" applyNumberFormat="1" applyFont="1" applyAlignment="1">
      <alignment horizontal="left"/>
    </xf>
    <xf numFmtId="168" fontId="2" fillId="0" borderId="0" xfId="1" applyNumberFormat="1" applyFont="1" applyAlignment="1"/>
    <xf numFmtId="168" fontId="5" fillId="2" borderId="0" xfId="1" applyNumberFormat="1" applyFont="1" applyFill="1" applyAlignment="1"/>
    <xf numFmtId="168" fontId="2" fillId="0" borderId="0" xfId="1" applyNumberFormat="1" applyFont="1" applyFill="1"/>
    <xf numFmtId="167" fontId="2" fillId="0" borderId="0" xfId="1" applyFont="1" applyAlignment="1">
      <alignment wrapText="1"/>
    </xf>
    <xf numFmtId="167" fontId="5" fillId="0" borderId="0" xfId="1" applyFont="1"/>
    <xf numFmtId="167" fontId="2" fillId="0" borderId="0" xfId="1" applyFont="1" applyFill="1" applyBorder="1"/>
    <xf numFmtId="0" fontId="2" fillId="2" borderId="0" xfId="0" applyFont="1" applyFill="1" applyAlignment="1">
      <alignment horizontal="center" vertical="center"/>
    </xf>
    <xf numFmtId="0" fontId="9" fillId="2" borderId="0" xfId="0" applyFont="1" applyFill="1" applyAlignment="1">
      <alignment wrapText="1"/>
    </xf>
    <xf numFmtId="0" fontId="10" fillId="3" borderId="0" xfId="0" applyFont="1" applyFill="1" applyAlignment="1">
      <alignment wrapText="1"/>
    </xf>
    <xf numFmtId="0" fontId="9" fillId="2" borderId="0" xfId="0" applyFont="1" applyFill="1" applyAlignment="1">
      <alignment horizontal="center" vertical="center" wrapText="1"/>
    </xf>
    <xf numFmtId="0" fontId="2" fillId="0" borderId="0" xfId="0" applyFont="1" applyFill="1"/>
    <xf numFmtId="164" fontId="2" fillId="2" borderId="0" xfId="1" applyNumberFormat="1" applyFont="1" applyFill="1" applyAlignment="1">
      <alignment horizontal="center" vertical="center"/>
    </xf>
    <xf numFmtId="164" fontId="2" fillId="2" borderId="0" xfId="0" applyNumberFormat="1" applyFont="1" applyFill="1"/>
    <xf numFmtId="0" fontId="2" fillId="2" borderId="0" xfId="0" applyFont="1" applyFill="1" applyAlignment="1">
      <alignment horizontal="right"/>
    </xf>
    <xf numFmtId="164" fontId="4" fillId="0" borderId="0" xfId="0" applyNumberFormat="1" applyFont="1" applyBorder="1" applyAlignment="1">
      <alignment horizontal="center" vertical="center"/>
    </xf>
    <xf numFmtId="0" fontId="4" fillId="0" borderId="0" xfId="0" applyFont="1" applyBorder="1" applyAlignment="1">
      <alignment horizontal="center" vertical="center"/>
    </xf>
    <xf numFmtId="164" fontId="2" fillId="0" borderId="0" xfId="0" applyNumberFormat="1" applyFont="1" applyBorder="1"/>
    <xf numFmtId="167" fontId="5" fillId="2" borderId="0" xfId="1" applyFont="1" applyFill="1"/>
    <xf numFmtId="0" fontId="2" fillId="2" borderId="0" xfId="0" applyFont="1" applyFill="1" applyBorder="1" applyAlignment="1">
      <alignment horizontal="center" vertical="center"/>
    </xf>
    <xf numFmtId="168" fontId="2" fillId="2" borderId="0" xfId="0" applyNumberFormat="1" applyFont="1" applyFill="1" applyBorder="1" applyAlignment="1">
      <alignment horizontal="center" vertical="center"/>
    </xf>
    <xf numFmtId="168" fontId="2" fillId="2" borderId="0" xfId="0" applyNumberFormat="1" applyFont="1" applyFill="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0" xfId="0" applyFont="1" applyFill="1" applyBorder="1" applyAlignment="1">
      <alignment horizontal="center" vertical="center" wrapText="1"/>
    </xf>
    <xf numFmtId="168" fontId="5" fillId="2" borderId="0" xfId="1" applyNumberFormat="1" applyFont="1" applyFill="1"/>
    <xf numFmtId="168" fontId="5" fillId="2" borderId="0" xfId="0" applyNumberFormat="1" applyFont="1" applyFill="1" applyBorder="1" applyAlignment="1">
      <alignment horizontal="left"/>
    </xf>
    <xf numFmtId="9" fontId="5" fillId="2" borderId="0" xfId="0" applyNumberFormat="1" applyFont="1" applyFill="1" applyBorder="1" applyAlignment="1">
      <alignment horizontal="center" vertical="center"/>
    </xf>
    <xf numFmtId="168" fontId="5" fillId="2" borderId="0" xfId="1" applyNumberFormat="1" applyFont="1" applyFill="1" applyBorder="1" applyAlignment="1">
      <alignment horizontal="left"/>
    </xf>
    <xf numFmtId="9" fontId="5" fillId="2" borderId="0" xfId="2" applyFont="1" applyFill="1" applyBorder="1" applyAlignment="1">
      <alignment horizontal="center" vertical="center"/>
    </xf>
    <xf numFmtId="168" fontId="5" fillId="2" borderId="0" xfId="0" applyNumberFormat="1" applyFont="1" applyFill="1" applyAlignment="1">
      <alignment horizontal="left"/>
    </xf>
    <xf numFmtId="9" fontId="5" fillId="2" borderId="0" xfId="2" applyFont="1" applyFill="1" applyAlignment="1">
      <alignment horizontal="center" vertical="center"/>
    </xf>
    <xf numFmtId="9" fontId="5" fillId="2" borderId="0" xfId="2" applyFont="1" applyFill="1" applyAlignment="1">
      <alignment horizontal="center"/>
    </xf>
    <xf numFmtId="0" fontId="5" fillId="0" borderId="0" xfId="0" applyFont="1" applyAlignment="1">
      <alignment horizontal="left"/>
    </xf>
    <xf numFmtId="9" fontId="5" fillId="2" borderId="0" xfId="2" applyFont="1" applyFill="1" applyBorder="1" applyAlignment="1">
      <alignment horizontal="center"/>
    </xf>
    <xf numFmtId="0" fontId="5" fillId="2" borderId="0" xfId="0" applyFont="1" applyFill="1" applyBorder="1" applyAlignment="1">
      <alignment horizontal="right"/>
    </xf>
    <xf numFmtId="0" fontId="5" fillId="2" borderId="0" xfId="0" applyFont="1" applyFill="1" applyAlignment="1">
      <alignment horizontal="right"/>
    </xf>
    <xf numFmtId="0" fontId="5" fillId="2" borderId="0" xfId="0" applyFont="1" applyFill="1" applyAlignment="1">
      <alignment horizontal="center"/>
    </xf>
    <xf numFmtId="168" fontId="5" fillId="2" borderId="0" xfId="1" applyNumberFormat="1" applyFont="1" applyFill="1" applyAlignment="1">
      <alignment horizontal="center"/>
    </xf>
    <xf numFmtId="10" fontId="5" fillId="2" borderId="0" xfId="0" applyNumberFormat="1" applyFont="1" applyFill="1" applyAlignment="1">
      <alignment horizontal="center"/>
    </xf>
    <xf numFmtId="0" fontId="5" fillId="2" borderId="0" xfId="0" applyFont="1" applyFill="1" applyAlignment="1"/>
    <xf numFmtId="1" fontId="2" fillId="2" borderId="0" xfId="0" applyNumberFormat="1" applyFont="1" applyFill="1" applyAlignment="1">
      <alignment horizontal="center" vertical="center"/>
    </xf>
    <xf numFmtId="168" fontId="2" fillId="2" borderId="0" xfId="0" applyNumberFormat="1" applyFont="1" applyFill="1"/>
    <xf numFmtId="10" fontId="2" fillId="0" borderId="0" xfId="2" applyNumberFormat="1" applyFont="1" applyAlignment="1">
      <alignment horizontal="center"/>
    </xf>
    <xf numFmtId="10" fontId="2" fillId="3" borderId="0" xfId="0" applyNumberFormat="1" applyFont="1" applyFill="1" applyAlignment="1">
      <alignment horizontal="center"/>
    </xf>
    <xf numFmtId="169" fontId="2" fillId="0" borderId="0" xfId="0" applyNumberFormat="1" applyFont="1"/>
    <xf numFmtId="168" fontId="2" fillId="0" borderId="0" xfId="1" applyNumberFormat="1" applyFont="1" applyAlignment="1">
      <alignment horizontal="center" vertical="center"/>
    </xf>
    <xf numFmtId="0" fontId="5" fillId="3" borderId="0" xfId="0" applyFont="1" applyFill="1" applyAlignment="1">
      <alignment horizontal="center" wrapText="1"/>
    </xf>
    <xf numFmtId="168" fontId="2" fillId="0" borderId="0" xfId="1" applyNumberFormat="1" applyFont="1" applyAlignment="1">
      <alignment horizontal="center" vertical="center"/>
    </xf>
    <xf numFmtId="0" fontId="2" fillId="0" borderId="0" xfId="0" applyFont="1" applyAlignment="1">
      <alignment horizontal="center"/>
    </xf>
    <xf numFmtId="0" fontId="2" fillId="0" borderId="0" xfId="0" applyFont="1" applyAlignment="1">
      <alignment horizontal="left"/>
    </xf>
    <xf numFmtId="0" fontId="5" fillId="2" borderId="0" xfId="0" applyFont="1" applyFill="1" applyAlignment="1">
      <alignment horizontal="center" vertical="center"/>
    </xf>
    <xf numFmtId="0" fontId="2" fillId="3" borderId="0" xfId="0" applyFont="1" applyFill="1" applyAlignment="1">
      <alignment horizontal="center"/>
    </xf>
    <xf numFmtId="0" fontId="2" fillId="2" borderId="0" xfId="0" applyFont="1" applyFill="1" applyAlignment="1">
      <alignment horizontal="center"/>
    </xf>
    <xf numFmtId="9" fontId="2" fillId="0" borderId="0" xfId="2" applyFont="1"/>
    <xf numFmtId="167" fontId="2" fillId="0" borderId="0" xfId="0" applyNumberFormat="1" applyFont="1"/>
    <xf numFmtId="168" fontId="2" fillId="0" borderId="0" xfId="0" applyNumberFormat="1" applyFont="1" applyAlignment="1">
      <alignment vertical="center"/>
    </xf>
    <xf numFmtId="167" fontId="2" fillId="0" borderId="0" xfId="1" applyFont="1" applyAlignment="1">
      <alignment vertical="center"/>
    </xf>
    <xf numFmtId="171" fontId="2" fillId="0" borderId="0" xfId="1" applyNumberFormat="1" applyFont="1" applyAlignment="1">
      <alignment horizontal="center"/>
    </xf>
    <xf numFmtId="171" fontId="2" fillId="0" borderId="0" xfId="1" applyNumberFormat="1" applyFont="1"/>
    <xf numFmtId="171" fontId="2" fillId="0" borderId="0" xfId="0" applyNumberFormat="1" applyFont="1" applyAlignment="1">
      <alignment horizontal="center"/>
    </xf>
    <xf numFmtId="166" fontId="2" fillId="0" borderId="0" xfId="0" applyNumberFormat="1" applyFont="1"/>
    <xf numFmtId="0" fontId="2" fillId="7" borderId="0" xfId="0" applyFont="1" applyFill="1"/>
    <xf numFmtId="168" fontId="2" fillId="7" borderId="0" xfId="1" applyNumberFormat="1" applyFont="1" applyFill="1"/>
    <xf numFmtId="168" fontId="2" fillId="7" borderId="0" xfId="0" applyNumberFormat="1" applyFont="1" applyFill="1"/>
    <xf numFmtId="0" fontId="2" fillId="7" borderId="0" xfId="0" applyFont="1" applyFill="1" applyAlignment="1">
      <alignment wrapText="1"/>
    </xf>
    <xf numFmtId="168" fontId="2" fillId="7" borderId="0" xfId="1" applyNumberFormat="1" applyFont="1" applyFill="1" applyAlignment="1">
      <alignment wrapText="1"/>
    </xf>
    <xf numFmtId="0" fontId="5" fillId="4" borderId="0" xfId="0" applyFont="1" applyFill="1" applyAlignment="1">
      <alignment horizontal="center"/>
    </xf>
    <xf numFmtId="0" fontId="2" fillId="7" borderId="0" xfId="0" applyFont="1" applyFill="1" applyAlignment="1">
      <alignment horizontal="center"/>
    </xf>
    <xf numFmtId="0" fontId="2" fillId="7" borderId="0" xfId="0" applyNumberFormat="1" applyFont="1" applyFill="1" applyAlignment="1">
      <alignment horizontal="center"/>
    </xf>
    <xf numFmtId="0" fontId="2" fillId="7" borderId="0" xfId="0" applyFont="1" applyFill="1" applyAlignment="1">
      <alignment horizontal="left" wrapText="1"/>
    </xf>
    <xf numFmtId="0" fontId="2" fillId="7" borderId="0" xfId="0" applyFont="1" applyFill="1" applyAlignment="1">
      <alignment vertical="center" wrapText="1"/>
    </xf>
    <xf numFmtId="168" fontId="2" fillId="7" borderId="0" xfId="1" applyNumberFormat="1" applyFont="1" applyFill="1" applyAlignment="1">
      <alignment vertical="center"/>
    </xf>
    <xf numFmtId="0" fontId="2" fillId="7" borderId="0" xfId="0" applyFont="1" applyFill="1" applyAlignment="1">
      <alignment vertical="center"/>
    </xf>
    <xf numFmtId="10" fontId="2" fillId="7" borderId="0" xfId="0" applyNumberFormat="1" applyFont="1" applyFill="1" applyAlignment="1">
      <alignment horizontal="center"/>
    </xf>
    <xf numFmtId="0" fontId="2" fillId="7" borderId="0" xfId="1" applyNumberFormat="1" applyFont="1" applyFill="1" applyAlignment="1">
      <alignment horizontal="center"/>
    </xf>
    <xf numFmtId="0" fontId="5" fillId="3" borderId="0" xfId="0" applyFont="1" applyFill="1" applyAlignment="1">
      <alignment horizont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left"/>
    </xf>
    <xf numFmtId="0" fontId="5" fillId="3" borderId="0" xfId="0" applyFont="1" applyFill="1" applyAlignment="1"/>
    <xf numFmtId="172" fontId="5" fillId="2" borderId="0" xfId="1" applyNumberFormat="1" applyFont="1" applyFill="1" applyAlignment="1">
      <alignment horizontal="left"/>
    </xf>
    <xf numFmtId="172" fontId="0" fillId="0" borderId="0" xfId="0" applyNumberFormat="1"/>
    <xf numFmtId="172" fontId="5" fillId="2" borderId="0" xfId="0" applyNumberFormat="1" applyFont="1" applyFill="1" applyAlignment="1">
      <alignment horizontal="left"/>
    </xf>
    <xf numFmtId="172" fontId="2" fillId="0" borderId="0" xfId="1" applyNumberFormat="1" applyFont="1"/>
    <xf numFmtId="172" fontId="5" fillId="3" borderId="0" xfId="0" applyNumberFormat="1" applyFont="1" applyFill="1" applyAlignment="1"/>
    <xf numFmtId="172" fontId="5" fillId="3" borderId="0" xfId="1" applyNumberFormat="1" applyFont="1" applyFill="1" applyAlignment="1"/>
    <xf numFmtId="0" fontId="5" fillId="0" borderId="0" xfId="0" applyFont="1" applyFill="1" applyBorder="1" applyAlignment="1">
      <alignment horizontal="center" vertical="center"/>
    </xf>
    <xf numFmtId="0" fontId="5" fillId="0" borderId="0" xfId="0" applyFont="1" applyFill="1" applyAlignment="1">
      <alignment horizontal="center" vertical="center"/>
    </xf>
    <xf numFmtId="168" fontId="2" fillId="0" borderId="0" xfId="1" applyNumberFormat="1" applyFont="1" applyFill="1" applyBorder="1"/>
    <xf numFmtId="173" fontId="2" fillId="0" borderId="0" xfId="0" applyNumberFormat="1" applyFont="1"/>
    <xf numFmtId="1" fontId="2" fillId="0" borderId="0" xfId="0" applyNumberFormat="1" applyFont="1"/>
    <xf numFmtId="0" fontId="5" fillId="7" borderId="0" xfId="0" applyFont="1" applyFill="1"/>
    <xf numFmtId="167" fontId="5" fillId="7" borderId="0" xfId="1" applyFont="1" applyFill="1"/>
    <xf numFmtId="9" fontId="2" fillId="0" borderId="0" xfId="0" applyNumberFormat="1" applyFont="1" applyAlignment="1"/>
    <xf numFmtId="0" fontId="2" fillId="0" borderId="0" xfId="1" applyNumberFormat="1" applyFont="1" applyFill="1"/>
    <xf numFmtId="10" fontId="5" fillId="2" borderId="0" xfId="2" applyNumberFormat="1" applyFont="1" applyFill="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5" fillId="0" borderId="0" xfId="0" applyFont="1" applyAlignment="1">
      <alignment horizontal="center" vertical="center"/>
    </xf>
    <xf numFmtId="9" fontId="2" fillId="0" borderId="0" xfId="2" applyNumberFormat="1" applyFont="1"/>
    <xf numFmtId="0" fontId="2" fillId="0" borderId="1" xfId="0" applyFont="1" applyBorder="1" applyAlignment="1">
      <alignment wrapText="1"/>
    </xf>
    <xf numFmtId="0" fontId="2" fillId="0" borderId="4" xfId="0" applyFont="1" applyBorder="1" applyAlignment="1">
      <alignment wrapText="1"/>
    </xf>
    <xf numFmtId="0" fontId="5" fillId="3" borderId="0" xfId="0" applyFont="1" applyFill="1" applyBorder="1" applyAlignment="1">
      <alignment horizontal="center"/>
    </xf>
    <xf numFmtId="0" fontId="5" fillId="2" borderId="0" xfId="0" applyFont="1" applyFill="1" applyBorder="1" applyAlignment="1">
      <alignment horizontal="right"/>
    </xf>
    <xf numFmtId="0" fontId="5" fillId="2" borderId="0" xfId="0" applyFont="1" applyFill="1" applyBorder="1" applyAlignment="1">
      <alignment horizontal="center"/>
    </xf>
    <xf numFmtId="0" fontId="5" fillId="3" borderId="0" xfId="0" applyFont="1" applyFill="1" applyAlignment="1">
      <alignment horizontal="center"/>
    </xf>
    <xf numFmtId="0" fontId="5" fillId="3" borderId="0" xfId="0" applyFont="1" applyFill="1" applyAlignment="1">
      <alignment horizontal="center" wrapText="1"/>
    </xf>
    <xf numFmtId="0" fontId="5" fillId="3" borderId="0" xfId="0" applyFont="1" applyFill="1" applyAlignment="1">
      <alignment horizontal="center" vertical="center"/>
    </xf>
    <xf numFmtId="168" fontId="5" fillId="2" borderId="0" xfId="0" applyNumberFormat="1" applyFont="1" applyFill="1" applyAlignment="1">
      <alignment horizontal="right"/>
    </xf>
    <xf numFmtId="167" fontId="2" fillId="7" borderId="0" xfId="1" applyFont="1" applyFill="1" applyAlignment="1">
      <alignment horizontal="center"/>
    </xf>
    <xf numFmtId="0" fontId="5" fillId="2" borderId="0" xfId="0" applyFont="1" applyFill="1" applyAlignment="1">
      <alignment horizontal="center"/>
    </xf>
    <xf numFmtId="0" fontId="2" fillId="2" borderId="0" xfId="0" applyFont="1" applyFill="1" applyAlignment="1">
      <alignment horizontal="center" vertical="center" wrapText="1"/>
    </xf>
    <xf numFmtId="0" fontId="2" fillId="7" borderId="0" xfId="0" applyFont="1" applyFill="1" applyAlignment="1">
      <alignment horizontal="center"/>
    </xf>
    <xf numFmtId="0" fontId="2" fillId="0" borderId="0" xfId="0" applyFont="1" applyAlignment="1">
      <alignment horizontal="center"/>
    </xf>
    <xf numFmtId="0" fontId="2" fillId="3" borderId="0" xfId="0" applyFont="1" applyFill="1" applyAlignment="1">
      <alignment horizontal="center" wrapText="1"/>
    </xf>
    <xf numFmtId="0" fontId="2" fillId="0" borderId="0" xfId="0" applyFont="1" applyAlignment="1">
      <alignment horizontal="left"/>
    </xf>
    <xf numFmtId="0" fontId="2" fillId="3" borderId="0" xfId="0" applyFont="1" applyFill="1" applyAlignment="1">
      <alignment horizontal="center"/>
    </xf>
    <xf numFmtId="0" fontId="10" fillId="3" borderId="0" xfId="0" applyFont="1" applyFill="1" applyAlignment="1">
      <alignment horizontal="center" wrapText="1"/>
    </xf>
    <xf numFmtId="167" fontId="2" fillId="0" borderId="0" xfId="1" applyFont="1" applyAlignment="1">
      <alignment horizontal="center" vertical="center"/>
    </xf>
    <xf numFmtId="168" fontId="2" fillId="0" borderId="0" xfId="1" applyNumberFormat="1" applyFont="1" applyAlignment="1">
      <alignment horizontal="center" vertical="center"/>
    </xf>
    <xf numFmtId="0" fontId="2" fillId="0" borderId="0" xfId="0" applyFont="1"/>
    <xf numFmtId="0" fontId="5" fillId="2" borderId="0" xfId="0" applyFont="1" applyFill="1" applyAlignment="1">
      <alignment horizontal="center" vertical="center"/>
    </xf>
    <xf numFmtId="9" fontId="2" fillId="2" borderId="0" xfId="0" applyNumberFormat="1" applyFont="1" applyFill="1" applyAlignment="1">
      <alignment horizontal="center" vertical="center"/>
    </xf>
    <xf numFmtId="0" fontId="5" fillId="3" borderId="0" xfId="0" applyFont="1" applyFill="1" applyAlignment="1">
      <alignment horizontal="center" vertical="center" wrapText="1"/>
    </xf>
    <xf numFmtId="0" fontId="5" fillId="0" borderId="0" xfId="0" applyFont="1" applyAlignment="1">
      <alignment horizontal="center" vertical="center"/>
    </xf>
    <xf numFmtId="9" fontId="2" fillId="5" borderId="0" xfId="2" applyFont="1" applyFill="1" applyAlignment="1">
      <alignment horizontal="center" vertical="center"/>
    </xf>
    <xf numFmtId="2" fontId="2" fillId="5" borderId="0" xfId="2" applyNumberFormat="1" applyFont="1" applyFill="1" applyAlignment="1">
      <alignment horizontal="center" vertical="center"/>
    </xf>
    <xf numFmtId="0" fontId="2" fillId="0" borderId="0" xfId="0" applyFont="1" applyAlignment="1">
      <alignment horizontal="center" wrapText="1"/>
    </xf>
    <xf numFmtId="0" fontId="2" fillId="5" borderId="0" xfId="0" applyFont="1" applyFill="1" applyAlignment="1">
      <alignment horizontal="center" vertical="center" wrapText="1"/>
    </xf>
    <xf numFmtId="10" fontId="2" fillId="5" borderId="0" xfId="2" applyNumberFormat="1" applyFont="1" applyFill="1" applyAlignment="1">
      <alignment horizontal="center" vertical="center"/>
    </xf>
    <xf numFmtId="168" fontId="2" fillId="5" borderId="0" xfId="1" applyNumberFormat="1" applyFont="1" applyFill="1" applyAlignment="1">
      <alignment horizontal="center" vertical="center"/>
    </xf>
    <xf numFmtId="172" fontId="5" fillId="3" borderId="0" xfId="0" applyNumberFormat="1" applyFont="1" applyFill="1" applyAlignment="1">
      <alignment horizontal="center"/>
    </xf>
    <xf numFmtId="0" fontId="2" fillId="2" borderId="0" xfId="0" applyFont="1" applyFill="1" applyAlignment="1">
      <alignment horizontal="center"/>
    </xf>
  </cellXfs>
  <cellStyles count="3">
    <cellStyle name="Moneda" xfId="1" builtinId="4"/>
    <cellStyle name="Normal" xfId="0" builtinId="0"/>
    <cellStyle name="Porcentaje" xfId="2" builtinId="5"/>
  </cellStyles>
  <dxfs count="0"/>
  <tableStyles count="0" defaultTableStyle="TableStyleMedium2" defaultPivotStyle="PivotStyleLight16"/>
  <colors>
    <mruColors>
      <color rgb="FFFEF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5</xdr:col>
      <xdr:colOff>752476</xdr:colOff>
      <xdr:row>2</xdr:row>
      <xdr:rowOff>47626</xdr:rowOff>
    </xdr:from>
    <xdr:to>
      <xdr:col>10</xdr:col>
      <xdr:colOff>238126</xdr:colOff>
      <xdr:row>12</xdr:row>
      <xdr:rowOff>186763</xdr:rowOff>
    </xdr:to>
    <xdr:pic>
      <xdr:nvPicPr>
        <xdr:cNvPr id="2" name="Imagen 1"/>
        <xdr:cNvPicPr>
          <a:picLocks noChangeAspect="1"/>
        </xdr:cNvPicPr>
      </xdr:nvPicPr>
      <xdr:blipFill rotWithShape="1">
        <a:blip xmlns:r="http://schemas.openxmlformats.org/officeDocument/2006/relationships" r:embed="rId1"/>
        <a:srcRect l="13764" t="11590" r="14112" b="8842"/>
        <a:stretch/>
      </xdr:blipFill>
      <xdr:spPr>
        <a:xfrm>
          <a:off x="4562476" y="428626"/>
          <a:ext cx="3295650" cy="2044137"/>
        </a:xfrm>
        <a:prstGeom prst="rect">
          <a:avLst/>
        </a:prstGeom>
      </xdr:spPr>
    </xdr:pic>
    <xdr:clientData/>
  </xdr:twoCellAnchor>
  <xdr:twoCellAnchor editAs="oneCell">
    <xdr:from>
      <xdr:col>6</xdr:col>
      <xdr:colOff>19050</xdr:colOff>
      <xdr:row>14</xdr:row>
      <xdr:rowOff>0</xdr:rowOff>
    </xdr:from>
    <xdr:to>
      <xdr:col>10</xdr:col>
      <xdr:colOff>361950</xdr:colOff>
      <xdr:row>25</xdr:row>
      <xdr:rowOff>23387</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91050" y="2667000"/>
          <a:ext cx="3390900" cy="2118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257176</xdr:colOff>
      <xdr:row>2</xdr:row>
      <xdr:rowOff>1</xdr:rowOff>
    </xdr:from>
    <xdr:to>
      <xdr:col>17</xdr:col>
      <xdr:colOff>112532</xdr:colOff>
      <xdr:row>11</xdr:row>
      <xdr:rowOff>104775</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39176" y="381001"/>
          <a:ext cx="4427356" cy="181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381001</xdr:colOff>
      <xdr:row>11</xdr:row>
      <xdr:rowOff>161926</xdr:rowOff>
    </xdr:from>
    <xdr:to>
      <xdr:col>16</xdr:col>
      <xdr:colOff>474727</xdr:colOff>
      <xdr:row>22</xdr:row>
      <xdr:rowOff>142876</xdr:rowOff>
    </xdr:to>
    <xdr:pic>
      <xdr:nvPicPr>
        <xdr:cNvPr id="5" name="Imagen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63001" y="2257426"/>
          <a:ext cx="3903726"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371476</xdr:colOff>
      <xdr:row>23</xdr:row>
      <xdr:rowOff>114301</xdr:rowOff>
    </xdr:from>
    <xdr:to>
      <xdr:col>16</xdr:col>
      <xdr:colOff>486072</xdr:colOff>
      <xdr:row>35</xdr:row>
      <xdr:rowOff>9525</xdr:rowOff>
    </xdr:to>
    <xdr:pic>
      <xdr:nvPicPr>
        <xdr:cNvPr id="6" name="Imagen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53476" y="4495801"/>
          <a:ext cx="3924596" cy="218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xdr:row>
      <xdr:rowOff>76201</xdr:rowOff>
    </xdr:from>
    <xdr:to>
      <xdr:col>4</xdr:col>
      <xdr:colOff>430060</xdr:colOff>
      <xdr:row>12</xdr:row>
      <xdr:rowOff>152400</xdr:rowOff>
    </xdr:to>
    <xdr:pic>
      <xdr:nvPicPr>
        <xdr:cNvPr id="8" name="Imagen 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876" y="457201"/>
          <a:ext cx="3335184" cy="198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14</xdr:row>
      <xdr:rowOff>47626</xdr:rowOff>
    </xdr:from>
    <xdr:to>
      <xdr:col>4</xdr:col>
      <xdr:colOff>438150</xdr:colOff>
      <xdr:row>24</xdr:row>
      <xdr:rowOff>76541</xdr:rowOff>
    </xdr:to>
    <xdr:pic>
      <xdr:nvPicPr>
        <xdr:cNvPr id="9" name="Imagen 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 y="2714626"/>
          <a:ext cx="3324225" cy="193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25</xdr:row>
      <xdr:rowOff>95251</xdr:rowOff>
    </xdr:from>
    <xdr:to>
      <xdr:col>4</xdr:col>
      <xdr:colOff>436374</xdr:colOff>
      <xdr:row>36</xdr:row>
      <xdr:rowOff>9525</xdr:rowOff>
    </xdr:to>
    <xdr:pic>
      <xdr:nvPicPr>
        <xdr:cNvPr id="10" name="Imagen 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625" y="4857751"/>
          <a:ext cx="3436749" cy="200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37</xdr:row>
      <xdr:rowOff>66676</xdr:rowOff>
    </xdr:from>
    <xdr:to>
      <xdr:col>4</xdr:col>
      <xdr:colOff>449307</xdr:colOff>
      <xdr:row>48</xdr:row>
      <xdr:rowOff>95250</xdr:rowOff>
    </xdr:to>
    <xdr:pic>
      <xdr:nvPicPr>
        <xdr:cNvPr id="12" name="Imagen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1" y="7115176"/>
          <a:ext cx="3459206" cy="2124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142876</xdr:rowOff>
    </xdr:from>
    <xdr:to>
      <xdr:col>4</xdr:col>
      <xdr:colOff>361950</xdr:colOff>
      <xdr:row>60</xdr:row>
      <xdr:rowOff>5128</xdr:rowOff>
    </xdr:to>
    <xdr:pic>
      <xdr:nvPicPr>
        <xdr:cNvPr id="13" name="Imagen 1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9477376"/>
          <a:ext cx="3409950" cy="1957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61</xdr:row>
      <xdr:rowOff>76201</xdr:rowOff>
    </xdr:from>
    <xdr:to>
      <xdr:col>4</xdr:col>
      <xdr:colOff>619125</xdr:colOff>
      <xdr:row>72</xdr:row>
      <xdr:rowOff>20976</xdr:rowOff>
    </xdr:to>
    <xdr:pic>
      <xdr:nvPicPr>
        <xdr:cNvPr id="14" name="Imagen 1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576" y="11696701"/>
          <a:ext cx="3638549" cy="204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72</xdr:row>
      <xdr:rowOff>85726</xdr:rowOff>
    </xdr:from>
    <xdr:to>
      <xdr:col>4</xdr:col>
      <xdr:colOff>400654</xdr:colOff>
      <xdr:row>82</xdr:row>
      <xdr:rowOff>85726</xdr:rowOff>
    </xdr:to>
    <xdr:pic>
      <xdr:nvPicPr>
        <xdr:cNvPr id="15" name="Imagen 1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151" y="13801726"/>
          <a:ext cx="3391503"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742950</xdr:colOff>
      <xdr:row>25</xdr:row>
      <xdr:rowOff>152401</xdr:rowOff>
    </xdr:from>
    <xdr:to>
      <xdr:col>10</xdr:col>
      <xdr:colOff>408655</xdr:colOff>
      <xdr:row>36</xdr:row>
      <xdr:rowOff>123825</xdr:rowOff>
    </xdr:to>
    <xdr:pic>
      <xdr:nvPicPr>
        <xdr:cNvPr id="16" name="Imagen 1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552950" y="4914901"/>
          <a:ext cx="3475705" cy="206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83</xdr:row>
      <xdr:rowOff>28576</xdr:rowOff>
    </xdr:from>
    <xdr:to>
      <xdr:col>4</xdr:col>
      <xdr:colOff>391303</xdr:colOff>
      <xdr:row>93</xdr:row>
      <xdr:rowOff>9526</xdr:rowOff>
    </xdr:to>
    <xdr:pic>
      <xdr:nvPicPr>
        <xdr:cNvPr id="17" name="Imagen 1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5250" y="15840076"/>
          <a:ext cx="3344053"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742951</xdr:colOff>
      <xdr:row>37</xdr:row>
      <xdr:rowOff>57150</xdr:rowOff>
    </xdr:from>
    <xdr:to>
      <xdr:col>10</xdr:col>
      <xdr:colOff>322515</xdr:colOff>
      <xdr:row>47</xdr:row>
      <xdr:rowOff>28575</xdr:rowOff>
    </xdr:to>
    <xdr:pic>
      <xdr:nvPicPr>
        <xdr:cNvPr id="18" name="Imagen 1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52951" y="7105650"/>
          <a:ext cx="3389564"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142875</xdr:colOff>
      <xdr:row>36</xdr:row>
      <xdr:rowOff>19051</xdr:rowOff>
    </xdr:from>
    <xdr:to>
      <xdr:col>16</xdr:col>
      <xdr:colOff>438150</xdr:colOff>
      <xdr:row>50</xdr:row>
      <xdr:rowOff>57293</xdr:rowOff>
    </xdr:to>
    <xdr:pic>
      <xdr:nvPicPr>
        <xdr:cNvPr id="19" name="Imagen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24875" y="6877051"/>
          <a:ext cx="4105275" cy="2705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590551</xdr:colOff>
      <xdr:row>50</xdr:row>
      <xdr:rowOff>114301</xdr:rowOff>
    </xdr:from>
    <xdr:to>
      <xdr:col>16</xdr:col>
      <xdr:colOff>107206</xdr:colOff>
      <xdr:row>77</xdr:row>
      <xdr:rowOff>1</xdr:rowOff>
    </xdr:to>
    <xdr:pic>
      <xdr:nvPicPr>
        <xdr:cNvPr id="20" name="Imagen 1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972551" y="9639301"/>
          <a:ext cx="3326655"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tabSelected="1" workbookViewId="0">
      <selection sqref="A1:D1"/>
    </sheetView>
  </sheetViews>
  <sheetFormatPr baseColWidth="10" defaultRowHeight="12.75" x14ac:dyDescent="0.2"/>
  <cols>
    <col min="1" max="1" width="38.28515625" style="27" customWidth="1"/>
    <col min="2" max="2" width="35.5703125" style="27" customWidth="1"/>
    <col min="3" max="3" width="11" style="36" bestFit="1" customWidth="1"/>
    <col min="4" max="4" width="6.140625" style="27" bestFit="1" customWidth="1"/>
    <col min="5" max="5" width="11.42578125" style="27"/>
    <col min="6" max="6" width="34.5703125" style="27" bestFit="1" customWidth="1"/>
    <col min="7" max="7" width="17.28515625" style="27" customWidth="1"/>
    <col min="8" max="8" width="11.42578125" style="27"/>
    <col min="9" max="9" width="12.5703125" style="27" bestFit="1" customWidth="1"/>
    <col min="10" max="16384" width="11.42578125" style="27"/>
  </cols>
  <sheetData>
    <row r="1" spans="1:5" x14ac:dyDescent="0.2">
      <c r="A1" s="230" t="s">
        <v>345</v>
      </c>
      <c r="B1" s="230"/>
      <c r="C1" s="230"/>
      <c r="D1" s="230"/>
    </row>
    <row r="2" spans="1:5" x14ac:dyDescent="0.2">
      <c r="A2" s="146" t="s">
        <v>24</v>
      </c>
      <c r="B2" s="146" t="s">
        <v>20</v>
      </c>
      <c r="C2" s="147" t="s">
        <v>3</v>
      </c>
      <c r="D2" s="146" t="s">
        <v>139</v>
      </c>
    </row>
    <row r="3" spans="1:5" x14ac:dyDescent="0.2">
      <c r="A3" s="43" t="s">
        <v>25</v>
      </c>
      <c r="B3" s="43" t="s">
        <v>2</v>
      </c>
      <c r="C3" s="44">
        <v>600000</v>
      </c>
      <c r="D3" s="40">
        <f>(C3*100%)/C12</f>
        <v>7.6248085855344677E-2</v>
      </c>
    </row>
    <row r="4" spans="1:5" ht="25.5" x14ac:dyDescent="0.2">
      <c r="A4" s="43" t="s">
        <v>26</v>
      </c>
      <c r="B4" s="45" t="s">
        <v>21</v>
      </c>
      <c r="C4" s="44">
        <v>1500000</v>
      </c>
      <c r="D4" s="41">
        <f>(C4*100%)/C12</f>
        <v>0.19062021463836168</v>
      </c>
    </row>
    <row r="5" spans="1:5" x14ac:dyDescent="0.2">
      <c r="A5" s="45" t="s">
        <v>27</v>
      </c>
      <c r="B5" s="45" t="s">
        <v>23</v>
      </c>
      <c r="C5" s="44">
        <v>1200000</v>
      </c>
      <c r="D5" s="40">
        <f>(C5*100%)/C12</f>
        <v>0.15249617171068935</v>
      </c>
    </row>
    <row r="6" spans="1:5" x14ac:dyDescent="0.2">
      <c r="A6" s="43" t="s">
        <v>28</v>
      </c>
      <c r="B6" s="45" t="s">
        <v>31</v>
      </c>
      <c r="C6" s="44">
        <v>1500000</v>
      </c>
      <c r="D6" s="41">
        <f>(C6*100%)/C12</f>
        <v>0.19062021463836168</v>
      </c>
    </row>
    <row r="7" spans="1:5" ht="25.5" x14ac:dyDescent="0.2">
      <c r="A7" s="43" t="s">
        <v>127</v>
      </c>
      <c r="B7" s="45" t="s">
        <v>428</v>
      </c>
      <c r="C7" s="44">
        <v>35000</v>
      </c>
      <c r="D7" s="42">
        <f>(C7*100%)/C12</f>
        <v>4.4478050082284396E-3</v>
      </c>
    </row>
    <row r="8" spans="1:5" ht="25.5" x14ac:dyDescent="0.2">
      <c r="A8" s="43" t="s">
        <v>124</v>
      </c>
      <c r="B8" s="45" t="s">
        <v>126</v>
      </c>
      <c r="C8" s="44">
        <v>1274150</v>
      </c>
      <c r="D8" s="41">
        <f>(C8*100%)/C12</f>
        <v>0.16191916432097903</v>
      </c>
    </row>
    <row r="9" spans="1:5" x14ac:dyDescent="0.2">
      <c r="A9" s="43" t="s">
        <v>125</v>
      </c>
      <c r="B9" s="45" t="s">
        <v>128</v>
      </c>
      <c r="C9" s="44">
        <v>259900</v>
      </c>
      <c r="D9" s="41">
        <f>(C9*100%)/C12</f>
        <v>3.3028129189673468E-2</v>
      </c>
    </row>
    <row r="10" spans="1:5" x14ac:dyDescent="0.2">
      <c r="A10" s="43" t="s">
        <v>0</v>
      </c>
      <c r="B10" s="45" t="s">
        <v>29</v>
      </c>
      <c r="C10" s="44">
        <v>900000</v>
      </c>
      <c r="D10" s="40">
        <f>(C10*100%)/C12</f>
        <v>0.11437212878301702</v>
      </c>
    </row>
    <row r="11" spans="1:5" x14ac:dyDescent="0.2">
      <c r="A11" s="43" t="s">
        <v>1</v>
      </c>
      <c r="B11" s="43" t="s">
        <v>30</v>
      </c>
      <c r="C11" s="44">
        <v>600000</v>
      </c>
      <c r="D11" s="41">
        <f>(C11*100%)/C12</f>
        <v>7.6248085855344677E-2</v>
      </c>
    </row>
    <row r="12" spans="1:5" ht="15" customHeight="1" x14ac:dyDescent="0.2">
      <c r="A12" s="231" t="s">
        <v>429</v>
      </c>
      <c r="B12" s="231"/>
      <c r="C12" s="153">
        <f>SUM(C3:C11)</f>
        <v>7869050</v>
      </c>
      <c r="D12" s="161">
        <f>SUM(D3:D11)</f>
        <v>1</v>
      </c>
    </row>
    <row r="13" spans="1:5" x14ac:dyDescent="0.2">
      <c r="A13" s="33"/>
      <c r="B13" s="33"/>
      <c r="C13" s="34"/>
      <c r="D13" s="38"/>
    </row>
    <row r="14" spans="1:5" x14ac:dyDescent="0.2">
      <c r="A14" s="230" t="s">
        <v>33</v>
      </c>
      <c r="B14" s="230"/>
      <c r="C14" s="230"/>
    </row>
    <row r="15" spans="1:5" x14ac:dyDescent="0.2">
      <c r="A15" s="146" t="s">
        <v>20</v>
      </c>
      <c r="B15" s="147" t="s">
        <v>3</v>
      </c>
      <c r="C15" s="146" t="s">
        <v>139</v>
      </c>
    </row>
    <row r="16" spans="1:5" x14ac:dyDescent="0.2">
      <c r="A16" s="28" t="s">
        <v>430</v>
      </c>
      <c r="B16" s="47">
        <v>3450</v>
      </c>
      <c r="C16" s="46">
        <f>(B16*100%)/B24</f>
        <v>3.6390831198228769E-3</v>
      </c>
      <c r="E16" s="35"/>
    </row>
    <row r="17" spans="1:3" x14ac:dyDescent="0.2">
      <c r="A17" s="31" t="s">
        <v>34</v>
      </c>
      <c r="B17" s="47">
        <v>581000</v>
      </c>
      <c r="C17" s="46">
        <f>(B17*100%)/B24</f>
        <v>0.61284269351220044</v>
      </c>
    </row>
    <row r="18" spans="1:3" x14ac:dyDescent="0.2">
      <c r="A18" s="31" t="s">
        <v>131</v>
      </c>
      <c r="B18" s="47">
        <v>32000</v>
      </c>
      <c r="C18" s="46">
        <f>(B18*100%)/B24</f>
        <v>3.375381444473393E-2</v>
      </c>
    </row>
    <row r="19" spans="1:3" x14ac:dyDescent="0.2">
      <c r="A19" s="31" t="s">
        <v>140</v>
      </c>
      <c r="B19" s="47">
        <v>4000</v>
      </c>
      <c r="C19" s="46">
        <f>(B19*100%)/B24</f>
        <v>4.2192268055917413E-3</v>
      </c>
    </row>
    <row r="20" spans="1:3" x14ac:dyDescent="0.2">
      <c r="A20" s="28" t="s">
        <v>35</v>
      </c>
      <c r="B20" s="47">
        <v>0</v>
      </c>
      <c r="C20" s="46">
        <v>0</v>
      </c>
    </row>
    <row r="21" spans="1:3" x14ac:dyDescent="0.2">
      <c r="A21" s="28" t="s">
        <v>132</v>
      </c>
      <c r="B21" s="47">
        <v>8600</v>
      </c>
      <c r="C21" s="46">
        <f>(B21*100%)/B24</f>
        <v>9.0713376320222441E-3</v>
      </c>
    </row>
    <row r="22" spans="1:3" x14ac:dyDescent="0.2">
      <c r="A22" s="28" t="s">
        <v>36</v>
      </c>
      <c r="B22" s="47">
        <v>10300</v>
      </c>
      <c r="C22" s="46">
        <f>(B22*100%)/B24</f>
        <v>1.0864509024398734E-2</v>
      </c>
    </row>
    <row r="23" spans="1:3" x14ac:dyDescent="0.2">
      <c r="A23" s="28" t="s">
        <v>32</v>
      </c>
      <c r="B23" s="47">
        <v>308691</v>
      </c>
      <c r="C23" s="46">
        <f>(B23*100%)/B24</f>
        <v>0.32560933546123005</v>
      </c>
    </row>
    <row r="24" spans="1:3" x14ac:dyDescent="0.2">
      <c r="A24" s="162" t="s">
        <v>300</v>
      </c>
      <c r="B24" s="153">
        <f>SUM(B16:B23)</f>
        <v>948041</v>
      </c>
      <c r="C24" s="161">
        <f>SUM(C16:C23)</f>
        <v>1</v>
      </c>
    </row>
    <row r="25" spans="1:3" x14ac:dyDescent="0.2">
      <c r="A25" s="28"/>
      <c r="B25" s="28"/>
    </row>
    <row r="26" spans="1:3" x14ac:dyDescent="0.2">
      <c r="A26" s="230" t="s">
        <v>141</v>
      </c>
      <c r="B26" s="230"/>
    </row>
    <row r="27" spans="1:3" x14ac:dyDescent="0.2">
      <c r="A27" s="150" t="s">
        <v>145</v>
      </c>
      <c r="B27" s="150" t="s">
        <v>38</v>
      </c>
    </row>
    <row r="28" spans="1:3" x14ac:dyDescent="0.2">
      <c r="A28" s="27" t="s">
        <v>37</v>
      </c>
      <c r="B28" s="47">
        <f>'Detalle-CT'!D21</f>
        <v>46003039</v>
      </c>
    </row>
    <row r="29" spans="1:3" x14ac:dyDescent="0.2">
      <c r="A29" s="162" t="s">
        <v>147</v>
      </c>
      <c r="B29" s="153">
        <f>SUM(B28)</f>
        <v>46003039</v>
      </c>
    </row>
    <row r="31" spans="1:3" x14ac:dyDescent="0.2">
      <c r="A31" s="230" t="s">
        <v>142</v>
      </c>
      <c r="B31" s="230"/>
    </row>
    <row r="32" spans="1:3" x14ac:dyDescent="0.2">
      <c r="A32" s="146" t="s">
        <v>145</v>
      </c>
      <c r="B32" s="146" t="s">
        <v>38</v>
      </c>
    </row>
    <row r="33" spans="1:13" x14ac:dyDescent="0.2">
      <c r="A33" s="27" t="s">
        <v>426</v>
      </c>
      <c r="B33" s="30">
        <f>C12</f>
        <v>7869050</v>
      </c>
    </row>
    <row r="34" spans="1:13" x14ac:dyDescent="0.2">
      <c r="A34" s="27" t="s">
        <v>427</v>
      </c>
      <c r="B34" s="30">
        <f>B24</f>
        <v>948041</v>
      </c>
    </row>
    <row r="35" spans="1:13" x14ac:dyDescent="0.2">
      <c r="A35" s="32" t="s">
        <v>39</v>
      </c>
      <c r="B35" s="30">
        <f>B29</f>
        <v>46003039</v>
      </c>
      <c r="J35" s="2"/>
      <c r="K35" s="2"/>
      <c r="L35" s="2"/>
      <c r="M35" s="2"/>
    </row>
    <row r="36" spans="1:13" x14ac:dyDescent="0.2">
      <c r="A36" s="162" t="s">
        <v>148</v>
      </c>
      <c r="B36" s="153">
        <f>SUM(B33:B35)</f>
        <v>54820130</v>
      </c>
      <c r="J36" s="2"/>
      <c r="K36" s="2"/>
      <c r="L36" s="2"/>
      <c r="M36" s="2"/>
    </row>
    <row r="37" spans="1:13" x14ac:dyDescent="0.2">
      <c r="A37" s="160"/>
      <c r="B37" s="160"/>
      <c r="J37" s="2"/>
      <c r="K37" s="2"/>
      <c r="L37" s="2"/>
      <c r="M37" s="2"/>
    </row>
    <row r="38" spans="1:13" x14ac:dyDescent="0.2">
      <c r="J38" s="2"/>
      <c r="K38" s="2"/>
      <c r="L38" s="2"/>
      <c r="M38" s="2"/>
    </row>
    <row r="39" spans="1:13" x14ac:dyDescent="0.2">
      <c r="J39" s="2"/>
      <c r="K39" s="2"/>
      <c r="L39" s="2"/>
      <c r="M39" s="2"/>
    </row>
    <row r="40" spans="1:13" x14ac:dyDescent="0.2">
      <c r="J40" s="2"/>
      <c r="K40" s="2"/>
      <c r="L40" s="2"/>
      <c r="M40" s="2"/>
    </row>
    <row r="41" spans="1:13" x14ac:dyDescent="0.2">
      <c r="J41" s="2"/>
      <c r="K41" s="2"/>
      <c r="L41" s="2"/>
      <c r="M41" s="2"/>
    </row>
    <row r="42" spans="1:13" x14ac:dyDescent="0.2">
      <c r="J42" s="2"/>
      <c r="K42" s="2"/>
      <c r="L42" s="2"/>
      <c r="M42" s="2"/>
    </row>
    <row r="43" spans="1:13" x14ac:dyDescent="0.2">
      <c r="J43" s="2"/>
      <c r="K43" s="2"/>
      <c r="L43" s="2"/>
      <c r="M43" s="2"/>
    </row>
    <row r="44" spans="1:13" x14ac:dyDescent="0.2">
      <c r="J44" s="2"/>
      <c r="K44" s="2"/>
      <c r="L44" s="2"/>
      <c r="M44" s="2"/>
    </row>
    <row r="45" spans="1:13" x14ac:dyDescent="0.2">
      <c r="F45" s="106"/>
      <c r="G45" s="106"/>
      <c r="H45" s="106"/>
      <c r="I45" s="106"/>
      <c r="J45" s="106"/>
      <c r="K45" s="106"/>
      <c r="L45" s="106"/>
      <c r="M45" s="106"/>
    </row>
    <row r="46" spans="1:13" x14ac:dyDescent="0.2">
      <c r="F46" s="106"/>
      <c r="G46" s="106"/>
      <c r="H46" s="106"/>
      <c r="I46" s="106"/>
      <c r="J46" s="106"/>
      <c r="K46" s="106"/>
      <c r="L46" s="106"/>
      <c r="M46" s="106"/>
    </row>
    <row r="47" spans="1:13" x14ac:dyDescent="0.2">
      <c r="F47" s="106"/>
      <c r="G47" s="106"/>
      <c r="H47" s="106"/>
      <c r="I47" s="106"/>
      <c r="J47" s="106"/>
      <c r="K47" s="106"/>
      <c r="L47" s="106"/>
      <c r="M47" s="106"/>
    </row>
    <row r="48" spans="1:13" x14ac:dyDescent="0.2">
      <c r="F48" s="106"/>
      <c r="G48" s="106"/>
      <c r="H48" s="106"/>
      <c r="I48" s="106"/>
      <c r="J48" s="106"/>
      <c r="K48" s="106"/>
      <c r="L48" s="106"/>
      <c r="M48" s="106"/>
    </row>
    <row r="49" spans="6:13" x14ac:dyDescent="0.2">
      <c r="F49" s="106"/>
      <c r="G49" s="106"/>
      <c r="H49" s="106"/>
      <c r="I49" s="106"/>
      <c r="J49" s="106"/>
      <c r="K49" s="106"/>
      <c r="L49" s="106"/>
      <c r="M49" s="106"/>
    </row>
    <row r="50" spans="6:13" x14ac:dyDescent="0.2">
      <c r="F50" s="106"/>
      <c r="G50" s="106"/>
      <c r="H50" s="106"/>
      <c r="I50" s="106"/>
      <c r="J50" s="106"/>
      <c r="K50" s="106"/>
      <c r="L50" s="106"/>
      <c r="M50" s="106"/>
    </row>
    <row r="51" spans="6:13" x14ac:dyDescent="0.2">
      <c r="F51" s="106"/>
      <c r="G51" s="106"/>
      <c r="H51" s="106"/>
      <c r="I51" s="106"/>
      <c r="J51" s="106"/>
      <c r="K51" s="106"/>
      <c r="L51" s="106"/>
      <c r="M51" s="106"/>
    </row>
    <row r="52" spans="6:13" x14ac:dyDescent="0.2">
      <c r="F52" s="106"/>
      <c r="G52" s="106"/>
      <c r="H52" s="106"/>
      <c r="I52" s="106"/>
      <c r="J52" s="106"/>
      <c r="K52" s="106"/>
      <c r="L52" s="106"/>
      <c r="M52" s="106"/>
    </row>
    <row r="53" spans="6:13" x14ac:dyDescent="0.2">
      <c r="F53" s="106"/>
      <c r="G53" s="106"/>
      <c r="H53" s="106"/>
      <c r="I53" s="106"/>
      <c r="J53" s="106"/>
      <c r="K53" s="106"/>
      <c r="L53" s="106"/>
      <c r="M53" s="106"/>
    </row>
    <row r="54" spans="6:13" x14ac:dyDescent="0.2">
      <c r="F54" s="106"/>
      <c r="G54" s="106"/>
      <c r="H54" s="106"/>
      <c r="I54" s="106"/>
      <c r="J54" s="106"/>
      <c r="K54" s="106"/>
      <c r="L54" s="106"/>
      <c r="M54" s="106"/>
    </row>
    <row r="55" spans="6:13" x14ac:dyDescent="0.2">
      <c r="F55" s="106"/>
      <c r="G55" s="106"/>
      <c r="H55" s="106"/>
      <c r="I55" s="106"/>
      <c r="J55" s="106"/>
      <c r="K55" s="106"/>
      <c r="L55" s="106"/>
      <c r="M55" s="106"/>
    </row>
    <row r="56" spans="6:13" x14ac:dyDescent="0.2">
      <c r="F56" s="106"/>
      <c r="G56" s="106"/>
      <c r="H56" s="106"/>
      <c r="I56" s="106"/>
      <c r="J56" s="106"/>
      <c r="K56" s="106"/>
      <c r="L56" s="106"/>
      <c r="M56" s="106"/>
    </row>
    <row r="57" spans="6:13" x14ac:dyDescent="0.2">
      <c r="F57" s="106"/>
      <c r="G57" s="106"/>
      <c r="H57" s="106"/>
      <c r="I57" s="106"/>
      <c r="J57" s="106"/>
      <c r="K57" s="106"/>
      <c r="L57" s="106"/>
      <c r="M57" s="106"/>
    </row>
    <row r="58" spans="6:13" x14ac:dyDescent="0.2">
      <c r="F58" s="106"/>
      <c r="G58" s="106"/>
      <c r="H58" s="106"/>
      <c r="I58" s="106"/>
      <c r="J58" s="106"/>
      <c r="K58" s="106"/>
      <c r="L58" s="106"/>
      <c r="M58" s="106"/>
    </row>
    <row r="59" spans="6:13" x14ac:dyDescent="0.2">
      <c r="F59" s="106"/>
      <c r="G59" s="106"/>
      <c r="H59" s="106"/>
      <c r="I59" s="106"/>
      <c r="J59" s="106"/>
      <c r="K59" s="106"/>
      <c r="L59" s="106"/>
      <c r="M59" s="106"/>
    </row>
    <row r="60" spans="6:13" x14ac:dyDescent="0.2">
      <c r="F60" s="106"/>
      <c r="G60" s="106"/>
      <c r="H60" s="106"/>
      <c r="I60" s="106"/>
      <c r="J60" s="106"/>
      <c r="K60" s="106"/>
      <c r="L60" s="106"/>
      <c r="M60" s="106"/>
    </row>
    <row r="61" spans="6:13" x14ac:dyDescent="0.2">
      <c r="F61" s="106"/>
      <c r="G61" s="106"/>
      <c r="H61" s="106"/>
      <c r="I61" s="106"/>
      <c r="J61" s="106"/>
      <c r="K61" s="106"/>
      <c r="L61" s="106"/>
      <c r="M61" s="106"/>
    </row>
  </sheetData>
  <mergeCells count="5">
    <mergeCell ref="A26:B26"/>
    <mergeCell ref="A31:B31"/>
    <mergeCell ref="A14:C14"/>
    <mergeCell ref="A1:D1"/>
    <mergeCell ref="A12:B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workbookViewId="0">
      <selection sqref="A1:G1"/>
    </sheetView>
  </sheetViews>
  <sheetFormatPr baseColWidth="10" defaultRowHeight="12.75" x14ac:dyDescent="0.2"/>
  <cols>
    <col min="1" max="1" width="39.140625" style="2" bestFit="1" customWidth="1"/>
    <col min="2" max="2" width="12.85546875" style="2" bestFit="1" customWidth="1"/>
    <col min="3" max="3" width="15.140625" style="2" bestFit="1" customWidth="1"/>
    <col min="4" max="4" width="14.140625" style="2" bestFit="1" customWidth="1"/>
    <col min="5" max="7" width="12" style="2" bestFit="1" customWidth="1"/>
    <col min="8" max="8" width="20.7109375" style="2" customWidth="1"/>
    <col min="9" max="9" width="21.5703125" style="2" customWidth="1"/>
    <col min="10" max="10" width="12.85546875" style="2" bestFit="1" customWidth="1"/>
    <col min="11" max="11" width="11.28515625" style="2" bestFit="1" customWidth="1"/>
    <col min="12" max="12" width="11.42578125" style="2"/>
    <col min="13" max="13" width="12.140625" style="2" bestFit="1" customWidth="1"/>
    <col min="14" max="16384" width="11.42578125" style="2"/>
  </cols>
  <sheetData>
    <row r="1" spans="1:14" x14ac:dyDescent="0.2">
      <c r="A1" s="233" t="s">
        <v>274</v>
      </c>
      <c r="B1" s="233"/>
      <c r="C1" s="233"/>
      <c r="D1" s="233"/>
      <c r="E1" s="233"/>
      <c r="F1" s="233"/>
      <c r="G1" s="233"/>
    </row>
    <row r="2" spans="1:14" x14ac:dyDescent="0.2">
      <c r="A2" s="105" t="s">
        <v>60</v>
      </c>
      <c r="B2" s="105" t="s">
        <v>252</v>
      </c>
      <c r="C2" s="105" t="s">
        <v>61</v>
      </c>
      <c r="D2" s="105" t="s">
        <v>62</v>
      </c>
      <c r="E2" s="105" t="s">
        <v>63</v>
      </c>
      <c r="F2" s="105" t="s">
        <v>64</v>
      </c>
      <c r="G2" s="105" t="s">
        <v>65</v>
      </c>
    </row>
    <row r="3" spans="1:14" x14ac:dyDescent="0.2">
      <c r="A3" s="2" t="s">
        <v>248</v>
      </c>
      <c r="B3" s="72">
        <v>0</v>
      </c>
      <c r="C3" s="17">
        <v>210000000</v>
      </c>
      <c r="D3" s="17">
        <v>228060000</v>
      </c>
      <c r="E3" s="17">
        <v>247401000</v>
      </c>
      <c r="F3" s="17">
        <v>267411375</v>
      </c>
      <c r="G3" s="17">
        <v>289533588.75</v>
      </c>
    </row>
    <row r="4" spans="1:14" x14ac:dyDescent="0.2">
      <c r="A4" s="69" t="s">
        <v>346</v>
      </c>
      <c r="B4" s="131">
        <v>0</v>
      </c>
      <c r="C4" s="17">
        <v>130114800</v>
      </c>
      <c r="D4" s="17">
        <v>140732167.68000001</v>
      </c>
      <c r="E4" s="17">
        <v>152215912.56268799</v>
      </c>
      <c r="F4" s="17">
        <v>164636731.02780333</v>
      </c>
      <c r="G4" s="17">
        <v>175041772.4287605</v>
      </c>
    </row>
    <row r="5" spans="1:14" x14ac:dyDescent="0.2">
      <c r="A5" s="219" t="s">
        <v>215</v>
      </c>
      <c r="B5" s="220">
        <v>0</v>
      </c>
      <c r="C5" s="190">
        <v>79885200</v>
      </c>
      <c r="D5" s="190">
        <v>76467832.319999993</v>
      </c>
      <c r="E5" s="190">
        <v>72184087.437312007</v>
      </c>
      <c r="F5" s="190">
        <v>135663268.97219667</v>
      </c>
      <c r="G5" s="190">
        <v>134618227.5712395</v>
      </c>
    </row>
    <row r="6" spans="1:14" x14ac:dyDescent="0.2">
      <c r="A6" s="64" t="s">
        <v>110</v>
      </c>
      <c r="B6" s="131">
        <v>0</v>
      </c>
      <c r="C6" s="17">
        <v>38252997.5</v>
      </c>
      <c r="D6" s="17">
        <v>41374442.096000001</v>
      </c>
      <c r="E6" s="17">
        <v>44750596.571033604</v>
      </c>
      <c r="F6" s="17">
        <v>48402245.251229949</v>
      </c>
      <c r="G6" s="17">
        <v>51461267.151107684</v>
      </c>
    </row>
    <row r="7" spans="1:14" x14ac:dyDescent="0.2">
      <c r="A7" s="64" t="s">
        <v>247</v>
      </c>
      <c r="B7" s="131">
        <v>0</v>
      </c>
      <c r="C7" s="17">
        <v>14432000</v>
      </c>
      <c r="D7" s="17">
        <v>15609651.199999999</v>
      </c>
      <c r="E7" s="17">
        <v>16883398.737920001</v>
      </c>
      <c r="F7" s="17">
        <v>18261084.074934274</v>
      </c>
      <c r="G7" s="17">
        <v>19415184.58847012</v>
      </c>
    </row>
    <row r="8" spans="1:14" x14ac:dyDescent="0.2">
      <c r="A8" s="2" t="s">
        <v>217</v>
      </c>
      <c r="B8" s="72">
        <v>0</v>
      </c>
      <c r="C8" s="17">
        <v>52684997.5</v>
      </c>
      <c r="D8" s="17">
        <v>56984093.296000004</v>
      </c>
      <c r="E8" s="17">
        <v>61633995.308953606</v>
      </c>
      <c r="F8" s="17">
        <v>66663329.326164216</v>
      </c>
      <c r="G8" s="17">
        <v>70876451.7395778</v>
      </c>
    </row>
    <row r="9" spans="1:14" x14ac:dyDescent="0.2">
      <c r="A9" s="219" t="s">
        <v>218</v>
      </c>
      <c r="B9" s="220">
        <v>0</v>
      </c>
      <c r="C9" s="190">
        <v>27200202.5</v>
      </c>
      <c r="D9" s="190">
        <v>19483739.023999989</v>
      </c>
      <c r="E9" s="190">
        <v>10550092.128358401</v>
      </c>
      <c r="F9" s="190">
        <v>68999939.646032453</v>
      </c>
      <c r="G9" s="190">
        <v>63741775.831661701</v>
      </c>
    </row>
    <row r="10" spans="1:14" x14ac:dyDescent="0.2">
      <c r="A10" s="64" t="s">
        <v>249</v>
      </c>
      <c r="B10" s="132">
        <v>0</v>
      </c>
      <c r="C10" s="17">
        <v>948041</v>
      </c>
      <c r="D10" s="17">
        <v>1025401.1456</v>
      </c>
      <c r="E10" s="17">
        <v>1109073.8790809601</v>
      </c>
      <c r="F10" s="17">
        <v>1199574.3076139665</v>
      </c>
      <c r="G10" s="17">
        <v>1275387.4038551692</v>
      </c>
    </row>
    <row r="11" spans="1:14" x14ac:dyDescent="0.2">
      <c r="A11" s="2" t="s">
        <v>219</v>
      </c>
      <c r="B11" s="72">
        <v>0</v>
      </c>
      <c r="C11" s="17">
        <v>240000</v>
      </c>
      <c r="D11" s="17">
        <v>259584</v>
      </c>
      <c r="E11" s="17">
        <v>280766.05440000002</v>
      </c>
      <c r="F11" s="17">
        <v>303676.56443904003</v>
      </c>
      <c r="G11" s="17">
        <v>328456.57209726569</v>
      </c>
    </row>
    <row r="12" spans="1:14" x14ac:dyDescent="0.2">
      <c r="A12" s="2" t="s">
        <v>115</v>
      </c>
      <c r="B12" s="72">
        <v>0</v>
      </c>
      <c r="C12" s="17">
        <v>3573899.1451315759</v>
      </c>
      <c r="D12" s="17">
        <v>2691315.0027710148</v>
      </c>
      <c r="E12" s="17">
        <v>1713407.9755399458</v>
      </c>
      <c r="F12" s="17">
        <v>629882.78172649175</v>
      </c>
      <c r="G12" s="17">
        <v>0</v>
      </c>
    </row>
    <row r="13" spans="1:14" x14ac:dyDescent="0.2">
      <c r="A13" s="2" t="s">
        <v>352</v>
      </c>
      <c r="B13" s="72">
        <v>0</v>
      </c>
      <c r="C13" s="17">
        <v>452997.5</v>
      </c>
      <c r="D13" s="17">
        <v>905995</v>
      </c>
      <c r="E13" s="17">
        <v>1358992.5</v>
      </c>
      <c r="F13" s="17">
        <v>911456.66666666663</v>
      </c>
      <c r="G13" s="17">
        <v>1139320.8333333335</v>
      </c>
    </row>
    <row r="14" spans="1:14" x14ac:dyDescent="0.2">
      <c r="A14" s="2" t="s">
        <v>220</v>
      </c>
      <c r="B14" s="72">
        <v>0</v>
      </c>
      <c r="C14" s="17">
        <v>9520070.875</v>
      </c>
      <c r="D14" s="17">
        <v>10296908.658399999</v>
      </c>
      <c r="E14" s="17">
        <v>11137136.40492544</v>
      </c>
      <c r="F14" s="17">
        <v>12045926.735567356</v>
      </c>
      <c r="G14" s="17">
        <v>12807229.305255212</v>
      </c>
      <c r="H14" s="17"/>
      <c r="I14" s="17"/>
      <c r="J14" s="17"/>
      <c r="K14" s="17"/>
      <c r="L14" s="17"/>
    </row>
    <row r="15" spans="1:14" x14ac:dyDescent="0.2">
      <c r="A15" s="2" t="s">
        <v>221</v>
      </c>
      <c r="B15" s="72">
        <v>0</v>
      </c>
      <c r="C15" s="17">
        <v>9520070.875</v>
      </c>
      <c r="D15" s="17">
        <v>10296908.658399999</v>
      </c>
      <c r="E15" s="17">
        <v>11137136.40492544</v>
      </c>
      <c r="F15" s="17">
        <v>12045926.735567356</v>
      </c>
      <c r="G15" s="17">
        <v>12807229.305255212</v>
      </c>
      <c r="H15" s="17"/>
      <c r="I15" s="17"/>
      <c r="J15" s="17"/>
      <c r="K15" s="17"/>
      <c r="L15" s="17"/>
      <c r="M15" s="17"/>
      <c r="N15" s="17"/>
    </row>
    <row r="16" spans="1:14" x14ac:dyDescent="0.2">
      <c r="A16" s="69" t="s">
        <v>222</v>
      </c>
      <c r="B16" s="17">
        <v>0</v>
      </c>
      <c r="C16" s="17">
        <v>0</v>
      </c>
      <c r="D16" s="17">
        <v>0</v>
      </c>
      <c r="E16" s="17">
        <v>0</v>
      </c>
      <c r="F16" s="17">
        <v>0</v>
      </c>
      <c r="G16" s="17">
        <v>0</v>
      </c>
      <c r="H16" s="17"/>
      <c r="I16" s="17"/>
      <c r="J16" s="17"/>
      <c r="K16" s="17"/>
      <c r="L16" s="17"/>
      <c r="M16" s="17"/>
      <c r="N16" s="17"/>
    </row>
    <row r="17" spans="1:14" x14ac:dyDescent="0.2">
      <c r="A17" s="117" t="s">
        <v>223</v>
      </c>
      <c r="B17" s="145">
        <v>0</v>
      </c>
      <c r="C17" s="152">
        <f>PyG!B17</f>
        <v>22465264.854868423</v>
      </c>
      <c r="D17" s="152">
        <f>PyG!C17</f>
        <v>25980611.875628974</v>
      </c>
      <c r="E17" s="152">
        <f>PyG!D17</f>
        <v>29650383.828137495</v>
      </c>
      <c r="F17" s="152">
        <f>PyG!E17</f>
        <v>33674077.454464369</v>
      </c>
      <c r="G17" s="152">
        <f>PyG!F17</f>
        <v>41529112.916570462</v>
      </c>
      <c r="H17" s="17"/>
      <c r="I17" s="17"/>
      <c r="J17" s="17"/>
      <c r="K17" s="17"/>
      <c r="L17" s="17"/>
      <c r="M17" s="17"/>
      <c r="N17" s="17"/>
    </row>
    <row r="18" spans="1:14" x14ac:dyDescent="0.2">
      <c r="A18" s="69" t="s">
        <v>331</v>
      </c>
      <c r="B18" s="128">
        <f>Depreciaciones!D21</f>
        <v>2655150</v>
      </c>
      <c r="C18" s="17">
        <v>0</v>
      </c>
      <c r="D18" s="17">
        <v>0</v>
      </c>
      <c r="E18" s="17">
        <v>0</v>
      </c>
      <c r="F18" s="17">
        <v>0</v>
      </c>
      <c r="G18" s="17">
        <v>0</v>
      </c>
      <c r="H18" s="17"/>
      <c r="I18" s="17"/>
      <c r="J18" s="17"/>
      <c r="K18" s="17"/>
      <c r="L18" s="17"/>
      <c r="N18" s="84"/>
    </row>
    <row r="19" spans="1:14" x14ac:dyDescent="0.2">
      <c r="A19" s="69" t="s">
        <v>332</v>
      </c>
      <c r="B19" s="128">
        <f>Inversiones!B29</f>
        <v>46003039</v>
      </c>
      <c r="C19" s="17">
        <v>0</v>
      </c>
      <c r="D19" s="17">
        <v>0</v>
      </c>
      <c r="E19" s="17">
        <v>0</v>
      </c>
      <c r="F19" s="17">
        <v>0</v>
      </c>
      <c r="G19" s="17">
        <v>0</v>
      </c>
      <c r="H19" s="17"/>
      <c r="I19" s="17"/>
      <c r="J19" s="17"/>
      <c r="K19" s="17"/>
      <c r="L19" s="17"/>
    </row>
    <row r="20" spans="1:14" x14ac:dyDescent="0.2">
      <c r="A20" s="129" t="s">
        <v>271</v>
      </c>
      <c r="B20" s="152">
        <f>SUM(B18:B19)</f>
        <v>48658189</v>
      </c>
      <c r="C20" s="152">
        <f t="shared" ref="C20:G20" si="0">SUM(C18:C19)</f>
        <v>0</v>
      </c>
      <c r="D20" s="152">
        <f t="shared" si="0"/>
        <v>0</v>
      </c>
      <c r="E20" s="152">
        <f t="shared" si="0"/>
        <v>0</v>
      </c>
      <c r="F20" s="152">
        <f t="shared" si="0"/>
        <v>0</v>
      </c>
      <c r="G20" s="152">
        <f t="shared" si="0"/>
        <v>0</v>
      </c>
      <c r="H20" s="17"/>
      <c r="I20" s="17"/>
      <c r="J20" s="17"/>
      <c r="K20" s="17"/>
      <c r="L20" s="94"/>
    </row>
    <row r="21" spans="1:14" x14ac:dyDescent="0.2">
      <c r="A21" s="126" t="s">
        <v>398</v>
      </c>
      <c r="B21" s="83">
        <f t="shared" ref="B21:G21" si="1">B17-B20</f>
        <v>-48658189</v>
      </c>
      <c r="C21" s="83">
        <f t="shared" si="1"/>
        <v>22465264.854868423</v>
      </c>
      <c r="D21" s="83">
        <f t="shared" si="1"/>
        <v>25980611.875628974</v>
      </c>
      <c r="E21" s="83">
        <f t="shared" si="1"/>
        <v>29650383.828137495</v>
      </c>
      <c r="F21" s="83">
        <f t="shared" si="1"/>
        <v>33674077.454464369</v>
      </c>
      <c r="G21" s="83">
        <f t="shared" si="1"/>
        <v>41529112.916570462</v>
      </c>
      <c r="H21" s="17"/>
      <c r="I21" s="94"/>
      <c r="J21" s="94"/>
      <c r="K21" s="94"/>
      <c r="L21" s="17"/>
      <c r="M21" s="94"/>
    </row>
    <row r="22" spans="1:14" x14ac:dyDescent="0.2">
      <c r="A22" s="69" t="s">
        <v>333</v>
      </c>
      <c r="B22" s="128">
        <f>'Aportes y Financiación'!B21</f>
        <v>38374091</v>
      </c>
      <c r="C22" s="72">
        <v>0</v>
      </c>
      <c r="D22" s="72">
        <v>0</v>
      </c>
      <c r="E22" s="72">
        <v>0</v>
      </c>
      <c r="F22" s="72">
        <v>0</v>
      </c>
      <c r="G22" s="72">
        <v>0</v>
      </c>
      <c r="H22" s="17"/>
      <c r="I22" s="94"/>
      <c r="J22" s="94"/>
      <c r="K22" s="94"/>
      <c r="L22" s="94"/>
      <c r="M22" s="94"/>
    </row>
    <row r="23" spans="1:14" x14ac:dyDescent="0.2">
      <c r="A23" s="69" t="s">
        <v>254</v>
      </c>
      <c r="B23" s="128">
        <v>0</v>
      </c>
      <c r="C23" s="14">
        <f>'Amortizacion Credito'!B14</f>
        <v>8171749.8311606795</v>
      </c>
      <c r="D23" s="14">
        <f>'Amortizacion Credito'!B15</f>
        <v>9054333.9735212419</v>
      </c>
      <c r="E23" s="19">
        <f>'Amortizacion Credito'!B16</f>
        <v>10032241.000752309</v>
      </c>
      <c r="F23" s="14">
        <f>'Amortizacion Credito'!B17</f>
        <v>11115766.194565764</v>
      </c>
      <c r="G23" s="107">
        <v>0</v>
      </c>
      <c r="H23" s="17"/>
      <c r="I23" s="94"/>
      <c r="J23" s="94"/>
      <c r="K23" s="94"/>
      <c r="L23" s="94"/>
      <c r="M23" s="94"/>
    </row>
    <row r="24" spans="1:14" s="138" customFormat="1" x14ac:dyDescent="0.2">
      <c r="A24" s="167" t="s">
        <v>272</v>
      </c>
      <c r="B24" s="129">
        <f>B22-B23</f>
        <v>38374091</v>
      </c>
      <c r="C24" s="129">
        <f t="shared" ref="C24:G24" si="2">C22-C23</f>
        <v>-8171749.8311606795</v>
      </c>
      <c r="D24" s="129">
        <f t="shared" si="2"/>
        <v>-9054333.9735212419</v>
      </c>
      <c r="E24" s="129">
        <f t="shared" si="2"/>
        <v>-10032241.000752309</v>
      </c>
      <c r="F24" s="129">
        <f t="shared" si="2"/>
        <v>-11115766.194565764</v>
      </c>
      <c r="G24" s="129">
        <f t="shared" si="2"/>
        <v>0</v>
      </c>
      <c r="H24" s="130"/>
      <c r="I24" s="94"/>
      <c r="J24" s="94"/>
      <c r="K24" s="94"/>
      <c r="L24" s="130"/>
      <c r="M24" s="222"/>
    </row>
    <row r="25" spans="1:14" x14ac:dyDescent="0.2">
      <c r="A25" s="126" t="s">
        <v>399</v>
      </c>
      <c r="B25" s="83">
        <f>(B21)+(B24)</f>
        <v>-10284098</v>
      </c>
      <c r="C25" s="83">
        <f>C21+C24</f>
        <v>14293515.023707744</v>
      </c>
      <c r="D25" s="83">
        <f>D21+D24</f>
        <v>16926277.902107731</v>
      </c>
      <c r="E25" s="83">
        <f>E21+E24</f>
        <v>19618142.827385187</v>
      </c>
      <c r="F25" s="83">
        <f>F21+F24</f>
        <v>22558311.259898603</v>
      </c>
      <c r="G25" s="83">
        <f>G21+G24</f>
        <v>41529112.916570462</v>
      </c>
      <c r="I25" s="94"/>
      <c r="J25" s="94"/>
      <c r="K25" s="94"/>
      <c r="L25" s="16"/>
    </row>
    <row r="26" spans="1:14" x14ac:dyDescent="0.2">
      <c r="M26" s="218"/>
    </row>
    <row r="28" spans="1:14" x14ac:dyDescent="0.2">
      <c r="A28" s="235" t="s">
        <v>396</v>
      </c>
      <c r="B28" s="249" t="s">
        <v>273</v>
      </c>
      <c r="C28" s="249" t="s">
        <v>61</v>
      </c>
      <c r="D28" s="249" t="s">
        <v>62</v>
      </c>
      <c r="E28" s="249" t="s">
        <v>63</v>
      </c>
      <c r="F28" s="249" t="s">
        <v>64</v>
      </c>
      <c r="G28" s="249" t="s">
        <v>65</v>
      </c>
      <c r="M28" s="217"/>
    </row>
    <row r="29" spans="1:14" x14ac:dyDescent="0.2">
      <c r="A29" s="235"/>
      <c r="B29" s="249"/>
      <c r="C29" s="249"/>
      <c r="D29" s="249"/>
      <c r="E29" s="249"/>
      <c r="F29" s="249"/>
      <c r="G29" s="249"/>
    </row>
    <row r="30" spans="1:14" ht="15" customHeight="1" x14ac:dyDescent="0.2">
      <c r="A30" s="250">
        <f>IRR(B30:G30)</f>
        <v>0.27614754374908235</v>
      </c>
      <c r="B30" s="246">
        <v>-51809269</v>
      </c>
      <c r="C30" s="247">
        <f>C25</f>
        <v>14293515.023707744</v>
      </c>
      <c r="D30" s="247">
        <f>D25</f>
        <v>16926277.902107731</v>
      </c>
      <c r="E30" s="247">
        <f>E25</f>
        <v>19618142.827385187</v>
      </c>
      <c r="F30" s="247">
        <f>F25</f>
        <v>22558311.259898603</v>
      </c>
      <c r="G30" s="247">
        <f>G25</f>
        <v>41529112.916570462</v>
      </c>
    </row>
    <row r="31" spans="1:14" x14ac:dyDescent="0.2">
      <c r="A31" s="250"/>
      <c r="B31" s="246"/>
      <c r="C31" s="247"/>
      <c r="D31" s="247"/>
      <c r="E31" s="247"/>
      <c r="F31" s="247"/>
      <c r="G31" s="247"/>
    </row>
    <row r="32" spans="1:14" x14ac:dyDescent="0.2">
      <c r="C32" s="248"/>
      <c r="D32" s="248"/>
      <c r="E32" s="69"/>
      <c r="F32" s="221"/>
      <c r="G32" s="248"/>
      <c r="H32" s="205" t="s">
        <v>159</v>
      </c>
      <c r="I32" s="205" t="s">
        <v>394</v>
      </c>
      <c r="J32" s="205" t="s">
        <v>397</v>
      </c>
      <c r="K32" s="205" t="s">
        <v>395</v>
      </c>
    </row>
    <row r="33" spans="1:11" x14ac:dyDescent="0.2">
      <c r="A33" s="204" t="s">
        <v>268</v>
      </c>
      <c r="B33" s="203" t="s">
        <v>139</v>
      </c>
      <c r="C33" s="248"/>
      <c r="D33" s="248"/>
      <c r="E33" s="203" t="s">
        <v>267</v>
      </c>
      <c r="F33" s="116">
        <f>A30</f>
        <v>0.27614754374908235</v>
      </c>
      <c r="G33" s="248"/>
      <c r="H33" s="2" t="s">
        <v>333</v>
      </c>
      <c r="I33" s="110">
        <v>0.7</v>
      </c>
      <c r="J33" s="172">
        <f>'Amortizacion Credito'!B4</f>
        <v>0.10299999999999999</v>
      </c>
      <c r="K33" s="2">
        <f>+I33*J33</f>
        <v>7.2099999999999997E-2</v>
      </c>
    </row>
    <row r="34" spans="1:11" x14ac:dyDescent="0.2">
      <c r="A34" s="135" t="s">
        <v>278</v>
      </c>
      <c r="B34" s="170">
        <v>4.4600000000000001E-2</v>
      </c>
      <c r="E34" s="95" t="s">
        <v>266</v>
      </c>
      <c r="F34" s="140">
        <f>H38</f>
        <v>23492034.15092583</v>
      </c>
      <c r="H34" s="2" t="s">
        <v>12</v>
      </c>
      <c r="I34" s="110">
        <v>0.3</v>
      </c>
      <c r="J34" s="110">
        <v>0.2</v>
      </c>
      <c r="K34" s="2">
        <f>+I34*J34</f>
        <v>0.06</v>
      </c>
    </row>
    <row r="35" spans="1:11" ht="15" customHeight="1" x14ac:dyDescent="0.2">
      <c r="A35" s="135" t="s">
        <v>279</v>
      </c>
      <c r="B35" s="170">
        <v>3.1600000000000003E-2</v>
      </c>
      <c r="E35" s="95" t="s">
        <v>268</v>
      </c>
      <c r="F35" s="115">
        <f>K35</f>
        <v>0.1321</v>
      </c>
      <c r="H35" s="235" t="s">
        <v>268</v>
      </c>
      <c r="I35" s="235"/>
      <c r="J35" s="235"/>
      <c r="K35" s="223">
        <f>+K34+K33</f>
        <v>0.1321</v>
      </c>
    </row>
    <row r="36" spans="1:11" x14ac:dyDescent="0.2">
      <c r="A36" s="135" t="s">
        <v>276</v>
      </c>
      <c r="B36" s="170">
        <v>0.1234</v>
      </c>
      <c r="E36" s="95" t="s">
        <v>275</v>
      </c>
      <c r="F36" s="141" t="s">
        <v>295</v>
      </c>
    </row>
    <row r="37" spans="1:11" x14ac:dyDescent="0.2">
      <c r="A37" s="136" t="s">
        <v>277</v>
      </c>
      <c r="B37" s="171">
        <f>B34-B35+B36</f>
        <v>0.13639999999999999</v>
      </c>
      <c r="G37" s="56"/>
      <c r="H37" s="204" t="s">
        <v>280</v>
      </c>
      <c r="I37" s="56"/>
      <c r="J37" s="56"/>
      <c r="K37" s="56"/>
    </row>
    <row r="38" spans="1:11" x14ac:dyDescent="0.2">
      <c r="G38" s="56"/>
      <c r="H38" s="139">
        <f>NPV(12%,B30:G30)</f>
        <v>23492034.15092583</v>
      </c>
      <c r="I38" s="56"/>
      <c r="J38" s="56"/>
      <c r="K38" s="56"/>
    </row>
    <row r="39" spans="1:11" x14ac:dyDescent="0.2">
      <c r="A39" s="245" t="s">
        <v>275</v>
      </c>
      <c r="B39" s="245"/>
      <c r="C39" s="245"/>
      <c r="D39" s="245"/>
      <c r="G39" s="56"/>
      <c r="H39" s="142"/>
      <c r="I39" s="142"/>
      <c r="J39" s="142"/>
      <c r="K39" s="56"/>
    </row>
    <row r="40" spans="1:11" ht="25.5" x14ac:dyDescent="0.2">
      <c r="A40" s="137" t="s">
        <v>294</v>
      </c>
      <c r="B40" s="134" t="s">
        <v>296</v>
      </c>
      <c r="C40" s="99" t="s">
        <v>292</v>
      </c>
      <c r="D40" s="99" t="s">
        <v>293</v>
      </c>
      <c r="G40" s="56"/>
      <c r="H40" s="143"/>
      <c r="I40" s="142"/>
      <c r="J40" s="142"/>
      <c r="K40" s="56"/>
    </row>
    <row r="41" spans="1:11" x14ac:dyDescent="0.2">
      <c r="A41" s="7">
        <v>0</v>
      </c>
      <c r="B41" s="9">
        <f>B22</f>
        <v>38374091</v>
      </c>
      <c r="C41" s="9">
        <f>B25</f>
        <v>-10284098</v>
      </c>
      <c r="D41" s="9">
        <f>B41+C41</f>
        <v>28089993</v>
      </c>
      <c r="G41" s="56"/>
      <c r="H41" s="143"/>
      <c r="I41" s="142"/>
      <c r="J41" s="142"/>
      <c r="K41" s="56"/>
    </row>
    <row r="42" spans="1:11" x14ac:dyDescent="0.2">
      <c r="A42" s="7">
        <v>1</v>
      </c>
      <c r="B42" s="7"/>
      <c r="C42" s="9">
        <f>C25</f>
        <v>14293515.023707744</v>
      </c>
      <c r="D42" s="9">
        <f>C42+D41</f>
        <v>42383508.023707747</v>
      </c>
      <c r="G42" s="56"/>
      <c r="H42" s="143"/>
      <c r="I42" s="142"/>
      <c r="J42" s="142"/>
      <c r="K42" s="56"/>
    </row>
    <row r="43" spans="1:11" x14ac:dyDescent="0.2">
      <c r="A43" s="7">
        <v>2</v>
      </c>
      <c r="B43" s="7"/>
      <c r="C43" s="9">
        <f>D25</f>
        <v>16926277.902107731</v>
      </c>
      <c r="D43" s="9">
        <f>C43+D42</f>
        <v>59309785.925815478</v>
      </c>
      <c r="G43" s="56"/>
      <c r="H43" s="143"/>
      <c r="I43" s="143"/>
      <c r="J43" s="143"/>
      <c r="K43" s="56"/>
    </row>
    <row r="44" spans="1:11" x14ac:dyDescent="0.2">
      <c r="A44" s="7">
        <v>3</v>
      </c>
      <c r="B44" s="7"/>
      <c r="C44" s="9">
        <f>E25</f>
        <v>19618142.827385187</v>
      </c>
      <c r="D44" s="9">
        <f>C44+D43</f>
        <v>78927928.753200665</v>
      </c>
      <c r="G44" s="56"/>
      <c r="H44" s="143"/>
      <c r="I44" s="143"/>
      <c r="J44" s="143"/>
      <c r="K44" s="56"/>
    </row>
    <row r="45" spans="1:11" x14ac:dyDescent="0.2">
      <c r="A45" s="7">
        <v>4</v>
      </c>
      <c r="B45" s="7"/>
      <c r="C45" s="9">
        <f>F25</f>
        <v>22558311.259898603</v>
      </c>
      <c r="D45" s="9">
        <f>C45+D44</f>
        <v>101486240.01309927</v>
      </c>
      <c r="G45" s="56"/>
      <c r="H45" s="143"/>
      <c r="I45" s="143"/>
      <c r="J45" s="143"/>
      <c r="K45" s="56"/>
    </row>
    <row r="46" spans="1:11" x14ac:dyDescent="0.2">
      <c r="A46" s="7">
        <v>5</v>
      </c>
      <c r="B46" s="7"/>
      <c r="C46" s="9">
        <f>G25</f>
        <v>41529112.916570462</v>
      </c>
      <c r="D46" s="9">
        <f>C46+D45</f>
        <v>143015352.92966974</v>
      </c>
      <c r="G46" s="56"/>
      <c r="H46" s="56"/>
      <c r="I46" s="144"/>
      <c r="J46" s="56"/>
      <c r="K46" s="56"/>
    </row>
    <row r="47" spans="1:11" x14ac:dyDescent="0.2">
      <c r="G47" s="56"/>
      <c r="H47" s="56"/>
      <c r="I47" s="144"/>
      <c r="J47" s="56"/>
      <c r="K47" s="56"/>
    </row>
    <row r="48" spans="1:11" x14ac:dyDescent="0.2">
      <c r="G48" s="56"/>
      <c r="H48" s="56"/>
      <c r="I48" s="56"/>
      <c r="J48" s="56"/>
      <c r="K48" s="56"/>
    </row>
    <row r="49" spans="7:11" x14ac:dyDescent="0.2">
      <c r="G49" s="56"/>
      <c r="H49" s="56"/>
      <c r="I49" s="56"/>
      <c r="J49" s="56"/>
      <c r="K49" s="56"/>
    </row>
    <row r="50" spans="7:11" x14ac:dyDescent="0.2">
      <c r="G50" s="56"/>
      <c r="H50" s="56"/>
      <c r="I50" s="56"/>
      <c r="J50" s="56"/>
      <c r="K50" s="56"/>
    </row>
  </sheetData>
  <mergeCells count="20">
    <mergeCell ref="H35:J35"/>
    <mergeCell ref="D32:D33"/>
    <mergeCell ref="G32:G33"/>
    <mergeCell ref="F30:F31"/>
    <mergeCell ref="G30:G31"/>
    <mergeCell ref="A1:G1"/>
    <mergeCell ref="B28:B29"/>
    <mergeCell ref="C28:C29"/>
    <mergeCell ref="D28:D29"/>
    <mergeCell ref="E28:E29"/>
    <mergeCell ref="F28:F29"/>
    <mergeCell ref="G28:G29"/>
    <mergeCell ref="A28:A29"/>
    <mergeCell ref="A39:D39"/>
    <mergeCell ref="B30:B31"/>
    <mergeCell ref="C30:C31"/>
    <mergeCell ref="D30:D31"/>
    <mergeCell ref="E30:E31"/>
    <mergeCell ref="C32:C33"/>
    <mergeCell ref="A30:A31"/>
  </mergeCells>
  <pageMargins left="0.7" right="0.7" top="0.75" bottom="0.75" header="0.3" footer="0.3"/>
  <pageSetup orientation="portrait" r:id="rId1"/>
  <ignoredErrors>
    <ignoredError sqref="C20:G2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0"/>
  <sheetViews>
    <sheetView showGridLines="0" workbookViewId="0"/>
  </sheetViews>
  <sheetFormatPr baseColWidth="10" defaultRowHeight="12.75" x14ac:dyDescent="0.2"/>
  <cols>
    <col min="1" max="1" width="14.28515625" style="2" customWidth="1"/>
    <col min="2" max="2" width="18" style="2" customWidth="1"/>
    <col min="3" max="3" width="3.7109375" style="2" customWidth="1"/>
    <col min="4" max="4" width="10.5703125" style="2" customWidth="1"/>
    <col min="5" max="5" width="3.140625" style="2" customWidth="1"/>
    <col min="6" max="6" width="12.5703125" style="2" customWidth="1"/>
    <col min="7" max="7" width="9.140625" style="2" customWidth="1"/>
    <col min="8" max="8" width="10.28515625" style="2" customWidth="1"/>
    <col min="9" max="9" width="13.7109375" style="2" customWidth="1"/>
    <col min="10" max="10" width="8.28515625" style="2" customWidth="1"/>
    <col min="11" max="16384" width="11.42578125" style="2"/>
  </cols>
  <sheetData>
    <row r="2" spans="1:10" ht="21" customHeight="1" x14ac:dyDescent="0.2">
      <c r="A2" s="251" t="s">
        <v>281</v>
      </c>
      <c r="B2" s="224" t="s">
        <v>286</v>
      </c>
      <c r="C2" s="252" t="s">
        <v>265</v>
      </c>
      <c r="D2" s="225">
        <f>'Balance General'!G4</f>
        <v>38374091</v>
      </c>
      <c r="E2" s="252" t="s">
        <v>265</v>
      </c>
      <c r="F2" s="253">
        <f>D2/D3</f>
        <v>0.69912470610560662</v>
      </c>
      <c r="G2" s="256" t="s">
        <v>410</v>
      </c>
      <c r="H2" s="256"/>
      <c r="I2" s="256"/>
      <c r="J2" s="256"/>
    </row>
    <row r="3" spans="1:10" ht="27.75" customHeight="1" x14ac:dyDescent="0.2">
      <c r="A3" s="251"/>
      <c r="B3" s="7" t="s">
        <v>287</v>
      </c>
      <c r="C3" s="252"/>
      <c r="D3" s="2">
        <f>'Balance General'!C13</f>
        <v>54888764</v>
      </c>
      <c r="E3" s="252"/>
      <c r="F3" s="253"/>
      <c r="G3" s="256"/>
      <c r="H3" s="256"/>
      <c r="I3" s="256"/>
      <c r="J3" s="256"/>
    </row>
    <row r="4" spans="1:10" x14ac:dyDescent="0.2">
      <c r="B4" s="7"/>
      <c r="C4" s="226"/>
      <c r="E4" s="226"/>
    </row>
    <row r="5" spans="1:10" ht="15" customHeight="1" x14ac:dyDescent="0.2">
      <c r="A5" s="251" t="s">
        <v>411</v>
      </c>
      <c r="B5" s="224" t="s">
        <v>286</v>
      </c>
      <c r="C5" s="252" t="s">
        <v>265</v>
      </c>
      <c r="D5" s="225">
        <f>'Balance General'!G2</f>
        <v>38374091</v>
      </c>
      <c r="E5" s="252" t="s">
        <v>265</v>
      </c>
      <c r="F5" s="254">
        <f>D5/D6</f>
        <v>2.3236361386023203</v>
      </c>
      <c r="G5" s="256" t="s">
        <v>421</v>
      </c>
      <c r="H5" s="256"/>
      <c r="I5" s="256"/>
      <c r="J5" s="256"/>
    </row>
    <row r="6" spans="1:10" x14ac:dyDescent="0.2">
      <c r="A6" s="251"/>
      <c r="B6" s="7" t="s">
        <v>412</v>
      </c>
      <c r="C6" s="252"/>
      <c r="D6" s="2">
        <f>'Balance General'!G10</f>
        <v>16514673</v>
      </c>
      <c r="E6" s="252"/>
      <c r="F6" s="254"/>
      <c r="G6" s="256"/>
      <c r="H6" s="256"/>
      <c r="I6" s="256"/>
      <c r="J6" s="256"/>
    </row>
    <row r="7" spans="1:10" x14ac:dyDescent="0.2">
      <c r="B7" s="7"/>
      <c r="C7" s="226"/>
      <c r="E7" s="226"/>
    </row>
    <row r="8" spans="1:10" ht="17.25" customHeight="1" x14ac:dyDescent="0.2">
      <c r="A8" s="251" t="s">
        <v>282</v>
      </c>
      <c r="B8" s="224" t="s">
        <v>288</v>
      </c>
      <c r="C8" s="252" t="s">
        <v>265</v>
      </c>
      <c r="D8" s="225">
        <f>'Flujo de Caja'!C5</f>
        <v>79885200</v>
      </c>
      <c r="E8" s="252" t="s">
        <v>265</v>
      </c>
      <c r="F8" s="253">
        <f>D8/D9</f>
        <v>0.38040571428571429</v>
      </c>
      <c r="G8" s="256" t="s">
        <v>422</v>
      </c>
      <c r="H8" s="256"/>
      <c r="I8" s="256"/>
      <c r="J8" s="256"/>
    </row>
    <row r="9" spans="1:10" ht="24.75" customHeight="1" x14ac:dyDescent="0.2">
      <c r="A9" s="251"/>
      <c r="B9" s="7" t="s">
        <v>213</v>
      </c>
      <c r="C9" s="252"/>
      <c r="D9" s="2">
        <f>'Flujo de Caja'!C3</f>
        <v>210000000</v>
      </c>
      <c r="E9" s="252"/>
      <c r="F9" s="253"/>
      <c r="G9" s="256"/>
      <c r="H9" s="256"/>
      <c r="I9" s="256"/>
      <c r="J9" s="256"/>
    </row>
    <row r="10" spans="1:10" ht="17.25" customHeight="1" x14ac:dyDescent="0.2">
      <c r="B10" s="7"/>
      <c r="C10" s="226"/>
      <c r="E10" s="226"/>
    </row>
    <row r="11" spans="1:10" ht="21.75" customHeight="1" x14ac:dyDescent="0.2">
      <c r="A11" s="251" t="s">
        <v>283</v>
      </c>
      <c r="B11" s="224" t="s">
        <v>289</v>
      </c>
      <c r="C11" s="252" t="s">
        <v>265</v>
      </c>
      <c r="D11" s="225">
        <f>'Flujo de Caja'!C9</f>
        <v>27200202.5</v>
      </c>
      <c r="E11" s="252" t="s">
        <v>265</v>
      </c>
      <c r="F11" s="253">
        <f>D11/D12</f>
        <v>0.12952477380952382</v>
      </c>
      <c r="G11" s="256" t="s">
        <v>414</v>
      </c>
      <c r="H11" s="256"/>
      <c r="I11" s="256"/>
      <c r="J11" s="256"/>
    </row>
    <row r="12" spans="1:10" ht="21.75" customHeight="1" x14ac:dyDescent="0.2">
      <c r="A12" s="251"/>
      <c r="B12" s="7" t="s">
        <v>213</v>
      </c>
      <c r="C12" s="252"/>
      <c r="D12" s="2">
        <f>'Flujo de Caja'!C3</f>
        <v>210000000</v>
      </c>
      <c r="E12" s="252"/>
      <c r="F12" s="253"/>
      <c r="G12" s="256"/>
      <c r="H12" s="256"/>
      <c r="I12" s="256"/>
      <c r="J12" s="256"/>
    </row>
    <row r="13" spans="1:10" x14ac:dyDescent="0.2">
      <c r="B13" s="7"/>
      <c r="C13" s="226"/>
      <c r="E13" s="226"/>
    </row>
    <row r="14" spans="1:10" ht="29.25" customHeight="1" x14ac:dyDescent="0.2">
      <c r="A14" s="251" t="s">
        <v>284</v>
      </c>
      <c r="B14" s="224" t="s">
        <v>290</v>
      </c>
      <c r="C14" s="252" t="s">
        <v>265</v>
      </c>
      <c r="D14" s="225">
        <f>'Flujo de Caja'!C17</f>
        <v>22465264.854868423</v>
      </c>
      <c r="E14" s="252" t="s">
        <v>265</v>
      </c>
      <c r="F14" s="253">
        <f>D14/D15</f>
        <v>0.10697745168984964</v>
      </c>
      <c r="G14" s="256" t="s">
        <v>415</v>
      </c>
      <c r="H14" s="256"/>
      <c r="I14" s="256"/>
      <c r="J14" s="256"/>
    </row>
    <row r="15" spans="1:10" ht="29.25" customHeight="1" x14ac:dyDescent="0.2">
      <c r="A15" s="251"/>
      <c r="B15" s="7" t="s">
        <v>213</v>
      </c>
      <c r="C15" s="252"/>
      <c r="D15" s="2">
        <f>'Flujo de Caja'!C3</f>
        <v>210000000</v>
      </c>
      <c r="E15" s="252"/>
      <c r="F15" s="253"/>
      <c r="G15" s="256"/>
      <c r="H15" s="256"/>
      <c r="I15" s="256"/>
      <c r="J15" s="256"/>
    </row>
    <row r="16" spans="1:10" x14ac:dyDescent="0.2">
      <c r="B16" s="7"/>
      <c r="C16" s="226"/>
      <c r="E16" s="226"/>
    </row>
    <row r="17" spans="1:13" x14ac:dyDescent="0.2">
      <c r="A17" s="251" t="s">
        <v>285</v>
      </c>
      <c r="B17" s="18" t="s">
        <v>418</v>
      </c>
      <c r="C17" s="252" t="s">
        <v>265</v>
      </c>
      <c r="D17" s="2">
        <v>10</v>
      </c>
      <c r="E17" s="252" t="s">
        <v>265</v>
      </c>
      <c r="F17" s="257">
        <f>D17/D18</f>
        <v>6.3816209317166563E-3</v>
      </c>
      <c r="G17" s="256" t="s">
        <v>423</v>
      </c>
      <c r="H17" s="256"/>
      <c r="I17" s="256"/>
      <c r="J17" s="256"/>
    </row>
    <row r="18" spans="1:13" ht="38.25" x14ac:dyDescent="0.2">
      <c r="A18" s="251"/>
      <c r="B18" s="18" t="s">
        <v>424</v>
      </c>
      <c r="C18" s="252"/>
      <c r="D18" s="2">
        <v>1567</v>
      </c>
      <c r="E18" s="252"/>
      <c r="F18" s="257"/>
      <c r="G18" s="256"/>
      <c r="H18" s="256"/>
      <c r="I18" s="256"/>
      <c r="J18" s="256"/>
    </row>
    <row r="19" spans="1:13" x14ac:dyDescent="0.2">
      <c r="C19" s="69"/>
      <c r="E19" s="69"/>
    </row>
    <row r="20" spans="1:13" ht="27" customHeight="1" x14ac:dyDescent="0.2">
      <c r="A20" s="251" t="s">
        <v>400</v>
      </c>
      <c r="B20" s="224" t="s">
        <v>401</v>
      </c>
      <c r="C20" s="252" t="s">
        <v>265</v>
      </c>
      <c r="D20" s="225">
        <f>'Balance General'!C2</f>
        <v>52086611.5</v>
      </c>
      <c r="E20" s="252" t="s">
        <v>265</v>
      </c>
      <c r="F20" s="254">
        <f>D20/D21</f>
        <v>1.3573379888008292</v>
      </c>
      <c r="G20" s="256" t="s">
        <v>416</v>
      </c>
      <c r="H20" s="256"/>
      <c r="I20" s="256"/>
      <c r="J20" s="256"/>
    </row>
    <row r="21" spans="1:13" ht="29.25" customHeight="1" x14ac:dyDescent="0.2">
      <c r="A21" s="251"/>
      <c r="B21" s="7" t="s">
        <v>402</v>
      </c>
      <c r="C21" s="252"/>
      <c r="D21" s="2">
        <f>'Balance General'!G4</f>
        <v>38374091</v>
      </c>
      <c r="E21" s="252"/>
      <c r="F21" s="254"/>
      <c r="G21" s="256"/>
      <c r="H21" s="256"/>
      <c r="I21" s="256"/>
      <c r="J21" s="256"/>
      <c r="M21" s="227"/>
    </row>
    <row r="23" spans="1:13" ht="27.75" customHeight="1" x14ac:dyDescent="0.2">
      <c r="A23" s="251" t="s">
        <v>403</v>
      </c>
      <c r="B23" s="228" t="s">
        <v>404</v>
      </c>
      <c r="C23" s="252" t="s">
        <v>265</v>
      </c>
      <c r="D23" s="2">
        <f>('Balance General'!C2-'Balance General'!C6)</f>
        <v>49284459</v>
      </c>
      <c r="E23" s="252" t="s">
        <v>265</v>
      </c>
      <c r="F23" s="254">
        <f>D23/D24</f>
        <v>1.2843159985209813</v>
      </c>
      <c r="G23" s="256" t="s">
        <v>417</v>
      </c>
      <c r="H23" s="256"/>
      <c r="I23" s="256"/>
      <c r="J23" s="256"/>
    </row>
    <row r="24" spans="1:13" ht="27.75" customHeight="1" x14ac:dyDescent="0.2">
      <c r="A24" s="251"/>
      <c r="B24" s="2" t="s">
        <v>402</v>
      </c>
      <c r="C24" s="252"/>
      <c r="D24" s="2">
        <f>'Balance General'!G2</f>
        <v>38374091</v>
      </c>
      <c r="E24" s="252"/>
      <c r="F24" s="254"/>
      <c r="G24" s="256"/>
      <c r="H24" s="256"/>
      <c r="I24" s="256"/>
      <c r="J24" s="256"/>
    </row>
    <row r="26" spans="1:13" ht="15" customHeight="1" x14ac:dyDescent="0.2">
      <c r="A26" s="251" t="s">
        <v>405</v>
      </c>
      <c r="B26" s="255" t="s">
        <v>406</v>
      </c>
      <c r="C26" s="252" t="s">
        <v>265</v>
      </c>
      <c r="D26" s="225">
        <f>D20</f>
        <v>52086611.5</v>
      </c>
      <c r="E26" s="252" t="s">
        <v>265</v>
      </c>
      <c r="F26" s="258">
        <f>D26-D27</f>
        <v>13712520.5</v>
      </c>
      <c r="G26" s="256" t="s">
        <v>419</v>
      </c>
      <c r="H26" s="256"/>
      <c r="I26" s="256"/>
      <c r="J26" s="256"/>
    </row>
    <row r="27" spans="1:13" x14ac:dyDescent="0.2">
      <c r="A27" s="251"/>
      <c r="B27" s="255"/>
      <c r="C27" s="252"/>
      <c r="D27" s="2">
        <f>D21</f>
        <v>38374091</v>
      </c>
      <c r="E27" s="252"/>
      <c r="F27" s="258"/>
      <c r="G27" s="256"/>
      <c r="H27" s="256"/>
      <c r="I27" s="256"/>
      <c r="J27" s="256"/>
    </row>
    <row r="29" spans="1:13" ht="30" customHeight="1" x14ac:dyDescent="0.2">
      <c r="A29" s="251" t="s">
        <v>407</v>
      </c>
      <c r="B29" s="228" t="s">
        <v>409</v>
      </c>
      <c r="C29" s="252" t="s">
        <v>265</v>
      </c>
      <c r="D29" s="225">
        <v>10</v>
      </c>
      <c r="E29" s="252" t="s">
        <v>265</v>
      </c>
      <c r="F29" s="253">
        <f>D30/D29</f>
        <v>0.95</v>
      </c>
      <c r="G29" s="256" t="s">
        <v>420</v>
      </c>
      <c r="H29" s="256"/>
      <c r="I29" s="256"/>
      <c r="J29" s="256"/>
    </row>
    <row r="30" spans="1:13" ht="25.5" x14ac:dyDescent="0.2">
      <c r="A30" s="251"/>
      <c r="B30" s="229" t="s">
        <v>408</v>
      </c>
      <c r="C30" s="252"/>
      <c r="D30" s="2">
        <v>9.5</v>
      </c>
      <c r="E30" s="252"/>
      <c r="F30" s="253"/>
      <c r="G30" s="256"/>
      <c r="H30" s="256"/>
      <c r="I30" s="256"/>
      <c r="J30" s="256"/>
    </row>
  </sheetData>
  <mergeCells count="51">
    <mergeCell ref="G29:J30"/>
    <mergeCell ref="A17:A18"/>
    <mergeCell ref="C17:C18"/>
    <mergeCell ref="E17:E18"/>
    <mergeCell ref="F17:F18"/>
    <mergeCell ref="G17:J18"/>
    <mergeCell ref="G26:J27"/>
    <mergeCell ref="F20:F21"/>
    <mergeCell ref="E20:E21"/>
    <mergeCell ref="E23:E24"/>
    <mergeCell ref="E29:E30"/>
    <mergeCell ref="E26:E27"/>
    <mergeCell ref="F23:F24"/>
    <mergeCell ref="F26:F27"/>
    <mergeCell ref="F29:F30"/>
    <mergeCell ref="C20:C21"/>
    <mergeCell ref="G2:J3"/>
    <mergeCell ref="G20:J21"/>
    <mergeCell ref="G23:J24"/>
    <mergeCell ref="G5:J6"/>
    <mergeCell ref="G8:J9"/>
    <mergeCell ref="G11:J12"/>
    <mergeCell ref="G14:J15"/>
    <mergeCell ref="C23:C24"/>
    <mergeCell ref="C29:C30"/>
    <mergeCell ref="A20:A21"/>
    <mergeCell ref="A23:A24"/>
    <mergeCell ref="B26:B27"/>
    <mergeCell ref="A26:A27"/>
    <mergeCell ref="A29:A30"/>
    <mergeCell ref="C26:C27"/>
    <mergeCell ref="C11:C12"/>
    <mergeCell ref="C14:C15"/>
    <mergeCell ref="F2:F3"/>
    <mergeCell ref="F5:F6"/>
    <mergeCell ref="F8:F9"/>
    <mergeCell ref="F11:F12"/>
    <mergeCell ref="F14:F15"/>
    <mergeCell ref="E14:E15"/>
    <mergeCell ref="E2:E3"/>
    <mergeCell ref="E5:E6"/>
    <mergeCell ref="E8:E9"/>
    <mergeCell ref="E11:E12"/>
    <mergeCell ref="C2:C3"/>
    <mergeCell ref="C5:C6"/>
    <mergeCell ref="C8:C9"/>
    <mergeCell ref="A14:A15"/>
    <mergeCell ref="A2:A3"/>
    <mergeCell ref="A5:A6"/>
    <mergeCell ref="A8:A9"/>
    <mergeCell ref="A11:A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election activeCell="E18" sqref="E18"/>
    </sheetView>
  </sheetViews>
  <sheetFormatPr baseColWidth="10" defaultRowHeight="15" x14ac:dyDescent="0.25"/>
  <cols>
    <col min="1" max="1" width="23.140625" bestFit="1" customWidth="1"/>
    <col min="2" max="2" width="12" bestFit="1" customWidth="1"/>
    <col min="3" max="3" width="13.42578125" bestFit="1" customWidth="1"/>
    <col min="4" max="4" width="9.42578125" customWidth="1"/>
    <col min="5" max="5" width="29.140625" bestFit="1" customWidth="1"/>
    <col min="6" max="6" width="12" bestFit="1" customWidth="1"/>
    <col min="7" max="7" width="13.42578125" bestFit="1" customWidth="1"/>
  </cols>
  <sheetData>
    <row r="1" spans="1:7" x14ac:dyDescent="0.25">
      <c r="A1" s="233" t="s">
        <v>225</v>
      </c>
      <c r="B1" s="233"/>
      <c r="C1" s="233"/>
      <c r="E1" s="233" t="s">
        <v>387</v>
      </c>
      <c r="F1" s="233"/>
      <c r="G1" s="233"/>
    </row>
    <row r="2" spans="1:7" x14ac:dyDescent="0.25">
      <c r="A2" s="206" t="s">
        <v>384</v>
      </c>
      <c r="B2" s="208"/>
      <c r="C2" s="208">
        <f>B3+B4+B5</f>
        <v>52086611.5</v>
      </c>
      <c r="D2" s="209"/>
      <c r="E2" s="210" t="s">
        <v>385</v>
      </c>
      <c r="F2" s="208"/>
      <c r="G2" s="208">
        <f>F3</f>
        <v>38374091</v>
      </c>
    </row>
    <row r="3" spans="1:7" x14ac:dyDescent="0.25">
      <c r="A3" s="2" t="s">
        <v>224</v>
      </c>
      <c r="B3" s="211">
        <v>26216525</v>
      </c>
      <c r="C3" s="211"/>
      <c r="D3" s="209"/>
      <c r="E3" s="64" t="s">
        <v>389</v>
      </c>
      <c r="F3" s="211">
        <f>'Aportes y Financiación'!B21</f>
        <v>38374091</v>
      </c>
      <c r="G3" s="211"/>
    </row>
    <row r="4" spans="1:7" x14ac:dyDescent="0.25">
      <c r="A4" s="64" t="s">
        <v>379</v>
      </c>
      <c r="B4" s="211">
        <f>'Aportes y Financiación'!B21/2</f>
        <v>19187045.5</v>
      </c>
      <c r="C4" s="211"/>
      <c r="D4" s="209"/>
      <c r="E4" s="212" t="s">
        <v>386</v>
      </c>
      <c r="F4" s="213"/>
      <c r="G4" s="213">
        <f>G2</f>
        <v>38374091</v>
      </c>
    </row>
    <row r="5" spans="1:7" x14ac:dyDescent="0.25">
      <c r="A5" s="64" t="s">
        <v>380</v>
      </c>
      <c r="B5" s="211">
        <f>Inversiones!C3+Inversiones!C4+Inversiones!C5+Inversiones!C6+Inversiones!C7+Inversiones!C10+Inversiones!B24</f>
        <v>6683041</v>
      </c>
      <c r="C5" s="211"/>
      <c r="D5" s="209"/>
      <c r="E5" s="209"/>
      <c r="F5" s="209"/>
      <c r="G5" s="209"/>
    </row>
    <row r="6" spans="1:7" x14ac:dyDescent="0.25">
      <c r="A6" s="206" t="s">
        <v>226</v>
      </c>
      <c r="B6" s="208"/>
      <c r="C6" s="208">
        <f>B11-B12</f>
        <v>2802152.5</v>
      </c>
      <c r="D6" s="209"/>
      <c r="E6" s="259" t="s">
        <v>388</v>
      </c>
      <c r="F6" s="259"/>
      <c r="G6" s="259"/>
    </row>
    <row r="7" spans="1:7" x14ac:dyDescent="0.25">
      <c r="A7" s="64" t="s">
        <v>381</v>
      </c>
      <c r="B7" s="211">
        <f>Depreciaciones!D8+Depreciaciones!C5</f>
        <v>400800</v>
      </c>
      <c r="C7" s="211"/>
      <c r="D7" s="209"/>
      <c r="E7" s="210"/>
      <c r="F7" s="208"/>
      <c r="G7" s="208">
        <f>F8+F9</f>
        <v>16514673</v>
      </c>
    </row>
    <row r="8" spans="1:7" x14ac:dyDescent="0.25">
      <c r="A8" s="64" t="s">
        <v>382</v>
      </c>
      <c r="B8" s="211">
        <f>Depreciaciones!D4</f>
        <v>1274150</v>
      </c>
      <c r="C8" s="211"/>
      <c r="D8" s="209"/>
      <c r="E8" s="64" t="s">
        <v>390</v>
      </c>
      <c r="F8" s="211">
        <f>'Aportes y Financiación'!C5</f>
        <v>13814673</v>
      </c>
      <c r="G8" s="211"/>
    </row>
    <row r="9" spans="1:7" x14ac:dyDescent="0.25">
      <c r="A9" s="64" t="s">
        <v>1</v>
      </c>
      <c r="B9" s="211">
        <f>Inversiones!C11</f>
        <v>600000</v>
      </c>
      <c r="C9" s="211"/>
      <c r="D9" s="209"/>
      <c r="E9" s="64" t="s">
        <v>391</v>
      </c>
      <c r="F9" s="211">
        <f>'Aportes y Financiación'!C11</f>
        <v>2700000</v>
      </c>
      <c r="G9" s="211"/>
    </row>
    <row r="10" spans="1:7" x14ac:dyDescent="0.25">
      <c r="A10" s="64" t="s">
        <v>383</v>
      </c>
      <c r="B10" s="211">
        <f>Depreciaciones!D6+Depreciaciones!D7+Depreciaciones!D9+Depreciaciones!D10+Depreciaciones!D11+Depreciaciones!D12+Depreciaciones!D13+Depreciaciones!D14+Depreciaciones!D15+Depreciaciones!D16+Depreciaciones!D17+Depreciaciones!D18</f>
        <v>980200</v>
      </c>
      <c r="C10" s="211"/>
      <c r="D10" s="209"/>
      <c r="E10" s="212" t="s">
        <v>413</v>
      </c>
      <c r="F10" s="212"/>
      <c r="G10" s="213">
        <f>G7</f>
        <v>16514673</v>
      </c>
    </row>
    <row r="11" spans="1:7" x14ac:dyDescent="0.25">
      <c r="A11" s="2" t="s">
        <v>4</v>
      </c>
      <c r="B11" s="211">
        <f>SUM(B7:B10)</f>
        <v>3255150</v>
      </c>
      <c r="C11" s="211"/>
      <c r="D11" s="209"/>
      <c r="E11" s="209"/>
      <c r="F11" s="209"/>
      <c r="G11" s="209"/>
    </row>
    <row r="12" spans="1:7" x14ac:dyDescent="0.25">
      <c r="A12" s="2" t="s">
        <v>227</v>
      </c>
      <c r="B12" s="211">
        <f>Depreciaciones!G19</f>
        <v>452997.5</v>
      </c>
      <c r="C12" s="211"/>
      <c r="D12" s="209"/>
      <c r="E12" s="209"/>
      <c r="F12" s="209"/>
      <c r="G12" s="209"/>
    </row>
    <row r="13" spans="1:7" x14ac:dyDescent="0.25">
      <c r="A13" s="207" t="s">
        <v>228</v>
      </c>
      <c r="B13" s="213"/>
      <c r="C13" s="213">
        <f>C2+C6</f>
        <v>54888764</v>
      </c>
      <c r="D13" s="209"/>
      <c r="E13" s="212" t="s">
        <v>392</v>
      </c>
      <c r="F13" s="212"/>
      <c r="G13" s="213">
        <f>G4+G10</f>
        <v>54888764</v>
      </c>
    </row>
    <row r="14" spans="1:7" x14ac:dyDescent="0.25">
      <c r="A14" s="69"/>
      <c r="B14" s="2"/>
      <c r="C14" s="17"/>
    </row>
  </sheetData>
  <mergeCells count="3">
    <mergeCell ref="A1:C1"/>
    <mergeCell ref="E1:G1"/>
    <mergeCell ref="E6:G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Normal="100" workbookViewId="0">
      <selection sqref="A1:G1"/>
    </sheetView>
  </sheetViews>
  <sheetFormatPr baseColWidth="10" defaultRowHeight="12.75" x14ac:dyDescent="0.2"/>
  <cols>
    <col min="1" max="1" width="22.140625" style="2" bestFit="1" customWidth="1"/>
    <col min="2" max="2" width="12" style="2" bestFit="1" customWidth="1"/>
    <col min="3" max="3" width="21.5703125" style="2" bestFit="1" customWidth="1"/>
    <col min="4" max="4" width="11" style="2" bestFit="1" customWidth="1"/>
    <col min="5" max="5" width="8.42578125" style="2" customWidth="1"/>
    <col min="6" max="6" width="13.42578125" style="2" bestFit="1" customWidth="1"/>
    <col min="7" max="7" width="14.42578125" style="2" bestFit="1" customWidth="1"/>
    <col min="8" max="8" width="11.42578125" style="2"/>
    <col min="9" max="9" width="20.7109375" style="2" customWidth="1"/>
    <col min="10" max="10" width="24" style="2" customWidth="1"/>
    <col min="11" max="11" width="19" style="2" customWidth="1"/>
    <col min="12" max="12" width="15" style="2" customWidth="1"/>
    <col min="13" max="13" width="17" style="2" customWidth="1"/>
    <col min="14" max="16384" width="11.42578125" style="2"/>
  </cols>
  <sheetData>
    <row r="1" spans="1:10" x14ac:dyDescent="0.2">
      <c r="A1" s="233" t="s">
        <v>305</v>
      </c>
      <c r="B1" s="233"/>
      <c r="C1" s="233"/>
      <c r="D1" s="233"/>
      <c r="E1" s="233"/>
      <c r="F1" s="233"/>
      <c r="G1" s="233"/>
    </row>
    <row r="2" spans="1:10" ht="25.5" x14ac:dyDescent="0.2">
      <c r="A2" s="70" t="s">
        <v>40</v>
      </c>
      <c r="B2" s="71" t="s">
        <v>334</v>
      </c>
      <c r="C2" s="71" t="s">
        <v>335</v>
      </c>
      <c r="D2" s="71" t="s">
        <v>41</v>
      </c>
      <c r="E2" s="71" t="s">
        <v>359</v>
      </c>
      <c r="F2" s="71" t="s">
        <v>133</v>
      </c>
      <c r="G2" s="71" t="s">
        <v>42</v>
      </c>
      <c r="J2" s="72"/>
    </row>
    <row r="3" spans="1:10" ht="25.5" x14ac:dyDescent="0.2">
      <c r="A3" s="87" t="s">
        <v>367</v>
      </c>
      <c r="B3" s="49">
        <v>750000</v>
      </c>
      <c r="C3" s="88" t="s">
        <v>360</v>
      </c>
      <c r="D3" s="49">
        <v>750000</v>
      </c>
      <c r="E3" s="49">
        <v>0</v>
      </c>
      <c r="F3" s="183">
        <f t="shared" ref="F3:F6" si="0">D3+E3</f>
        <v>750000</v>
      </c>
      <c r="G3" s="184">
        <f t="shared" ref="G3:G6" si="1">(D3+E3)*12</f>
        <v>9000000</v>
      </c>
      <c r="J3" s="72"/>
    </row>
    <row r="4" spans="1:10" x14ac:dyDescent="0.2">
      <c r="A4" s="88" t="s">
        <v>365</v>
      </c>
      <c r="B4" s="49">
        <v>750000</v>
      </c>
      <c r="C4" s="88" t="s">
        <v>360</v>
      </c>
      <c r="D4" s="49">
        <v>750000</v>
      </c>
      <c r="E4" s="49">
        <v>0</v>
      </c>
      <c r="F4" s="183">
        <f t="shared" si="0"/>
        <v>750000</v>
      </c>
      <c r="G4" s="184">
        <f t="shared" si="1"/>
        <v>9000000</v>
      </c>
      <c r="J4" s="72"/>
    </row>
    <row r="5" spans="1:10" x14ac:dyDescent="0.2">
      <c r="A5" s="87" t="s">
        <v>363</v>
      </c>
      <c r="B5" s="49">
        <v>750000</v>
      </c>
      <c r="C5" s="88" t="s">
        <v>360</v>
      </c>
      <c r="D5" s="49">
        <v>750000</v>
      </c>
      <c r="E5" s="49">
        <v>0</v>
      </c>
      <c r="F5" s="183">
        <f t="shared" si="0"/>
        <v>750000</v>
      </c>
      <c r="G5" s="184">
        <f t="shared" si="1"/>
        <v>9000000</v>
      </c>
      <c r="J5" s="72"/>
    </row>
    <row r="6" spans="1:10" ht="38.25" x14ac:dyDescent="0.2">
      <c r="A6" s="87" t="s">
        <v>364</v>
      </c>
      <c r="B6" s="49">
        <v>750000</v>
      </c>
      <c r="C6" s="88" t="s">
        <v>360</v>
      </c>
      <c r="D6" s="49">
        <v>750000</v>
      </c>
      <c r="E6" s="49">
        <v>0</v>
      </c>
      <c r="F6" s="183">
        <f t="shared" si="0"/>
        <v>750000</v>
      </c>
      <c r="G6" s="184">
        <f t="shared" si="1"/>
        <v>9000000</v>
      </c>
      <c r="J6" s="72"/>
    </row>
    <row r="7" spans="1:10" x14ac:dyDescent="0.2">
      <c r="A7" s="233" t="s">
        <v>302</v>
      </c>
      <c r="B7" s="233"/>
      <c r="C7" s="233"/>
      <c r="D7" s="233"/>
      <c r="E7" s="233"/>
      <c r="F7" s="80">
        <f>SUM(F3:F6)</f>
        <v>3000000</v>
      </c>
      <c r="G7" s="80">
        <f>SUM(G3:G6)</f>
        <v>36000000</v>
      </c>
      <c r="J7" s="72"/>
    </row>
    <row r="8" spans="1:10" ht="25.5" x14ac:dyDescent="0.2">
      <c r="A8" s="70" t="s">
        <v>40</v>
      </c>
      <c r="B8" s="71" t="s">
        <v>334</v>
      </c>
      <c r="C8" s="71" t="s">
        <v>335</v>
      </c>
      <c r="D8" s="71" t="s">
        <v>41</v>
      </c>
      <c r="E8" s="71" t="s">
        <v>359</v>
      </c>
      <c r="F8" s="71" t="s">
        <v>133</v>
      </c>
      <c r="G8" s="71" t="s">
        <v>42</v>
      </c>
      <c r="J8" s="72"/>
    </row>
    <row r="9" spans="1:10" x14ac:dyDescent="0.2">
      <c r="A9" s="2" t="s">
        <v>336</v>
      </c>
      <c r="B9" s="17">
        <v>750000</v>
      </c>
      <c r="C9" s="2">
        <v>12</v>
      </c>
      <c r="D9" s="17">
        <v>750000</v>
      </c>
      <c r="E9" s="17">
        <v>0</v>
      </c>
      <c r="F9" s="16">
        <f t="shared" ref="F9:F13" si="2">D9+E9</f>
        <v>750000</v>
      </c>
      <c r="G9" s="72">
        <f t="shared" ref="G9:G13" si="3">(D9+E9)*12</f>
        <v>9000000</v>
      </c>
      <c r="J9" s="72"/>
    </row>
    <row r="10" spans="1:10" x14ac:dyDescent="0.2">
      <c r="A10" s="2" t="s">
        <v>336</v>
      </c>
      <c r="B10" s="17">
        <v>750000</v>
      </c>
      <c r="C10" s="2">
        <v>12</v>
      </c>
      <c r="D10" s="17">
        <v>750000</v>
      </c>
      <c r="E10" s="17">
        <v>0</v>
      </c>
      <c r="F10" s="16">
        <f t="shared" si="2"/>
        <v>750000</v>
      </c>
      <c r="G10" s="72">
        <f t="shared" si="3"/>
        <v>9000000</v>
      </c>
      <c r="J10" s="72"/>
    </row>
    <row r="11" spans="1:10" x14ac:dyDescent="0.2">
      <c r="A11" s="2" t="s">
        <v>336</v>
      </c>
      <c r="B11" s="17">
        <v>750000</v>
      </c>
      <c r="C11" s="2">
        <v>12</v>
      </c>
      <c r="D11" s="17">
        <v>750000</v>
      </c>
      <c r="E11" s="17">
        <v>0</v>
      </c>
      <c r="F11" s="16">
        <f t="shared" ref="F11" si="4">D11+E11</f>
        <v>750000</v>
      </c>
      <c r="G11" s="72">
        <f t="shared" ref="G11" si="5">(D11+E11)*12</f>
        <v>9000000</v>
      </c>
      <c r="J11" s="182"/>
    </row>
    <row r="12" spans="1:10" x14ac:dyDescent="0.2">
      <c r="A12" s="2" t="s">
        <v>336</v>
      </c>
      <c r="B12" s="17">
        <v>750000</v>
      </c>
      <c r="C12" s="2">
        <v>12</v>
      </c>
      <c r="D12" s="17">
        <v>750000</v>
      </c>
      <c r="E12" s="17">
        <v>0</v>
      </c>
      <c r="F12" s="16">
        <f t="shared" si="2"/>
        <v>750000</v>
      </c>
      <c r="G12" s="72">
        <f t="shared" si="3"/>
        <v>9000000</v>
      </c>
    </row>
    <row r="13" spans="1:10" x14ac:dyDescent="0.2">
      <c r="A13" s="2" t="s">
        <v>366</v>
      </c>
      <c r="B13" s="17">
        <v>750000</v>
      </c>
      <c r="C13" s="2">
        <v>12</v>
      </c>
      <c r="D13" s="17">
        <v>750000</v>
      </c>
      <c r="E13" s="17">
        <v>0</v>
      </c>
      <c r="F13" s="16">
        <f t="shared" si="2"/>
        <v>750000</v>
      </c>
      <c r="G13" s="72">
        <f t="shared" si="3"/>
        <v>9000000</v>
      </c>
    </row>
    <row r="14" spans="1:10" x14ac:dyDescent="0.2">
      <c r="A14" s="233" t="s">
        <v>303</v>
      </c>
      <c r="B14" s="233"/>
      <c r="C14" s="233"/>
      <c r="D14" s="233"/>
      <c r="E14" s="233"/>
      <c r="F14" s="73"/>
      <c r="G14" s="76">
        <f>SUM(G9:G13)</f>
        <v>45000000</v>
      </c>
    </row>
    <row r="15" spans="1:10" x14ac:dyDescent="0.2">
      <c r="B15" s="74"/>
      <c r="C15" s="74"/>
      <c r="D15" s="75">
        <f>SUM(D3:D13)</f>
        <v>6750000</v>
      </c>
      <c r="E15" s="75">
        <f>SUM(E3:E13)</f>
        <v>0</v>
      </c>
      <c r="F15" s="76">
        <f>SUM(F9:F14)</f>
        <v>3750000</v>
      </c>
      <c r="G15" s="77">
        <f>G7+G14</f>
        <v>81000000</v>
      </c>
    </row>
    <row r="16" spans="1:10" ht="38.25" x14ac:dyDescent="0.2">
      <c r="D16" s="78" t="s">
        <v>55</v>
      </c>
      <c r="E16" s="78" t="s">
        <v>57</v>
      </c>
      <c r="F16" s="54" t="s">
        <v>134</v>
      </c>
      <c r="G16" s="79" t="s">
        <v>56</v>
      </c>
    </row>
  </sheetData>
  <mergeCells count="3">
    <mergeCell ref="A14:E14"/>
    <mergeCell ref="A7:E7"/>
    <mergeCell ref="A1:G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baseColWidth="10" defaultColWidth="16.28515625" defaultRowHeight="12.75" x14ac:dyDescent="0.2"/>
  <cols>
    <col min="1" max="1" width="10.7109375" style="2" customWidth="1"/>
    <col min="2" max="5" width="16.28515625" style="2"/>
    <col min="6" max="6" width="10.28515625" style="2" customWidth="1"/>
    <col min="7" max="7" width="10" style="2" customWidth="1"/>
    <col min="8" max="16384" width="16.28515625" style="2"/>
  </cols>
  <sheetData>
    <row r="1" spans="1:8" ht="38.25" x14ac:dyDescent="0.2">
      <c r="A1" s="20" t="s">
        <v>47</v>
      </c>
      <c r="B1" s="20" t="s">
        <v>337</v>
      </c>
      <c r="D1" s="20" t="s">
        <v>338</v>
      </c>
      <c r="E1" s="20" t="s">
        <v>337</v>
      </c>
    </row>
    <row r="2" spans="1:8" ht="12.75" customHeight="1" x14ac:dyDescent="0.2">
      <c r="A2" s="3">
        <v>30</v>
      </c>
      <c r="B2" s="25" t="s">
        <v>43</v>
      </c>
      <c r="D2" s="7">
        <v>35515</v>
      </c>
      <c r="E2" s="26" t="s">
        <v>43</v>
      </c>
      <c r="G2" s="256" t="s">
        <v>368</v>
      </c>
      <c r="H2" s="256"/>
    </row>
    <row r="3" spans="1:8" x14ac:dyDescent="0.2">
      <c r="A3" s="3">
        <v>15</v>
      </c>
      <c r="B3" s="25" t="s">
        <v>44</v>
      </c>
      <c r="D3" s="7">
        <v>17757</v>
      </c>
      <c r="E3" s="26" t="s">
        <v>44</v>
      </c>
      <c r="G3" s="256"/>
      <c r="H3" s="256"/>
    </row>
    <row r="4" spans="1:8" x14ac:dyDescent="0.2">
      <c r="A4" s="3">
        <v>8</v>
      </c>
      <c r="B4" s="3" t="s">
        <v>45</v>
      </c>
      <c r="D4" s="7">
        <v>9740</v>
      </c>
      <c r="E4" s="7" t="s">
        <v>45</v>
      </c>
      <c r="G4" s="256"/>
      <c r="H4" s="256"/>
    </row>
    <row r="5" spans="1:8" x14ac:dyDescent="0.2">
      <c r="A5" s="3">
        <v>3</v>
      </c>
      <c r="B5" s="3" t="s">
        <v>46</v>
      </c>
      <c r="D5" s="7">
        <v>3551</v>
      </c>
      <c r="E5" s="7" t="s">
        <v>46</v>
      </c>
      <c r="G5" s="256"/>
      <c r="H5" s="256"/>
    </row>
    <row r="6" spans="1:8" x14ac:dyDescent="0.2">
      <c r="A6" s="10">
        <f>SUM(A2:A5)</f>
        <v>56</v>
      </c>
      <c r="B6" s="3" t="s">
        <v>48</v>
      </c>
      <c r="D6" s="24">
        <f>SUM(D2:D5)</f>
        <v>66563</v>
      </c>
      <c r="E6" s="7" t="s">
        <v>48</v>
      </c>
      <c r="G6" s="256"/>
      <c r="H6" s="256"/>
    </row>
    <row r="7" spans="1:8" x14ac:dyDescent="0.2">
      <c r="G7" s="256"/>
      <c r="H7" s="256"/>
    </row>
    <row r="8" spans="1:8" x14ac:dyDescent="0.2">
      <c r="A8" s="241" t="s">
        <v>339</v>
      </c>
      <c r="B8" s="241"/>
      <c r="C8" s="241"/>
      <c r="D8" s="241"/>
      <c r="E8" s="241"/>
      <c r="G8" s="256"/>
      <c r="H8" s="256"/>
    </row>
    <row r="9" spans="1:8" x14ac:dyDescent="0.2">
      <c r="A9" s="241" t="s">
        <v>340</v>
      </c>
      <c r="B9" s="241"/>
      <c r="C9" s="241"/>
      <c r="D9" s="241"/>
      <c r="E9" s="241"/>
      <c r="G9" s="256"/>
      <c r="H9" s="256"/>
    </row>
    <row r="10" spans="1:8" x14ac:dyDescent="0.2">
      <c r="G10" s="256"/>
      <c r="H10" s="256"/>
    </row>
    <row r="11" spans="1:8" x14ac:dyDescent="0.2">
      <c r="G11" s="256"/>
      <c r="H11" s="256"/>
    </row>
    <row r="12" spans="1:8" x14ac:dyDescent="0.2">
      <c r="A12" s="242" t="s">
        <v>50</v>
      </c>
      <c r="B12" s="242"/>
      <c r="D12" s="242" t="s">
        <v>341</v>
      </c>
      <c r="E12" s="242"/>
      <c r="G12" s="256"/>
      <c r="H12" s="256"/>
    </row>
    <row r="13" spans="1:8" ht="15" customHeight="1" x14ac:dyDescent="0.2">
      <c r="A13" s="241">
        <v>49</v>
      </c>
      <c r="B13" s="241"/>
      <c r="D13" s="241">
        <v>58575</v>
      </c>
      <c r="E13" s="241"/>
      <c r="G13" s="256"/>
      <c r="H13" s="256"/>
    </row>
    <row r="14" spans="1:8" x14ac:dyDescent="0.2">
      <c r="A14" s="21" t="s">
        <v>49</v>
      </c>
      <c r="B14" s="21">
        <f>A13/12</f>
        <v>4.083333333333333</v>
      </c>
      <c r="D14" s="21" t="s">
        <v>49</v>
      </c>
      <c r="E14" s="21">
        <f>D13/12</f>
        <v>4881.25</v>
      </c>
    </row>
    <row r="16" spans="1:8" ht="38.25" x14ac:dyDescent="0.2">
      <c r="A16" s="97" t="s">
        <v>342</v>
      </c>
      <c r="B16" s="54" t="s">
        <v>51</v>
      </c>
      <c r="C16" s="54" t="s">
        <v>52</v>
      </c>
      <c r="D16" s="54" t="s">
        <v>112</v>
      </c>
      <c r="E16" s="54" t="s">
        <v>343</v>
      </c>
      <c r="F16" s="54" t="s">
        <v>113</v>
      </c>
      <c r="G16" s="97" t="s">
        <v>4</v>
      </c>
    </row>
    <row r="17" spans="1:7" x14ac:dyDescent="0.2">
      <c r="A17" s="7">
        <v>4</v>
      </c>
      <c r="B17" s="7">
        <v>3</v>
      </c>
      <c r="C17" s="7">
        <v>4</v>
      </c>
      <c r="D17" s="7">
        <v>7</v>
      </c>
      <c r="E17" s="24">
        <f>B17*D17*C17</f>
        <v>84</v>
      </c>
      <c r="F17" s="24">
        <f>A17*B17*C17</f>
        <v>48</v>
      </c>
      <c r="G17" s="24">
        <f xml:space="preserve"> (A17*B17*C17*D17)</f>
        <v>336</v>
      </c>
    </row>
    <row r="18" spans="1:7" x14ac:dyDescent="0.2">
      <c r="A18" s="7">
        <v>4</v>
      </c>
      <c r="B18" s="7">
        <v>3</v>
      </c>
      <c r="C18" s="7">
        <v>4</v>
      </c>
      <c r="D18" s="7">
        <v>6</v>
      </c>
      <c r="E18" s="134">
        <f>B18*D18*C18</f>
        <v>72</v>
      </c>
      <c r="F18" s="134">
        <f>A18*B18*C18</f>
        <v>48</v>
      </c>
      <c r="G18" s="134">
        <f xml:space="preserve"> (A18*B18*C18*D18)</f>
        <v>288</v>
      </c>
    </row>
    <row r="19" spans="1:7" x14ac:dyDescent="0.2">
      <c r="E19" s="134" t="s">
        <v>58</v>
      </c>
      <c r="F19" s="134"/>
      <c r="G19" s="134">
        <f>(G17+G18)/2</f>
        <v>312</v>
      </c>
    </row>
  </sheetData>
  <mergeCells count="7">
    <mergeCell ref="A8:E8"/>
    <mergeCell ref="A9:E9"/>
    <mergeCell ref="G2:H13"/>
    <mergeCell ref="A12:B12"/>
    <mergeCell ref="D12:E12"/>
    <mergeCell ref="A13:B13"/>
    <mergeCell ref="D13:E1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2"/>
  <sheetViews>
    <sheetView showGridLines="0" topLeftCell="A2" workbookViewId="0">
      <selection activeCell="A2" sqref="A2:B2"/>
    </sheetView>
  </sheetViews>
  <sheetFormatPr baseColWidth="10" defaultRowHeight="12.75" x14ac:dyDescent="0.2"/>
  <cols>
    <col min="1" max="1" width="29" style="2" bestFit="1" customWidth="1"/>
    <col min="2" max="2" width="12.5703125" style="2" bestFit="1" customWidth="1"/>
    <col min="3" max="4" width="11.42578125" style="2"/>
    <col min="5" max="5" width="12.28515625" style="2" bestFit="1" customWidth="1"/>
    <col min="6" max="6" width="12.7109375" style="2" bestFit="1" customWidth="1"/>
    <col min="7" max="7" width="14.140625" style="2" bestFit="1" customWidth="1"/>
    <col min="8" max="16384" width="11.42578125" style="2"/>
  </cols>
  <sheetData>
    <row r="2" spans="1:9" x14ac:dyDescent="0.2">
      <c r="A2" s="233" t="s">
        <v>152</v>
      </c>
      <c r="B2" s="233"/>
      <c r="D2" s="233" t="s">
        <v>153</v>
      </c>
      <c r="E2" s="233"/>
      <c r="F2" s="233"/>
      <c r="G2" s="233"/>
    </row>
    <row r="3" spans="1:9" x14ac:dyDescent="0.2">
      <c r="A3" s="24" t="s">
        <v>116</v>
      </c>
      <c r="B3" s="53">
        <f>'Aportes y Financiación'!B21</f>
        <v>38374091</v>
      </c>
      <c r="D3" s="23" t="s">
        <v>117</v>
      </c>
      <c r="E3" s="23" t="s">
        <v>118</v>
      </c>
      <c r="F3" s="23" t="s">
        <v>119</v>
      </c>
      <c r="G3" s="23" t="s">
        <v>120</v>
      </c>
    </row>
    <row r="4" spans="1:9" x14ac:dyDescent="0.2">
      <c r="A4" s="39" t="s">
        <v>121</v>
      </c>
      <c r="B4" s="59">
        <v>0.10299999999999999</v>
      </c>
      <c r="D4" s="55">
        <v>0</v>
      </c>
      <c r="E4" s="56"/>
      <c r="F4" s="56"/>
      <c r="G4" s="61">
        <f>B3</f>
        <v>38374091</v>
      </c>
    </row>
    <row r="5" spans="1:9" x14ac:dyDescent="0.2">
      <c r="A5" s="24" t="s">
        <v>122</v>
      </c>
      <c r="B5" s="39">
        <v>48</v>
      </c>
      <c r="D5" s="57">
        <v>1</v>
      </c>
      <c r="E5" s="58">
        <f t="shared" ref="E5:E52" si="0">IPMT($B$4/12,D5,$B$5,-$B$3)</f>
        <v>329377.61441666668</v>
      </c>
      <c r="F5" s="58">
        <f t="shared" ref="F5:F52" si="1">PPMT($B$4/12,D5,$B$5,-$B$3)</f>
        <v>649426.46694102127</v>
      </c>
      <c r="G5" s="58">
        <f>$B$3-SUM($F$5:F5)</f>
        <v>37724664.533058979</v>
      </c>
    </row>
    <row r="6" spans="1:9" x14ac:dyDescent="0.2">
      <c r="A6" s="39" t="s">
        <v>123</v>
      </c>
      <c r="B6" s="53">
        <f>PMT(B4/12,B5,-B3)</f>
        <v>978804.08135768794</v>
      </c>
      <c r="D6" s="55">
        <v>2</v>
      </c>
      <c r="E6" s="53">
        <f t="shared" si="0"/>
        <v>323803.37057542294</v>
      </c>
      <c r="F6" s="53">
        <f t="shared" si="1"/>
        <v>655000.71078226506</v>
      </c>
      <c r="G6" s="53">
        <f>$B$3-SUM($F$5:F6)</f>
        <v>37069663.822276711</v>
      </c>
    </row>
    <row r="7" spans="1:9" x14ac:dyDescent="0.2">
      <c r="D7" s="57">
        <v>3</v>
      </c>
      <c r="E7" s="58">
        <f t="shared" si="0"/>
        <v>318181.28114120843</v>
      </c>
      <c r="F7" s="58">
        <f t="shared" si="1"/>
        <v>660622.80021647958</v>
      </c>
      <c r="G7" s="58">
        <f>$B$3-SUM($F$5:F7)</f>
        <v>36409041.02206023</v>
      </c>
    </row>
    <row r="8" spans="1:9" x14ac:dyDescent="0.2">
      <c r="A8" s="24" t="s">
        <v>129</v>
      </c>
      <c r="B8" s="53">
        <f>E5+E6+E7+E8+E9+E10+E11+E12+E13+E14+E15+E16</f>
        <v>3573899.1451315759</v>
      </c>
      <c r="D8" s="55">
        <v>4</v>
      </c>
      <c r="E8" s="53">
        <f t="shared" si="0"/>
        <v>312510.93543935037</v>
      </c>
      <c r="F8" s="53">
        <f t="shared" si="1"/>
        <v>666293.14591833763</v>
      </c>
      <c r="G8" s="53">
        <f>$B$3-SUM($F$5:F8)</f>
        <v>35742747.876141898</v>
      </c>
    </row>
    <row r="9" spans="1:9" x14ac:dyDescent="0.2">
      <c r="A9" s="39" t="s">
        <v>130</v>
      </c>
      <c r="B9" s="16">
        <f>E17+E18+E19+E20+E21+E22+E23+E24+E25+E26+E27+E28</f>
        <v>2691315.0027710148</v>
      </c>
      <c r="D9" s="57">
        <v>5</v>
      </c>
      <c r="E9" s="58">
        <f t="shared" si="0"/>
        <v>306791.91927021794</v>
      </c>
      <c r="F9" s="58">
        <f t="shared" si="1"/>
        <v>672012.16208746994</v>
      </c>
      <c r="G9" s="58">
        <f>$B$3-SUM($F$5:F9)</f>
        <v>35070735.714054428</v>
      </c>
    </row>
    <row r="10" spans="1:9" x14ac:dyDescent="0.2">
      <c r="A10" s="24" t="s">
        <v>138</v>
      </c>
      <c r="B10" s="16">
        <f>E29+E30+E31+E33+E34+E35+E36+E37+E38+E39+E40+E32</f>
        <v>1713407.9755399458</v>
      </c>
      <c r="D10" s="55">
        <v>6</v>
      </c>
      <c r="E10" s="53">
        <f t="shared" si="0"/>
        <v>301023.81487896718</v>
      </c>
      <c r="F10" s="53">
        <f t="shared" si="1"/>
        <v>677780.2664787207</v>
      </c>
      <c r="G10" s="53">
        <f>$B$3-SUM($F$5:F10)</f>
        <v>34392955.447575703</v>
      </c>
    </row>
    <row r="11" spans="1:9" x14ac:dyDescent="0.2">
      <c r="A11" s="39" t="s">
        <v>137</v>
      </c>
      <c r="B11" s="16">
        <f>E41+E42+E43+E44+E45+E46+E47+E48+E49+E50+E51+E52</f>
        <v>629882.78172649175</v>
      </c>
      <c r="D11" s="57">
        <v>7</v>
      </c>
      <c r="E11" s="58">
        <f t="shared" si="0"/>
        <v>295206.20092502487</v>
      </c>
      <c r="F11" s="58">
        <f t="shared" si="1"/>
        <v>683597.88043266314</v>
      </c>
      <c r="G11" s="58">
        <f>$B$3-SUM($F$5:F11)</f>
        <v>33709357.567143045</v>
      </c>
    </row>
    <row r="12" spans="1:9" x14ac:dyDescent="0.2">
      <c r="D12" s="55">
        <v>8</v>
      </c>
      <c r="E12" s="53">
        <f t="shared" si="0"/>
        <v>289338.65245131106</v>
      </c>
      <c r="F12" s="53">
        <f t="shared" si="1"/>
        <v>689465.42890637694</v>
      </c>
      <c r="G12" s="53">
        <f>$B$3-SUM($F$5:F12)</f>
        <v>33019892.138236664</v>
      </c>
      <c r="I12" s="16"/>
    </row>
    <row r="13" spans="1:9" x14ac:dyDescent="0.2">
      <c r="D13" s="57">
        <v>9</v>
      </c>
      <c r="E13" s="58">
        <f t="shared" si="0"/>
        <v>283420.74085319811</v>
      </c>
      <c r="F13" s="58">
        <f t="shared" si="1"/>
        <v>695383.34050448996</v>
      </c>
      <c r="G13" s="58">
        <f>$B$3-SUM($F$5:F13)</f>
        <v>32324508.797732174</v>
      </c>
    </row>
    <row r="14" spans="1:9" x14ac:dyDescent="0.2">
      <c r="A14" s="134" t="s">
        <v>347</v>
      </c>
      <c r="B14" s="16">
        <f>F5+F6+F7+F8+F9+F10+F11+F12+F13+F14+F15+F16</f>
        <v>8171749.8311606795</v>
      </c>
      <c r="D14" s="55">
        <v>10</v>
      </c>
      <c r="E14" s="53">
        <f t="shared" si="0"/>
        <v>277452.03384720121</v>
      </c>
      <c r="F14" s="53">
        <f t="shared" si="1"/>
        <v>701352.04751048679</v>
      </c>
      <c r="G14" s="53">
        <f>$B$3-SUM($F$5:F14)</f>
        <v>31623156.750221688</v>
      </c>
    </row>
    <row r="15" spans="1:9" x14ac:dyDescent="0.2">
      <c r="A15" s="39" t="s">
        <v>349</v>
      </c>
      <c r="B15" s="16">
        <f>F17+F18+F19+F20+F21+F22+F23+F24+F25+F26+F27+F28</f>
        <v>9054333.9735212419</v>
      </c>
      <c r="D15" s="57">
        <v>11</v>
      </c>
      <c r="E15" s="58">
        <f t="shared" si="0"/>
        <v>271432.09543940279</v>
      </c>
      <c r="F15" s="58">
        <f t="shared" si="1"/>
        <v>707371.98591828521</v>
      </c>
      <c r="G15" s="58">
        <f>$B$3-SUM($F$5:F15)</f>
        <v>30915784.764303405</v>
      </c>
    </row>
    <row r="16" spans="1:9" x14ac:dyDescent="0.2">
      <c r="A16" s="134" t="s">
        <v>348</v>
      </c>
      <c r="B16" s="16">
        <f>F29+F30+F31+F32+F33+F34+F35+F36+F37+F38+F39+F40</f>
        <v>10032241.000752309</v>
      </c>
      <c r="D16" s="55">
        <v>12</v>
      </c>
      <c r="E16" s="53">
        <f t="shared" si="0"/>
        <v>265360.48589360429</v>
      </c>
      <c r="F16" s="53">
        <f t="shared" si="1"/>
        <v>713443.59546408383</v>
      </c>
      <c r="G16" s="53">
        <f>$B$3-SUM($F$5:F16)</f>
        <v>30202341.168839321</v>
      </c>
    </row>
    <row r="17" spans="1:7" x14ac:dyDescent="0.2">
      <c r="A17" s="39" t="s">
        <v>350</v>
      </c>
      <c r="B17" s="16">
        <f>F41+F42+F43+F44+F45+F46+F47+F48+F49+F50+F51+F52</f>
        <v>11115766.194565764</v>
      </c>
      <c r="D17" s="57">
        <v>13</v>
      </c>
      <c r="E17" s="58">
        <f t="shared" si="0"/>
        <v>259236.76169920422</v>
      </c>
      <c r="F17" s="58">
        <f t="shared" si="1"/>
        <v>719567.31965848384</v>
      </c>
      <c r="G17" s="58">
        <f>$B$3-SUM($F$5:F17)</f>
        <v>29482773.849180836</v>
      </c>
    </row>
    <row r="18" spans="1:7" x14ac:dyDescent="0.2">
      <c r="D18" s="55">
        <v>14</v>
      </c>
      <c r="E18" s="53">
        <f t="shared" si="0"/>
        <v>253060.47553880216</v>
      </c>
      <c r="F18" s="53">
        <f t="shared" si="1"/>
        <v>725743.60581888584</v>
      </c>
      <c r="G18" s="53">
        <f>$B$3-SUM($F$5:F18)</f>
        <v>28757030.24336195</v>
      </c>
    </row>
    <row r="19" spans="1:7" x14ac:dyDescent="0.2">
      <c r="D19" s="57">
        <v>15</v>
      </c>
      <c r="E19" s="58">
        <f t="shared" si="0"/>
        <v>246831.1762555234</v>
      </c>
      <c r="F19" s="58">
        <f t="shared" si="1"/>
        <v>731972.9051021646</v>
      </c>
      <c r="G19" s="58">
        <f>$B$3-SUM($F$5:F19)</f>
        <v>28025057.338259786</v>
      </c>
    </row>
    <row r="20" spans="1:7" x14ac:dyDescent="0.2">
      <c r="D20" s="55">
        <v>16</v>
      </c>
      <c r="E20" s="53">
        <f t="shared" si="0"/>
        <v>240548.4088200632</v>
      </c>
      <c r="F20" s="53">
        <f t="shared" si="1"/>
        <v>738255.67253762484</v>
      </c>
      <c r="G20" s="53">
        <f>$B$3-SUM($F$5:F20)</f>
        <v>27286801.665722162</v>
      </c>
    </row>
    <row r="21" spans="1:7" x14ac:dyDescent="0.2">
      <c r="D21" s="57">
        <v>17</v>
      </c>
      <c r="E21" s="58">
        <f t="shared" si="0"/>
        <v>234211.71429744852</v>
      </c>
      <c r="F21" s="58">
        <f t="shared" si="1"/>
        <v>744592.36706023943</v>
      </c>
      <c r="G21" s="58">
        <f>$B$3-SUM($F$5:F21)</f>
        <v>26542209.298661921</v>
      </c>
    </row>
    <row r="22" spans="1:7" x14ac:dyDescent="0.2">
      <c r="D22" s="55">
        <v>18</v>
      </c>
      <c r="E22" s="53">
        <f t="shared" si="0"/>
        <v>227820.62981351482</v>
      </c>
      <c r="F22" s="53">
        <f t="shared" si="1"/>
        <v>750983.45154417318</v>
      </c>
      <c r="G22" s="53">
        <f>$B$3-SUM($F$5:F22)</f>
        <v>25791225.847117748</v>
      </c>
    </row>
    <row r="23" spans="1:7" x14ac:dyDescent="0.2">
      <c r="D23" s="57">
        <v>19</v>
      </c>
      <c r="E23" s="58">
        <f t="shared" si="0"/>
        <v>221374.68852109401</v>
      </c>
      <c r="F23" s="58">
        <f t="shared" si="1"/>
        <v>757429.39283659391</v>
      </c>
      <c r="G23" s="58">
        <f>$B$3-SUM($F$5:F23)</f>
        <v>25033796.454281155</v>
      </c>
    </row>
    <row r="24" spans="1:7" x14ac:dyDescent="0.2">
      <c r="D24" s="55">
        <v>20</v>
      </c>
      <c r="E24" s="53">
        <f t="shared" si="0"/>
        <v>214873.41956591324</v>
      </c>
      <c r="F24" s="53">
        <f t="shared" si="1"/>
        <v>763930.66179177468</v>
      </c>
      <c r="G24" s="53">
        <f>$B$3-SUM($F$5:F24)</f>
        <v>24269865.79248938</v>
      </c>
    </row>
    <row r="25" spans="1:7" x14ac:dyDescent="0.2">
      <c r="D25" s="57">
        <v>21</v>
      </c>
      <c r="E25" s="58">
        <f t="shared" si="0"/>
        <v>208316.34805220051</v>
      </c>
      <c r="F25" s="58">
        <f t="shared" si="1"/>
        <v>770487.73330548743</v>
      </c>
      <c r="G25" s="58">
        <f>$B$3-SUM($F$5:F25)</f>
        <v>23499378.059183892</v>
      </c>
    </row>
    <row r="26" spans="1:7" x14ac:dyDescent="0.2">
      <c r="D26" s="55">
        <v>22</v>
      </c>
      <c r="E26" s="53">
        <f t="shared" si="0"/>
        <v>201702.99500799508</v>
      </c>
      <c r="F26" s="53">
        <f t="shared" si="1"/>
        <v>777101.08634969289</v>
      </c>
      <c r="G26" s="53">
        <f>$B$3-SUM($F$5:F26)</f>
        <v>22722276.9728342</v>
      </c>
    </row>
    <row r="27" spans="1:7" x14ac:dyDescent="0.2">
      <c r="D27" s="205">
        <v>23</v>
      </c>
      <c r="E27" s="58">
        <f t="shared" si="0"/>
        <v>195032.87735016018</v>
      </c>
      <c r="F27" s="58">
        <f t="shared" si="1"/>
        <v>783771.20400752779</v>
      </c>
      <c r="G27" s="58">
        <f>$B$3-SUM($F$5:F27)</f>
        <v>21938505.768826671</v>
      </c>
    </row>
    <row r="28" spans="1:7" x14ac:dyDescent="0.2">
      <c r="D28" s="55">
        <v>24</v>
      </c>
      <c r="E28" s="53">
        <f t="shared" si="0"/>
        <v>188305.50784909559</v>
      </c>
      <c r="F28" s="53">
        <f t="shared" si="1"/>
        <v>790498.57350859244</v>
      </c>
      <c r="G28" s="53">
        <f>$B$3-SUM($F$5:F28)</f>
        <v>21148007.195318077</v>
      </c>
    </row>
    <row r="29" spans="1:7" x14ac:dyDescent="0.2">
      <c r="D29" s="205">
        <v>25</v>
      </c>
      <c r="E29" s="58">
        <f t="shared" si="0"/>
        <v>181520.39509314683</v>
      </c>
      <c r="F29" s="58">
        <f t="shared" si="1"/>
        <v>797283.68626454123</v>
      </c>
      <c r="G29" s="58">
        <f>$B$3-SUM($F$5:F29)</f>
        <v>20350723.509053536</v>
      </c>
    </row>
    <row r="30" spans="1:7" x14ac:dyDescent="0.2">
      <c r="D30" s="55">
        <v>26</v>
      </c>
      <c r="E30" s="53">
        <f t="shared" si="0"/>
        <v>174677.04345270951</v>
      </c>
      <c r="F30" s="53">
        <f t="shared" si="1"/>
        <v>804127.0379049785</v>
      </c>
      <c r="G30" s="53">
        <f>$B$3-SUM($F$5:F30)</f>
        <v>19546596.471148558</v>
      </c>
    </row>
    <row r="31" spans="1:7" x14ac:dyDescent="0.2">
      <c r="D31" s="205">
        <v>27</v>
      </c>
      <c r="E31" s="58">
        <f t="shared" si="0"/>
        <v>167774.95304402517</v>
      </c>
      <c r="F31" s="58">
        <f t="shared" si="1"/>
        <v>811029.12831366283</v>
      </c>
      <c r="G31" s="58">
        <f>$B$3-SUM($F$5:F31)</f>
        <v>18735567.342834894</v>
      </c>
    </row>
    <row r="32" spans="1:7" x14ac:dyDescent="0.2">
      <c r="D32" s="55">
        <v>28</v>
      </c>
      <c r="E32" s="53">
        <f t="shared" si="0"/>
        <v>160813.61969266619</v>
      </c>
      <c r="F32" s="53">
        <f t="shared" si="1"/>
        <v>817990.46166502184</v>
      </c>
      <c r="G32" s="53">
        <f>$B$3-SUM($F$5:F32)</f>
        <v>17917576.88116987</v>
      </c>
    </row>
    <row r="33" spans="4:7" x14ac:dyDescent="0.2">
      <c r="D33" s="205">
        <v>29</v>
      </c>
      <c r="E33" s="58">
        <f t="shared" si="0"/>
        <v>153792.53489670809</v>
      </c>
      <c r="F33" s="58">
        <f t="shared" si="1"/>
        <v>825011.54646097997</v>
      </c>
      <c r="G33" s="58">
        <f>$B$3-SUM($F$5:F33)</f>
        <v>17092565.334708892</v>
      </c>
    </row>
    <row r="34" spans="4:7" x14ac:dyDescent="0.2">
      <c r="D34" s="215">
        <v>30</v>
      </c>
      <c r="E34" s="216">
        <f t="shared" si="0"/>
        <v>146711.18578958468</v>
      </c>
      <c r="F34" s="216">
        <f t="shared" si="1"/>
        <v>832092.89556810341</v>
      </c>
      <c r="G34" s="216">
        <f>$B$3-SUM($F$5:F34)</f>
        <v>16260472.439140789</v>
      </c>
    </row>
    <row r="35" spans="4:7" x14ac:dyDescent="0.2">
      <c r="D35" s="205">
        <v>31</v>
      </c>
      <c r="E35" s="58">
        <f t="shared" si="0"/>
        <v>139569.05510262513</v>
      </c>
      <c r="F35" s="58">
        <f t="shared" si="1"/>
        <v>839235.0262550629</v>
      </c>
      <c r="G35" s="58">
        <f>$B$3-SUM($F$5:F35)</f>
        <v>15421237.412885725</v>
      </c>
    </row>
    <row r="36" spans="4:7" x14ac:dyDescent="0.2">
      <c r="D36" s="215">
        <v>32</v>
      </c>
      <c r="E36" s="216">
        <f t="shared" si="0"/>
        <v>132365.62112726914</v>
      </c>
      <c r="F36" s="216">
        <f t="shared" si="1"/>
        <v>846438.46023041883</v>
      </c>
      <c r="G36" s="216">
        <f>$B$3-SUM($F$5:F36)</f>
        <v>14574798.952655308</v>
      </c>
    </row>
    <row r="37" spans="4:7" x14ac:dyDescent="0.2">
      <c r="D37" s="205">
        <v>33</v>
      </c>
      <c r="E37" s="58">
        <f t="shared" si="0"/>
        <v>125100.35767695807</v>
      </c>
      <c r="F37" s="58">
        <f t="shared" si="1"/>
        <v>853703.72368072986</v>
      </c>
      <c r="G37" s="58">
        <f>$B$3-SUM($F$5:F37)</f>
        <v>13721095.228974577</v>
      </c>
    </row>
    <row r="38" spans="4:7" x14ac:dyDescent="0.2">
      <c r="D38" s="215">
        <v>34</v>
      </c>
      <c r="E38" s="216">
        <f t="shared" si="0"/>
        <v>117772.73404869849</v>
      </c>
      <c r="F38" s="216">
        <f t="shared" si="1"/>
        <v>861031.3473089895</v>
      </c>
      <c r="G38" s="216">
        <f>$B$3-SUM($F$5:F38)</f>
        <v>12860063.881665587</v>
      </c>
    </row>
    <row r="39" spans="4:7" x14ac:dyDescent="0.2">
      <c r="D39" s="205">
        <v>35</v>
      </c>
      <c r="E39" s="58">
        <f t="shared" si="0"/>
        <v>110382.2149842963</v>
      </c>
      <c r="F39" s="58">
        <f t="shared" si="1"/>
        <v>868421.86637339171</v>
      </c>
      <c r="G39" s="58">
        <f>$B$3-SUM($F$5:F39)</f>
        <v>11991642.015292197</v>
      </c>
    </row>
    <row r="40" spans="4:7" x14ac:dyDescent="0.2">
      <c r="D40" s="214">
        <v>36</v>
      </c>
      <c r="E40" s="216">
        <f t="shared" si="0"/>
        <v>102928.26063125802</v>
      </c>
      <c r="F40" s="216">
        <f t="shared" si="1"/>
        <v>875875.82072642993</v>
      </c>
      <c r="G40" s="216">
        <f>$B$3-SUM($F$5:F40)</f>
        <v>11115766.194565769</v>
      </c>
    </row>
    <row r="41" spans="4:7" x14ac:dyDescent="0.2">
      <c r="D41" s="205">
        <v>37</v>
      </c>
      <c r="E41" s="58">
        <f t="shared" si="0"/>
        <v>95410.326503356133</v>
      </c>
      <c r="F41" s="58">
        <f t="shared" si="1"/>
        <v>883393.75485433172</v>
      </c>
      <c r="G41" s="58">
        <f>$B$3-SUM($F$5:F41)</f>
        <v>10232372.439711437</v>
      </c>
    </row>
    <row r="42" spans="4:7" x14ac:dyDescent="0.2">
      <c r="D42" s="214">
        <v>38</v>
      </c>
      <c r="E42" s="216">
        <f t="shared" si="0"/>
        <v>87827.863440856469</v>
      </c>
      <c r="F42" s="216">
        <f t="shared" si="1"/>
        <v>890976.21791683149</v>
      </c>
      <c r="G42" s="216">
        <f>$B$3-SUM($F$5:F42)</f>
        <v>9341396.2217946053</v>
      </c>
    </row>
    <row r="43" spans="4:7" x14ac:dyDescent="0.2">
      <c r="D43" s="205">
        <v>39</v>
      </c>
      <c r="E43" s="58">
        <f t="shared" si="0"/>
        <v>80180.317570403684</v>
      </c>
      <c r="F43" s="58">
        <f t="shared" si="1"/>
        <v>898623.76378728426</v>
      </c>
      <c r="G43" s="58">
        <f>$B$3-SUM($F$5:F43)</f>
        <v>8442772.4580073208</v>
      </c>
    </row>
    <row r="44" spans="4:7" x14ac:dyDescent="0.2">
      <c r="D44" s="214">
        <v>40</v>
      </c>
      <c r="E44" s="216">
        <f t="shared" si="0"/>
        <v>72467.130264562802</v>
      </c>
      <c r="F44" s="216">
        <f t="shared" si="1"/>
        <v>906336.95109312516</v>
      </c>
      <c r="G44" s="216">
        <f>$B$3-SUM($F$5:F44)</f>
        <v>7536435.5069141947</v>
      </c>
    </row>
    <row r="45" spans="4:7" x14ac:dyDescent="0.2">
      <c r="D45" s="205">
        <v>41</v>
      </c>
      <c r="E45" s="58">
        <f t="shared" si="0"/>
        <v>64687.738101013492</v>
      </c>
      <c r="F45" s="58">
        <f t="shared" si="1"/>
        <v>914116.34325667447</v>
      </c>
      <c r="G45" s="58">
        <f>$B$3-SUM($F$5:F45)</f>
        <v>6622319.16365752</v>
      </c>
    </row>
    <row r="46" spans="4:7" x14ac:dyDescent="0.2">
      <c r="D46" s="214">
        <v>42</v>
      </c>
      <c r="E46" s="216">
        <f t="shared" si="0"/>
        <v>56841.572821393696</v>
      </c>
      <c r="F46" s="216">
        <f t="shared" si="1"/>
        <v>921962.50853629434</v>
      </c>
      <c r="G46" s="216">
        <f>$B$3-SUM($F$5:F46)</f>
        <v>5700356.6551212259</v>
      </c>
    </row>
    <row r="47" spans="4:7" x14ac:dyDescent="0.2">
      <c r="D47" s="205">
        <v>43</v>
      </c>
      <c r="E47" s="58">
        <f t="shared" si="0"/>
        <v>48928.061289790501</v>
      </c>
      <c r="F47" s="58">
        <f t="shared" si="1"/>
        <v>929876.02006789751</v>
      </c>
      <c r="G47" s="58">
        <f>$B$3-SUM($F$5:F47)</f>
        <v>4770480.6350533292</v>
      </c>
    </row>
    <row r="48" spans="4:7" x14ac:dyDescent="0.2">
      <c r="D48" s="215">
        <v>44</v>
      </c>
      <c r="E48" s="216">
        <f t="shared" si="0"/>
        <v>40946.625450874388</v>
      </c>
      <c r="F48" s="216">
        <f t="shared" si="1"/>
        <v>937857.4559068135</v>
      </c>
      <c r="G48" s="216">
        <f>$B$3-SUM($F$5:F48)</f>
        <v>3832623.1791465133</v>
      </c>
    </row>
    <row r="49" spans="4:7" x14ac:dyDescent="0.2">
      <c r="D49" s="205">
        <v>45</v>
      </c>
      <c r="E49" s="58">
        <f t="shared" si="0"/>
        <v>32896.68228767423</v>
      </c>
      <c r="F49" s="58">
        <f t="shared" si="1"/>
        <v>945907.39907001378</v>
      </c>
      <c r="G49" s="58">
        <f>$B$3-SUM($F$5:F49)</f>
        <v>2886715.7800764963</v>
      </c>
    </row>
    <row r="50" spans="4:7" x14ac:dyDescent="0.2">
      <c r="D50" s="215">
        <v>46</v>
      </c>
      <c r="E50" s="216">
        <f t="shared" si="0"/>
        <v>24777.643778989939</v>
      </c>
      <c r="F50" s="216">
        <f t="shared" si="1"/>
        <v>954026.43757869804</v>
      </c>
      <c r="G50" s="216">
        <f>$B$3-SUM($F$5:F50)</f>
        <v>1932689.3424977958</v>
      </c>
    </row>
    <row r="51" spans="4:7" x14ac:dyDescent="0.2">
      <c r="D51" s="205">
        <v>47</v>
      </c>
      <c r="E51" s="58">
        <f t="shared" si="0"/>
        <v>16588.916856439449</v>
      </c>
      <c r="F51" s="58">
        <f t="shared" si="1"/>
        <v>962215.16450124851</v>
      </c>
      <c r="G51" s="58">
        <f>$B$3-SUM($F$5:F51)</f>
        <v>970474.17799654603</v>
      </c>
    </row>
    <row r="52" spans="4:7" x14ac:dyDescent="0.2">
      <c r="D52" s="215">
        <v>48</v>
      </c>
      <c r="E52" s="216">
        <f t="shared" si="0"/>
        <v>8329.9033611370614</v>
      </c>
      <c r="F52" s="216">
        <f t="shared" si="1"/>
        <v>970474.1779965508</v>
      </c>
      <c r="G52" s="60">
        <f>$B$3-SUM($F$5:F52)</f>
        <v>0</v>
      </c>
    </row>
  </sheetData>
  <mergeCells count="2">
    <mergeCell ref="D2:G2"/>
    <mergeCell ref="A2:B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election sqref="A1:L1"/>
    </sheetView>
  </sheetViews>
  <sheetFormatPr baseColWidth="10" defaultRowHeight="12.75" x14ac:dyDescent="0.2"/>
  <cols>
    <col min="1" max="1" width="28" style="2" bestFit="1" customWidth="1"/>
    <col min="2" max="2" width="7.85546875" style="2" bestFit="1" customWidth="1"/>
    <col min="3" max="3" width="14.140625" style="2" bestFit="1" customWidth="1"/>
    <col min="4" max="4" width="12.5703125" style="2" customWidth="1"/>
    <col min="5" max="5" width="11.42578125" style="2"/>
    <col min="6" max="6" width="12.5703125" style="2" customWidth="1"/>
    <col min="7" max="11" width="11.42578125" style="2"/>
    <col min="12" max="12" width="13.85546875" style="2" customWidth="1"/>
    <col min="13" max="16384" width="11.42578125" style="2"/>
  </cols>
  <sheetData>
    <row r="1" spans="1:12" x14ac:dyDescent="0.2">
      <c r="A1" s="233" t="s">
        <v>162</v>
      </c>
      <c r="B1" s="233"/>
      <c r="C1" s="233"/>
      <c r="D1" s="233"/>
      <c r="E1" s="233"/>
      <c r="F1" s="233"/>
      <c r="G1" s="233"/>
      <c r="H1" s="233"/>
      <c r="I1" s="233"/>
      <c r="J1" s="233"/>
      <c r="K1" s="233"/>
      <c r="L1" s="233"/>
    </row>
    <row r="2" spans="1:12" ht="15" customHeight="1" x14ac:dyDescent="0.2">
      <c r="A2" s="235" t="s">
        <v>159</v>
      </c>
      <c r="B2" s="235" t="s">
        <v>160</v>
      </c>
      <c r="C2" s="235" t="s">
        <v>94</v>
      </c>
      <c r="D2" s="235" t="s">
        <v>173</v>
      </c>
      <c r="E2" s="235" t="s">
        <v>161</v>
      </c>
      <c r="F2" s="251" t="s">
        <v>177</v>
      </c>
      <c r="G2" s="235" t="s">
        <v>178</v>
      </c>
      <c r="H2" s="235"/>
      <c r="I2" s="235"/>
      <c r="J2" s="235"/>
      <c r="K2" s="235"/>
      <c r="L2" s="251" t="s">
        <v>179</v>
      </c>
    </row>
    <row r="3" spans="1:12" x14ac:dyDescent="0.2">
      <c r="A3" s="235"/>
      <c r="B3" s="235"/>
      <c r="C3" s="235"/>
      <c r="D3" s="235"/>
      <c r="E3" s="235"/>
      <c r="F3" s="251"/>
      <c r="G3" s="70" t="s">
        <v>154</v>
      </c>
      <c r="H3" s="71" t="s">
        <v>155</v>
      </c>
      <c r="I3" s="71" t="s">
        <v>156</v>
      </c>
      <c r="J3" s="71" t="s">
        <v>157</v>
      </c>
      <c r="K3" s="71" t="s">
        <v>158</v>
      </c>
      <c r="L3" s="251"/>
    </row>
    <row r="4" spans="1:12" x14ac:dyDescent="0.2">
      <c r="A4" s="106" t="s">
        <v>175</v>
      </c>
      <c r="B4" s="96">
        <v>1</v>
      </c>
      <c r="C4" s="127">
        <v>1274150</v>
      </c>
      <c r="D4" s="14">
        <f>B4*C4</f>
        <v>1274150</v>
      </c>
      <c r="E4" s="96">
        <v>10</v>
      </c>
      <c r="F4" s="36">
        <f t="shared" ref="F4:F18" si="0">D4/E4</f>
        <v>127415</v>
      </c>
      <c r="G4" s="16">
        <f>F4</f>
        <v>127415</v>
      </c>
      <c r="H4" s="36">
        <f>G4+F4</f>
        <v>254830</v>
      </c>
      <c r="I4" s="36">
        <f>H4+F4</f>
        <v>382245</v>
      </c>
      <c r="J4" s="36">
        <f>I4+F4</f>
        <v>509660</v>
      </c>
      <c r="K4" s="36">
        <f>J4+F4</f>
        <v>637075</v>
      </c>
      <c r="L4" s="16">
        <f>D4-K4</f>
        <v>637075</v>
      </c>
    </row>
    <row r="5" spans="1:12" x14ac:dyDescent="0.2">
      <c r="A5" s="106" t="s">
        <v>176</v>
      </c>
      <c r="B5" s="96">
        <v>1</v>
      </c>
      <c r="C5" s="127">
        <v>259900</v>
      </c>
      <c r="D5" s="14">
        <f>B5*C5</f>
        <v>259900</v>
      </c>
      <c r="E5" s="96">
        <v>5</v>
      </c>
      <c r="F5" s="36">
        <f t="shared" si="0"/>
        <v>51980</v>
      </c>
      <c r="G5" s="16">
        <f t="shared" ref="G5:G18" si="1">F5</f>
        <v>51980</v>
      </c>
      <c r="H5" s="36">
        <f t="shared" ref="H5:H18" si="2">G5+F5</f>
        <v>103960</v>
      </c>
      <c r="I5" s="36">
        <f t="shared" ref="I5:I18" si="3">H5+F5</f>
        <v>155940</v>
      </c>
      <c r="J5" s="36">
        <f t="shared" ref="J5:J9" si="4">I5+F5</f>
        <v>207920</v>
      </c>
      <c r="K5" s="36">
        <f t="shared" ref="K5:K9" si="5">J5+F5</f>
        <v>259900</v>
      </c>
      <c r="L5" s="16">
        <f t="shared" ref="L5:L9" si="6">D5-K5</f>
        <v>0</v>
      </c>
    </row>
    <row r="6" spans="1:12" x14ac:dyDescent="0.2">
      <c r="A6" s="32" t="s">
        <v>164</v>
      </c>
      <c r="B6" s="96">
        <v>3</v>
      </c>
      <c r="C6" s="14">
        <v>31900</v>
      </c>
      <c r="D6" s="14">
        <f>B6*C6</f>
        <v>95700</v>
      </c>
      <c r="E6" s="96">
        <v>3</v>
      </c>
      <c r="F6" s="36">
        <f t="shared" si="0"/>
        <v>31900</v>
      </c>
      <c r="G6" s="16">
        <f t="shared" si="1"/>
        <v>31900</v>
      </c>
      <c r="H6" s="36">
        <f t="shared" si="2"/>
        <v>63800</v>
      </c>
      <c r="I6" s="36">
        <f t="shared" si="3"/>
        <v>95700</v>
      </c>
      <c r="J6" s="36">
        <v>0</v>
      </c>
      <c r="K6" s="36">
        <v>0</v>
      </c>
      <c r="L6" s="16">
        <f>0</f>
        <v>0</v>
      </c>
    </row>
    <row r="7" spans="1:12" x14ac:dyDescent="0.2">
      <c r="A7" s="32" t="s">
        <v>174</v>
      </c>
      <c r="B7" s="96">
        <v>1</v>
      </c>
      <c r="C7" s="14">
        <v>54900</v>
      </c>
      <c r="D7" s="14">
        <f>B7*C7</f>
        <v>54900</v>
      </c>
      <c r="E7" s="96">
        <v>10</v>
      </c>
      <c r="F7" s="36">
        <f t="shared" si="0"/>
        <v>5490</v>
      </c>
      <c r="G7" s="16">
        <f t="shared" si="1"/>
        <v>5490</v>
      </c>
      <c r="H7" s="36">
        <f t="shared" si="2"/>
        <v>10980</v>
      </c>
      <c r="I7" s="36">
        <f t="shared" si="3"/>
        <v>16470</v>
      </c>
      <c r="J7" s="36">
        <f t="shared" si="4"/>
        <v>21960</v>
      </c>
      <c r="K7" s="36">
        <f t="shared" si="5"/>
        <v>27450</v>
      </c>
      <c r="L7" s="16">
        <f t="shared" si="6"/>
        <v>27450</v>
      </c>
    </row>
    <row r="8" spans="1:12" x14ac:dyDescent="0.2">
      <c r="A8" s="106" t="s">
        <v>70</v>
      </c>
      <c r="B8" s="96">
        <v>2</v>
      </c>
      <c r="C8" s="14">
        <v>70450</v>
      </c>
      <c r="D8" s="14">
        <f t="shared" ref="D8:D18" si="7">B8*C8</f>
        <v>140900</v>
      </c>
      <c r="E8" s="96">
        <v>12</v>
      </c>
      <c r="F8" s="36">
        <f t="shared" si="0"/>
        <v>11741.666666666666</v>
      </c>
      <c r="G8" s="16">
        <f t="shared" si="1"/>
        <v>11741.666666666666</v>
      </c>
      <c r="H8" s="36">
        <f t="shared" si="2"/>
        <v>23483.333333333332</v>
      </c>
      <c r="I8" s="36">
        <f t="shared" si="3"/>
        <v>35225</v>
      </c>
      <c r="J8" s="36">
        <f t="shared" si="4"/>
        <v>46966.666666666664</v>
      </c>
      <c r="K8" s="36">
        <f t="shared" si="5"/>
        <v>58708.333333333328</v>
      </c>
      <c r="L8" s="16">
        <f t="shared" si="6"/>
        <v>82191.666666666672</v>
      </c>
    </row>
    <row r="9" spans="1:12" x14ac:dyDescent="0.2">
      <c r="A9" s="106" t="s">
        <v>163</v>
      </c>
      <c r="B9" s="96">
        <v>1</v>
      </c>
      <c r="C9" s="17">
        <v>249900</v>
      </c>
      <c r="D9" s="14">
        <f t="shared" si="7"/>
        <v>249900</v>
      </c>
      <c r="E9" s="96">
        <v>8</v>
      </c>
      <c r="F9" s="36">
        <f t="shared" si="0"/>
        <v>31237.5</v>
      </c>
      <c r="G9" s="16">
        <f t="shared" si="1"/>
        <v>31237.5</v>
      </c>
      <c r="H9" s="36">
        <f t="shared" si="2"/>
        <v>62475</v>
      </c>
      <c r="I9" s="36">
        <f t="shared" si="3"/>
        <v>93712.5</v>
      </c>
      <c r="J9" s="36">
        <f t="shared" si="4"/>
        <v>124950</v>
      </c>
      <c r="K9" s="36">
        <f t="shared" si="5"/>
        <v>156187.5</v>
      </c>
      <c r="L9" s="16">
        <f t="shared" si="6"/>
        <v>93712.5</v>
      </c>
    </row>
    <row r="10" spans="1:12" x14ac:dyDescent="0.2">
      <c r="A10" s="2" t="s">
        <v>165</v>
      </c>
      <c r="B10" s="96">
        <v>1</v>
      </c>
      <c r="C10" s="17">
        <v>79900</v>
      </c>
      <c r="D10" s="14">
        <f t="shared" si="7"/>
        <v>79900</v>
      </c>
      <c r="E10" s="96">
        <v>3</v>
      </c>
      <c r="F10" s="36">
        <f t="shared" si="0"/>
        <v>26633.333333333332</v>
      </c>
      <c r="G10" s="16">
        <f t="shared" si="1"/>
        <v>26633.333333333332</v>
      </c>
      <c r="H10" s="36">
        <f t="shared" si="2"/>
        <v>53266.666666666664</v>
      </c>
      <c r="I10" s="36">
        <f t="shared" si="3"/>
        <v>79900</v>
      </c>
      <c r="J10" s="36">
        <v>0</v>
      </c>
      <c r="K10" s="36">
        <v>0</v>
      </c>
      <c r="L10" s="16">
        <f>0</f>
        <v>0</v>
      </c>
    </row>
    <row r="11" spans="1:12" x14ac:dyDescent="0.2">
      <c r="A11" s="2" t="s">
        <v>166</v>
      </c>
      <c r="B11" s="96">
        <v>1</v>
      </c>
      <c r="C11" s="17">
        <v>44900</v>
      </c>
      <c r="D11" s="14">
        <f t="shared" si="7"/>
        <v>44900</v>
      </c>
      <c r="E11" s="96">
        <v>3</v>
      </c>
      <c r="F11" s="36">
        <f t="shared" si="0"/>
        <v>14966.666666666666</v>
      </c>
      <c r="G11" s="16">
        <f t="shared" si="1"/>
        <v>14966.666666666666</v>
      </c>
      <c r="H11" s="36">
        <f t="shared" si="2"/>
        <v>29933.333333333332</v>
      </c>
      <c r="I11" s="36">
        <f t="shared" si="3"/>
        <v>44900</v>
      </c>
      <c r="J11" s="36">
        <v>0</v>
      </c>
      <c r="K11" s="36">
        <v>0</v>
      </c>
      <c r="L11" s="16">
        <f>0</f>
        <v>0</v>
      </c>
    </row>
    <row r="12" spans="1:12" x14ac:dyDescent="0.2">
      <c r="A12" s="2" t="s">
        <v>167</v>
      </c>
      <c r="B12" s="96">
        <v>1</v>
      </c>
      <c r="C12" s="17">
        <v>32900</v>
      </c>
      <c r="D12" s="14">
        <f t="shared" si="7"/>
        <v>32900</v>
      </c>
      <c r="E12" s="96">
        <v>3</v>
      </c>
      <c r="F12" s="36">
        <f t="shared" si="0"/>
        <v>10966.666666666666</v>
      </c>
      <c r="G12" s="16">
        <f t="shared" si="1"/>
        <v>10966.666666666666</v>
      </c>
      <c r="H12" s="36">
        <f t="shared" si="2"/>
        <v>21933.333333333332</v>
      </c>
      <c r="I12" s="36">
        <f t="shared" si="3"/>
        <v>32900</v>
      </c>
      <c r="J12" s="36">
        <v>0</v>
      </c>
      <c r="K12" s="36">
        <v>0</v>
      </c>
      <c r="L12" s="16">
        <f>0</f>
        <v>0</v>
      </c>
    </row>
    <row r="13" spans="1:12" x14ac:dyDescent="0.2">
      <c r="A13" s="2" t="s">
        <v>172</v>
      </c>
      <c r="B13" s="96">
        <v>1</v>
      </c>
      <c r="C13" s="17">
        <v>118900</v>
      </c>
      <c r="D13" s="14">
        <f t="shared" si="7"/>
        <v>118900</v>
      </c>
      <c r="E13" s="96">
        <v>3</v>
      </c>
      <c r="F13" s="36">
        <f t="shared" si="0"/>
        <v>39633.333333333336</v>
      </c>
      <c r="G13" s="16">
        <f t="shared" si="1"/>
        <v>39633.333333333336</v>
      </c>
      <c r="H13" s="36">
        <f t="shared" si="2"/>
        <v>79266.666666666672</v>
      </c>
      <c r="I13" s="36">
        <f t="shared" si="3"/>
        <v>118900</v>
      </c>
      <c r="J13" s="36">
        <v>0</v>
      </c>
      <c r="K13" s="36">
        <v>0</v>
      </c>
      <c r="L13" s="16">
        <f>0</f>
        <v>0</v>
      </c>
    </row>
    <row r="14" spans="1:12" x14ac:dyDescent="0.2">
      <c r="A14" s="2" t="s">
        <v>169</v>
      </c>
      <c r="B14" s="96">
        <v>2</v>
      </c>
      <c r="C14" s="17">
        <v>56900</v>
      </c>
      <c r="D14" s="14">
        <f t="shared" si="7"/>
        <v>113800</v>
      </c>
      <c r="E14" s="96">
        <v>3</v>
      </c>
      <c r="F14" s="36">
        <f t="shared" si="0"/>
        <v>37933.333333333336</v>
      </c>
      <c r="G14" s="16">
        <f t="shared" si="1"/>
        <v>37933.333333333336</v>
      </c>
      <c r="H14" s="36">
        <f t="shared" si="2"/>
        <v>75866.666666666672</v>
      </c>
      <c r="I14" s="36">
        <f t="shared" si="3"/>
        <v>113800</v>
      </c>
      <c r="J14" s="36">
        <v>0</v>
      </c>
      <c r="K14" s="36">
        <v>0</v>
      </c>
      <c r="L14" s="16">
        <f>0</f>
        <v>0</v>
      </c>
    </row>
    <row r="15" spans="1:12" x14ac:dyDescent="0.2">
      <c r="A15" s="2" t="s">
        <v>171</v>
      </c>
      <c r="B15" s="96">
        <v>2</v>
      </c>
      <c r="C15" s="17">
        <v>49900</v>
      </c>
      <c r="D15" s="14">
        <f t="shared" si="7"/>
        <v>99800</v>
      </c>
      <c r="E15" s="96">
        <v>3</v>
      </c>
      <c r="F15" s="36">
        <f t="shared" si="0"/>
        <v>33266.666666666664</v>
      </c>
      <c r="G15" s="16">
        <f t="shared" si="1"/>
        <v>33266.666666666664</v>
      </c>
      <c r="H15" s="36">
        <f t="shared" si="2"/>
        <v>66533.333333333328</v>
      </c>
      <c r="I15" s="36">
        <f t="shared" si="3"/>
        <v>99800</v>
      </c>
      <c r="J15" s="36">
        <v>0</v>
      </c>
      <c r="K15" s="36">
        <v>0</v>
      </c>
      <c r="L15" s="16">
        <f>0</f>
        <v>0</v>
      </c>
    </row>
    <row r="16" spans="1:12" x14ac:dyDescent="0.2">
      <c r="A16" s="2" t="s">
        <v>168</v>
      </c>
      <c r="B16" s="96">
        <v>2</v>
      </c>
      <c r="C16" s="17">
        <v>14900</v>
      </c>
      <c r="D16" s="14">
        <f t="shared" si="7"/>
        <v>29800</v>
      </c>
      <c r="E16" s="96">
        <v>3</v>
      </c>
      <c r="F16" s="36">
        <f t="shared" si="0"/>
        <v>9933.3333333333339</v>
      </c>
      <c r="G16" s="16">
        <f t="shared" si="1"/>
        <v>9933.3333333333339</v>
      </c>
      <c r="H16" s="36">
        <f t="shared" si="2"/>
        <v>19866.666666666668</v>
      </c>
      <c r="I16" s="36">
        <f t="shared" si="3"/>
        <v>29800</v>
      </c>
      <c r="J16" s="36">
        <v>0</v>
      </c>
      <c r="K16" s="36">
        <v>0</v>
      </c>
      <c r="L16" s="16">
        <f>0</f>
        <v>0</v>
      </c>
    </row>
    <row r="17" spans="1:12" x14ac:dyDescent="0.2">
      <c r="A17" s="2" t="s">
        <v>344</v>
      </c>
      <c r="B17" s="96">
        <v>50</v>
      </c>
      <c r="C17" s="17">
        <v>600</v>
      </c>
      <c r="D17" s="14">
        <f t="shared" si="7"/>
        <v>30000</v>
      </c>
      <c r="E17" s="96">
        <v>3</v>
      </c>
      <c r="F17" s="36">
        <f t="shared" si="0"/>
        <v>10000</v>
      </c>
      <c r="G17" s="16">
        <f t="shared" si="1"/>
        <v>10000</v>
      </c>
      <c r="H17" s="36">
        <f t="shared" si="2"/>
        <v>20000</v>
      </c>
      <c r="I17" s="36">
        <f t="shared" si="3"/>
        <v>30000</v>
      </c>
      <c r="J17" s="36">
        <v>0</v>
      </c>
      <c r="K17" s="36">
        <v>0</v>
      </c>
      <c r="L17" s="16">
        <f>0</f>
        <v>0</v>
      </c>
    </row>
    <row r="18" spans="1:12" x14ac:dyDescent="0.2">
      <c r="A18" s="2" t="s">
        <v>170</v>
      </c>
      <c r="B18" s="96">
        <v>3</v>
      </c>
      <c r="C18" s="17">
        <v>9900</v>
      </c>
      <c r="D18" s="14">
        <f t="shared" si="7"/>
        <v>29700</v>
      </c>
      <c r="E18" s="96">
        <v>3</v>
      </c>
      <c r="F18" s="36">
        <f t="shared" si="0"/>
        <v>9900</v>
      </c>
      <c r="G18" s="16">
        <f t="shared" si="1"/>
        <v>9900</v>
      </c>
      <c r="H18" s="36">
        <f t="shared" si="2"/>
        <v>19800</v>
      </c>
      <c r="I18" s="36">
        <f t="shared" si="3"/>
        <v>29700</v>
      </c>
      <c r="J18" s="36">
        <v>0</v>
      </c>
      <c r="K18" s="36">
        <v>0</v>
      </c>
      <c r="L18" s="16">
        <f>0</f>
        <v>0</v>
      </c>
    </row>
    <row r="19" spans="1:12" x14ac:dyDescent="0.2">
      <c r="A19" s="260" t="s">
        <v>180</v>
      </c>
      <c r="B19" s="260"/>
      <c r="C19" s="260"/>
      <c r="D19" s="260"/>
      <c r="E19" s="260"/>
      <c r="F19" s="260"/>
      <c r="G19" s="169">
        <f t="shared" ref="G19:L19" si="8">SUM(G4:G18)</f>
        <v>452997.5</v>
      </c>
      <c r="H19" s="169">
        <f t="shared" si="8"/>
        <v>905995</v>
      </c>
      <c r="I19" s="169">
        <f t="shared" si="8"/>
        <v>1358992.5</v>
      </c>
      <c r="J19" s="169">
        <f t="shared" si="8"/>
        <v>911456.66666666663</v>
      </c>
      <c r="K19" s="169">
        <f t="shared" si="8"/>
        <v>1139320.8333333335</v>
      </c>
      <c r="L19" s="169">
        <f t="shared" si="8"/>
        <v>840429.16666666663</v>
      </c>
    </row>
    <row r="21" spans="1:12" x14ac:dyDescent="0.2">
      <c r="B21" s="244" t="s">
        <v>304</v>
      </c>
      <c r="C21" s="244"/>
      <c r="D21" s="124">
        <f>D4+D5+D6+D7+D8+D9+D10+D11+D12+D13+D14+D15+D16+D17+D18</f>
        <v>2655150</v>
      </c>
    </row>
  </sheetData>
  <mergeCells count="11">
    <mergeCell ref="B21:C21"/>
    <mergeCell ref="D2:D3"/>
    <mergeCell ref="L2:L3"/>
    <mergeCell ref="A1:L1"/>
    <mergeCell ref="F2:F3"/>
    <mergeCell ref="A19:F19"/>
    <mergeCell ref="A2:A3"/>
    <mergeCell ref="B2:B3"/>
    <mergeCell ref="C2:C3"/>
    <mergeCell ref="E2:E3"/>
    <mergeCell ref="G2:K2"/>
  </mergeCells>
  <pageMargins left="0.7" right="0.7" top="0.75" bottom="0.75" header="0.3" footer="0.3"/>
  <ignoredErrors>
    <ignoredError sqref="L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baseColWidth="10"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4" workbookViewId="0">
      <selection activeCell="D29" sqref="D29"/>
    </sheetView>
  </sheetViews>
  <sheetFormatPr baseColWidth="10" defaultRowHeight="12.75" x14ac:dyDescent="0.2"/>
  <cols>
    <col min="1" max="1" width="30" style="2" bestFit="1" customWidth="1"/>
    <col min="2" max="2" width="13.42578125" style="2" bestFit="1" customWidth="1"/>
    <col min="3" max="6" width="13" style="2" bestFit="1" customWidth="1"/>
    <col min="7" max="7" width="11.42578125" style="2"/>
    <col min="8" max="9" width="12.7109375" style="2" bestFit="1" customWidth="1"/>
    <col min="10" max="16384" width="11.42578125" style="2"/>
  </cols>
  <sheetData>
    <row r="1" spans="1:9" x14ac:dyDescent="0.2">
      <c r="A1" s="114" t="s">
        <v>250</v>
      </c>
      <c r="C1" s="115">
        <v>3.1600000000000003E-2</v>
      </c>
      <c r="D1" s="242" t="s">
        <v>251</v>
      </c>
      <c r="E1" s="242"/>
      <c r="F1" s="116">
        <v>0.05</v>
      </c>
    </row>
    <row r="3" spans="1:9" x14ac:dyDescent="0.2">
      <c r="A3" s="233" t="s">
        <v>255</v>
      </c>
      <c r="B3" s="233"/>
      <c r="C3" s="233"/>
      <c r="D3" s="233"/>
      <c r="E3" s="233"/>
      <c r="F3" s="233"/>
    </row>
    <row r="4" spans="1:9" x14ac:dyDescent="0.2">
      <c r="A4" s="233" t="s">
        <v>256</v>
      </c>
      <c r="B4" s="233"/>
      <c r="C4" s="233"/>
      <c r="D4" s="233"/>
      <c r="E4" s="233"/>
      <c r="F4" s="233"/>
    </row>
    <row r="5" spans="1:9" x14ac:dyDescent="0.2">
      <c r="A5" s="10" t="s">
        <v>159</v>
      </c>
      <c r="B5" s="10" t="s">
        <v>61</v>
      </c>
      <c r="C5" s="10" t="s">
        <v>62</v>
      </c>
      <c r="D5" s="10" t="s">
        <v>63</v>
      </c>
      <c r="E5" s="10" t="s">
        <v>64</v>
      </c>
      <c r="F5" s="10" t="s">
        <v>65</v>
      </c>
    </row>
    <row r="6" spans="1:9" x14ac:dyDescent="0.2">
      <c r="A6" s="2" t="s">
        <v>253</v>
      </c>
      <c r="B6" s="17">
        <f>PyG!B3</f>
        <v>210000000</v>
      </c>
      <c r="C6" s="17">
        <f>(B6*C1)+(B6*F1)+B6</f>
        <v>227136000</v>
      </c>
      <c r="D6" s="17">
        <f>(C6*C1)+(C6*C1)+C6</f>
        <v>241490995.19999999</v>
      </c>
      <c r="E6" s="17">
        <f>(D6*C1)+(D6*C1)+D6</f>
        <v>256753226.09663999</v>
      </c>
      <c r="F6" s="17">
        <f>(E6*C1)+(E6*C1)+E6</f>
        <v>272980029.98594767</v>
      </c>
    </row>
    <row r="7" spans="1:9" x14ac:dyDescent="0.2">
      <c r="A7" s="2" t="s">
        <v>269</v>
      </c>
      <c r="B7" s="17">
        <f>'Aportes y Financiación'!B17</f>
        <v>16446039</v>
      </c>
      <c r="C7" s="17">
        <v>0</v>
      </c>
      <c r="D7" s="17">
        <f>(C7*C1)+(C7*C1)+C7</f>
        <v>0</v>
      </c>
      <c r="E7" s="17">
        <f>(D7*C1)+(D7*C1)+D7</f>
        <v>0</v>
      </c>
      <c r="F7" s="17">
        <f>(E7*C1)+(E7*C1)+E7</f>
        <v>0</v>
      </c>
    </row>
    <row r="8" spans="1:9" ht="13.5" thickBot="1" x14ac:dyDescent="0.25">
      <c r="A8" s="2" t="s">
        <v>264</v>
      </c>
      <c r="B8" s="17">
        <f>'Aportes y Financiación'!B21</f>
        <v>38374091</v>
      </c>
      <c r="C8" s="17">
        <v>0</v>
      </c>
      <c r="D8" s="17">
        <f>(C8*C1)+(C8*C1)+C8</f>
        <v>0</v>
      </c>
      <c r="E8" s="17">
        <f>(D8*C1)+(D8*C1)+D8</f>
        <v>0</v>
      </c>
      <c r="F8" s="17">
        <f>(E8*C1)+(E8*C1)+E8</f>
        <v>0</v>
      </c>
      <c r="H8" s="119">
        <v>362851242</v>
      </c>
      <c r="I8" s="111">
        <f>H8-I25</f>
        <v>307574638</v>
      </c>
    </row>
    <row r="9" spans="1:9" ht="13.5" thickBot="1" x14ac:dyDescent="0.25">
      <c r="A9" s="123" t="s">
        <v>72</v>
      </c>
      <c r="B9" s="124">
        <f>SUM(B6:B8)</f>
        <v>264820130</v>
      </c>
      <c r="C9" s="124">
        <f>SUM(C6:C8)</f>
        <v>227136000</v>
      </c>
      <c r="D9" s="124">
        <f>SUM(D6:D8)</f>
        <v>241490995.19999999</v>
      </c>
      <c r="E9" s="124">
        <f>SUM(E6:E8)</f>
        <v>256753226.09663999</v>
      </c>
      <c r="F9" s="124">
        <f>SUM(F6:F8)</f>
        <v>272980029.98594767</v>
      </c>
      <c r="H9" s="118">
        <v>254419222</v>
      </c>
    </row>
    <row r="10" spans="1:9" ht="13.5" thickBot="1" x14ac:dyDescent="0.25">
      <c r="A10" s="233" t="s">
        <v>257</v>
      </c>
      <c r="B10" s="233"/>
      <c r="C10" s="233"/>
      <c r="D10" s="233"/>
      <c r="E10" s="233"/>
      <c r="F10" s="233"/>
      <c r="H10" s="120">
        <v>108432019</v>
      </c>
      <c r="I10" s="111">
        <f>H8-H9</f>
        <v>108432020</v>
      </c>
    </row>
    <row r="11" spans="1:9" ht="13.5" thickBot="1" x14ac:dyDescent="0.25">
      <c r="A11" s="2" t="s">
        <v>259</v>
      </c>
      <c r="B11" s="17">
        <f>Depreciaciones!D21</f>
        <v>2655150</v>
      </c>
      <c r="C11" s="72">
        <v>0</v>
      </c>
      <c r="D11" s="72">
        <v>0</v>
      </c>
      <c r="E11" s="72">
        <v>0</v>
      </c>
      <c r="F11" s="72">
        <v>0</v>
      </c>
      <c r="H11" s="119">
        <v>8571562</v>
      </c>
      <c r="I11" s="111">
        <f>I10-H11</f>
        <v>99860458</v>
      </c>
    </row>
    <row r="12" spans="1:9" ht="13.5" thickBot="1" x14ac:dyDescent="0.25">
      <c r="A12" s="2" t="s">
        <v>261</v>
      </c>
      <c r="B12" s="17">
        <f>Inversiones!B19</f>
        <v>4000</v>
      </c>
      <c r="C12" s="72">
        <v>0</v>
      </c>
      <c r="D12" s="72">
        <v>0</v>
      </c>
      <c r="E12" s="72">
        <v>0</v>
      </c>
      <c r="F12" s="72">
        <v>0</v>
      </c>
      <c r="H12" s="120">
        <v>99860457</v>
      </c>
      <c r="I12" s="111">
        <f>I10+I11</f>
        <v>208292478</v>
      </c>
    </row>
    <row r="13" spans="1:9" ht="15.75" thickBot="1" x14ac:dyDescent="0.25">
      <c r="A13" s="2" t="s">
        <v>254</v>
      </c>
      <c r="B13" s="14">
        <v>4250081.0480548367</v>
      </c>
      <c r="C13" s="14">
        <v>3200511.9403562881</v>
      </c>
      <c r="D13" s="19">
        <v>2037584.8530443718</v>
      </c>
      <c r="E13" s="14">
        <v>749056.63657536323</v>
      </c>
      <c r="F13" s="72">
        <v>0</v>
      </c>
      <c r="H13" s="122"/>
    </row>
    <row r="14" spans="1:9" ht="15.75" thickBot="1" x14ac:dyDescent="0.25">
      <c r="A14" s="64" t="s">
        <v>260</v>
      </c>
      <c r="B14" s="14">
        <v>55354797.5</v>
      </c>
      <c r="C14" s="14">
        <v>57540861.82</v>
      </c>
      <c r="D14" s="14">
        <v>59781633.282618001</v>
      </c>
      <c r="E14" s="14">
        <v>61178305.476655968</v>
      </c>
      <c r="F14" s="14">
        <v>63308593.170757972</v>
      </c>
      <c r="H14" s="122"/>
    </row>
    <row r="15" spans="1:9" ht="13.5" thickBot="1" x14ac:dyDescent="0.25">
      <c r="A15" s="64" t="s">
        <v>258</v>
      </c>
      <c r="B15" s="14">
        <v>14252360</v>
      </c>
      <c r="C15" s="14">
        <v>14702259.497333335</v>
      </c>
      <c r="D15" s="14">
        <v>15166360.822132489</v>
      </c>
      <c r="E15" s="14">
        <v>15645112.278751137</v>
      </c>
      <c r="F15" s="14">
        <v>16138976.323017048</v>
      </c>
      <c r="H15" s="119">
        <v>-308662465</v>
      </c>
    </row>
    <row r="16" spans="1:9" x14ac:dyDescent="0.2">
      <c r="A16" s="2" t="s">
        <v>262</v>
      </c>
      <c r="B16" s="14">
        <v>105274800</v>
      </c>
      <c r="C16" s="14">
        <v>108599025.81666666</v>
      </c>
      <c r="D16" s="14">
        <v>112028150.87802745</v>
      </c>
      <c r="E16" s="14">
        <v>115565554.08685187</v>
      </c>
      <c r="F16" s="14">
        <v>119214654.43767858</v>
      </c>
    </row>
    <row r="17" spans="1:9" ht="13.5" thickBot="1" x14ac:dyDescent="0.25">
      <c r="A17" s="123" t="s">
        <v>72</v>
      </c>
      <c r="B17" s="124">
        <f>SUM(B11:B16)</f>
        <v>181791188.54805484</v>
      </c>
      <c r="C17" s="125">
        <f>SUM(C11:C16)</f>
        <v>184042659.07435629</v>
      </c>
      <c r="D17" s="125">
        <f>SUM(D11:D16)</f>
        <v>189013729.83582231</v>
      </c>
      <c r="E17" s="125">
        <f>SUM(E11:E16)</f>
        <v>193138028.47883433</v>
      </c>
      <c r="F17" s="125"/>
      <c r="H17" s="118"/>
    </row>
    <row r="18" spans="1:9" x14ac:dyDescent="0.2">
      <c r="A18" s="126" t="s">
        <v>263</v>
      </c>
      <c r="B18" s="76">
        <f>B9-B17</f>
        <v>83028941.451945156</v>
      </c>
      <c r="C18" s="76">
        <f t="shared" ref="C18:F18" si="0">C9-C17</f>
        <v>43093340.925643712</v>
      </c>
      <c r="D18" s="76">
        <f t="shared" si="0"/>
        <v>52477265.364177674</v>
      </c>
      <c r="E18" s="76">
        <f t="shared" si="0"/>
        <v>63615197.61780566</v>
      </c>
      <c r="F18" s="76">
        <f t="shared" si="0"/>
        <v>272980029.98594767</v>
      </c>
      <c r="H18" s="111"/>
    </row>
    <row r="19" spans="1:9" ht="13.5" thickBot="1" x14ac:dyDescent="0.25">
      <c r="H19" s="121">
        <v>276383022</v>
      </c>
      <c r="I19" s="111">
        <f>H19+H20+H23</f>
        <v>292482656</v>
      </c>
    </row>
    <row r="20" spans="1:9" ht="13.5" thickBot="1" x14ac:dyDescent="0.25">
      <c r="H20" s="121">
        <v>7692485</v>
      </c>
    </row>
    <row r="21" spans="1:9" ht="13.5" thickBot="1" x14ac:dyDescent="0.25">
      <c r="B21" s="111"/>
      <c r="H21" s="118">
        <v>22275000</v>
      </c>
    </row>
    <row r="22" spans="1:9" x14ac:dyDescent="0.2">
      <c r="A22" s="233" t="s">
        <v>256</v>
      </c>
      <c r="B22" s="233"/>
      <c r="C22" s="233"/>
      <c r="D22" s="233"/>
      <c r="E22" s="233"/>
      <c r="F22" s="233"/>
    </row>
    <row r="23" spans="1:9" ht="13.5" thickBot="1" x14ac:dyDescent="0.25">
      <c r="A23" s="10" t="s">
        <v>159</v>
      </c>
      <c r="B23" s="10" t="s">
        <v>61</v>
      </c>
      <c r="C23" s="10" t="s">
        <v>62</v>
      </c>
      <c r="D23" s="10" t="s">
        <v>63</v>
      </c>
      <c r="E23" s="10" t="s">
        <v>64</v>
      </c>
      <c r="F23" s="10" t="s">
        <v>65</v>
      </c>
      <c r="H23" s="118">
        <v>8407149</v>
      </c>
    </row>
    <row r="24" spans="1:9" ht="13.5" thickBot="1" x14ac:dyDescent="0.25">
      <c r="A24" s="2" t="s">
        <v>270</v>
      </c>
      <c r="B24" s="17">
        <f>PyG!B22</f>
        <v>0</v>
      </c>
      <c r="C24" s="17">
        <f>(B24*C19)+(B24*F19)+B24</f>
        <v>0</v>
      </c>
      <c r="D24" s="17">
        <f>(C24*C19)+(C24*C19)+C24</f>
        <v>0</v>
      </c>
      <c r="E24" s="17">
        <f>(D24*C19)+(D24*C19)+D24</f>
        <v>0</v>
      </c>
      <c r="F24" s="17">
        <f>(E24*C19)+(E24*C19)+E24</f>
        <v>0</v>
      </c>
      <c r="I24" s="119">
        <v>-308662465</v>
      </c>
    </row>
    <row r="25" spans="1:9" ht="13.5" thickBot="1" x14ac:dyDescent="0.25">
      <c r="A25" s="2" t="s">
        <v>269</v>
      </c>
      <c r="B25" s="17">
        <f>'Aportes y Financiación'!B35</f>
        <v>0</v>
      </c>
      <c r="C25" s="17">
        <v>0</v>
      </c>
      <c r="D25" s="17">
        <f>(C25*C19)+(C25*C19)+C25</f>
        <v>0</v>
      </c>
      <c r="E25" s="17">
        <f>(D25*C19)+(D25*C19)+D25</f>
        <v>0</v>
      </c>
      <c r="F25" s="17">
        <f>(E25*C19)+(E25*C19)+E25</f>
        <v>0</v>
      </c>
      <c r="I25" s="119">
        <v>55276604</v>
      </c>
    </row>
    <row r="26" spans="1:9" x14ac:dyDescent="0.2">
      <c r="A26" s="2" t="s">
        <v>264</v>
      </c>
      <c r="B26" s="17">
        <f>'Aportes y Financiación'!B39</f>
        <v>0</v>
      </c>
      <c r="C26" s="17">
        <v>0</v>
      </c>
      <c r="D26" s="17">
        <f>(C26*C19)+(C26*C19)+C26</f>
        <v>0</v>
      </c>
      <c r="E26" s="17">
        <f>(D26*C19)+(D26*C19)+D26</f>
        <v>0</v>
      </c>
      <c r="F26" s="17">
        <f>(E26*C19)+(E26*C19)+E26</f>
        <v>0</v>
      </c>
    </row>
    <row r="27" spans="1:9" x14ac:dyDescent="0.2">
      <c r="A27" s="123" t="s">
        <v>72</v>
      </c>
      <c r="B27" s="124">
        <f>SUM(B24:B26)</f>
        <v>0</v>
      </c>
      <c r="C27" s="124">
        <f>SUM(C24:C26)</f>
        <v>0</v>
      </c>
      <c r="D27" s="124">
        <f>SUM(D24:D26)</f>
        <v>0</v>
      </c>
      <c r="E27" s="124">
        <f>SUM(E24:E26)</f>
        <v>0</v>
      </c>
      <c r="F27" s="124">
        <f>SUM(F24:F26)</f>
        <v>0</v>
      </c>
    </row>
    <row r="28" spans="1:9" x14ac:dyDescent="0.2">
      <c r="A28" s="233" t="s">
        <v>257</v>
      </c>
      <c r="B28" s="233"/>
      <c r="C28" s="233"/>
      <c r="D28" s="233"/>
      <c r="E28" s="233"/>
      <c r="F28" s="233"/>
    </row>
    <row r="29" spans="1:9" x14ac:dyDescent="0.2">
      <c r="A29" s="2" t="s">
        <v>259</v>
      </c>
      <c r="B29" s="17">
        <f>Depreciaciones!B17</f>
        <v>50</v>
      </c>
      <c r="C29" s="72">
        <v>0</v>
      </c>
      <c r="D29" s="72">
        <v>0</v>
      </c>
      <c r="E29" s="72">
        <v>0</v>
      </c>
      <c r="F29" s="72">
        <v>0</v>
      </c>
    </row>
    <row r="30" spans="1:9" x14ac:dyDescent="0.2">
      <c r="A30" s="2" t="s">
        <v>261</v>
      </c>
      <c r="B30" s="17">
        <f>Inversiones!B37</f>
        <v>0</v>
      </c>
      <c r="C30" s="72">
        <v>0</v>
      </c>
      <c r="D30" s="72">
        <v>0</v>
      </c>
      <c r="E30" s="72">
        <v>0</v>
      </c>
      <c r="F30" s="72">
        <v>0</v>
      </c>
    </row>
    <row r="31" spans="1:9" x14ac:dyDescent="0.2">
      <c r="A31" s="2" t="s">
        <v>254</v>
      </c>
      <c r="B31" s="14">
        <v>4250081.0480548367</v>
      </c>
      <c r="C31" s="14">
        <v>3200511.9403562881</v>
      </c>
      <c r="D31" s="19">
        <v>2037584.8530443718</v>
      </c>
      <c r="E31" s="14">
        <v>749056.63657536323</v>
      </c>
      <c r="F31" s="72">
        <v>0</v>
      </c>
    </row>
    <row r="32" spans="1:9" x14ac:dyDescent="0.2">
      <c r="A32" s="64" t="s">
        <v>260</v>
      </c>
      <c r="B32" s="14">
        <v>55354797.5</v>
      </c>
      <c r="C32" s="14">
        <v>57540861.82</v>
      </c>
      <c r="D32" s="14">
        <v>59781633.282618001</v>
      </c>
      <c r="E32" s="14">
        <v>61178305.476655968</v>
      </c>
      <c r="F32" s="14">
        <v>63308593.170757972</v>
      </c>
    </row>
    <row r="33" spans="1:6" x14ac:dyDescent="0.2">
      <c r="A33" s="64" t="s">
        <v>258</v>
      </c>
      <c r="B33" s="14">
        <v>14252360</v>
      </c>
      <c r="C33" s="14">
        <v>14702259.497333335</v>
      </c>
      <c r="D33" s="14">
        <v>15166360.822132489</v>
      </c>
      <c r="E33" s="14">
        <v>15645112.278751137</v>
      </c>
      <c r="F33" s="14">
        <v>16138976.323017048</v>
      </c>
    </row>
    <row r="34" spans="1:6" x14ac:dyDescent="0.2">
      <c r="A34" s="2" t="s">
        <v>262</v>
      </c>
      <c r="B34" s="14">
        <v>105274800</v>
      </c>
      <c r="C34" s="14">
        <v>108599025.81666666</v>
      </c>
      <c r="D34" s="14">
        <v>112028150.87802745</v>
      </c>
      <c r="E34" s="14">
        <v>115565554.08685187</v>
      </c>
      <c r="F34" s="14">
        <v>119214654.43767858</v>
      </c>
    </row>
    <row r="35" spans="1:6" x14ac:dyDescent="0.2">
      <c r="A35" s="123" t="s">
        <v>72</v>
      </c>
      <c r="B35" s="124">
        <f>SUM(B29:B34)</f>
        <v>179132088.54805484</v>
      </c>
      <c r="C35" s="125">
        <f>SUM(C29:C34)</f>
        <v>184042659.07435629</v>
      </c>
      <c r="D35" s="125">
        <f>SUM(D29:D34)</f>
        <v>189013729.83582231</v>
      </c>
      <c r="E35" s="125">
        <f>SUM(E29:E34)</f>
        <v>193138028.47883433</v>
      </c>
      <c r="F35" s="125"/>
    </row>
    <row r="36" spans="1:6" x14ac:dyDescent="0.2">
      <c r="A36" s="126" t="s">
        <v>263</v>
      </c>
      <c r="B36" s="76">
        <f>B27-B35</f>
        <v>-179132088.54805484</v>
      </c>
      <c r="C36" s="76">
        <f t="shared" ref="C36" si="1">C27-C35</f>
        <v>-184042659.07435629</v>
      </c>
      <c r="D36" s="76">
        <f t="shared" ref="D36" si="2">D27-D35</f>
        <v>-189013729.83582231</v>
      </c>
      <c r="E36" s="76">
        <f t="shared" ref="E36" si="3">E27-E35</f>
        <v>-193138028.47883433</v>
      </c>
      <c r="F36" s="76">
        <f t="shared" ref="F36" si="4">F27-F35</f>
        <v>0</v>
      </c>
    </row>
  </sheetData>
  <mergeCells count="6">
    <mergeCell ref="A28:F28"/>
    <mergeCell ref="A3:F3"/>
    <mergeCell ref="A4:F4"/>
    <mergeCell ref="A10:F10"/>
    <mergeCell ref="D1:E1"/>
    <mergeCell ref="A22:F2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sqref="A1:D1"/>
    </sheetView>
  </sheetViews>
  <sheetFormatPr baseColWidth="10" defaultRowHeight="15" x14ac:dyDescent="0.25"/>
  <cols>
    <col min="1" max="1" width="29.85546875" customWidth="1"/>
    <col min="2" max="2" width="12.85546875" bestFit="1" customWidth="1"/>
    <col min="3" max="3" width="8.28515625" customWidth="1"/>
    <col min="4" max="4" width="17.140625" bestFit="1" customWidth="1"/>
    <col min="7" max="7" width="12.5703125" bestFit="1" customWidth="1"/>
  </cols>
  <sheetData>
    <row r="1" spans="1:7" x14ac:dyDescent="0.25">
      <c r="A1" s="230" t="s">
        <v>149</v>
      </c>
      <c r="B1" s="230"/>
      <c r="C1" s="230"/>
      <c r="D1" s="230"/>
    </row>
    <row r="2" spans="1:7" ht="25.5" x14ac:dyDescent="0.25">
      <c r="A2" s="146" t="s">
        <v>145</v>
      </c>
      <c r="B2" s="146" t="s">
        <v>135</v>
      </c>
      <c r="C2" s="151" t="s">
        <v>136</v>
      </c>
      <c r="D2" s="146" t="s">
        <v>146</v>
      </c>
    </row>
    <row r="3" spans="1:7" x14ac:dyDescent="0.25">
      <c r="A3" s="13" t="s">
        <v>71</v>
      </c>
      <c r="B3" s="14">
        <v>31900</v>
      </c>
      <c r="C3" s="3">
        <v>1</v>
      </c>
      <c r="D3" s="36">
        <f t="shared" ref="D3:D17" si="0">B3*C3</f>
        <v>31900</v>
      </c>
    </row>
    <row r="4" spans="1:7" x14ac:dyDescent="0.25">
      <c r="A4" s="13" t="s">
        <v>17</v>
      </c>
      <c r="B4" s="14">
        <v>140900</v>
      </c>
      <c r="C4" s="3">
        <v>1</v>
      </c>
      <c r="D4" s="36">
        <f t="shared" si="0"/>
        <v>140900</v>
      </c>
    </row>
    <row r="5" spans="1:7" x14ac:dyDescent="0.25">
      <c r="A5" s="7" t="s">
        <v>67</v>
      </c>
      <c r="B5" s="15">
        <v>600000</v>
      </c>
      <c r="C5" s="3">
        <v>1</v>
      </c>
      <c r="D5" s="36">
        <f t="shared" si="0"/>
        <v>600000</v>
      </c>
    </row>
    <row r="6" spans="1:7" x14ac:dyDescent="0.25">
      <c r="A6" s="3" t="s">
        <v>73</v>
      </c>
      <c r="B6" s="14">
        <f>'Detalle - CP '!D26</f>
        <v>2400000</v>
      </c>
      <c r="C6" s="3">
        <v>3</v>
      </c>
      <c r="D6" s="36">
        <f t="shared" si="0"/>
        <v>7200000</v>
      </c>
    </row>
    <row r="7" spans="1:7" x14ac:dyDescent="0.25">
      <c r="A7" s="3" t="s">
        <v>105</v>
      </c>
      <c r="B7" s="14">
        <f>'Detalle - CP '!D31</f>
        <v>166500</v>
      </c>
      <c r="C7" s="3">
        <v>3</v>
      </c>
      <c r="D7" s="36">
        <f t="shared" si="0"/>
        <v>499500</v>
      </c>
    </row>
    <row r="8" spans="1:7" x14ac:dyDescent="0.25">
      <c r="A8" s="3" t="s">
        <v>74</v>
      </c>
      <c r="B8" s="14">
        <f>'Detalle - CP '!D37</f>
        <v>562000</v>
      </c>
      <c r="C8" s="3">
        <v>3</v>
      </c>
      <c r="D8" s="36">
        <f t="shared" si="0"/>
        <v>1686000</v>
      </c>
    </row>
    <row r="9" spans="1:7" x14ac:dyDescent="0.25">
      <c r="A9" s="3" t="s">
        <v>307</v>
      </c>
      <c r="B9" s="14">
        <f>(Nómina!G15)/12</f>
        <v>6750000</v>
      </c>
      <c r="C9" s="3">
        <v>3</v>
      </c>
      <c r="D9" s="36">
        <f t="shared" si="0"/>
        <v>20250000</v>
      </c>
    </row>
    <row r="10" spans="1:7" x14ac:dyDescent="0.25">
      <c r="A10" s="13" t="s">
        <v>308</v>
      </c>
      <c r="B10" s="17">
        <f>'Detalle - CP '!D42</f>
        <v>350000</v>
      </c>
      <c r="C10" s="3">
        <v>3</v>
      </c>
      <c r="D10" s="36">
        <f t="shared" si="0"/>
        <v>1050000</v>
      </c>
    </row>
    <row r="11" spans="1:7" ht="25.5" x14ac:dyDescent="0.25">
      <c r="A11" s="18" t="s">
        <v>309</v>
      </c>
      <c r="B11" s="49">
        <f>'Detalle - CP '!D44</f>
        <v>50000</v>
      </c>
      <c r="C11" s="7">
        <v>3</v>
      </c>
      <c r="D11" s="50">
        <f t="shared" si="0"/>
        <v>150000</v>
      </c>
    </row>
    <row r="12" spans="1:7" x14ac:dyDescent="0.25">
      <c r="A12" s="2" t="s">
        <v>310</v>
      </c>
      <c r="B12" s="37">
        <f>Nómina!F6</f>
        <v>750000</v>
      </c>
      <c r="C12" s="3">
        <v>3</v>
      </c>
      <c r="D12" s="36">
        <f t="shared" si="0"/>
        <v>2250000</v>
      </c>
    </row>
    <row r="13" spans="1:7" x14ac:dyDescent="0.25">
      <c r="A13" s="3" t="s">
        <v>66</v>
      </c>
      <c r="B13" s="37">
        <f>'Costos y Gastos '!B20/12</f>
        <v>291666.66666666669</v>
      </c>
      <c r="C13" s="3">
        <v>3</v>
      </c>
      <c r="D13" s="36">
        <f t="shared" si="0"/>
        <v>875000</v>
      </c>
      <c r="G13" s="1"/>
    </row>
    <row r="14" spans="1:7" x14ac:dyDescent="0.25">
      <c r="A14" s="3" t="s">
        <v>311</v>
      </c>
      <c r="B14" s="37">
        <f>'Costos y Gastos '!B21/12</f>
        <v>161000</v>
      </c>
      <c r="C14" s="3">
        <v>3</v>
      </c>
      <c r="D14" s="36">
        <f t="shared" si="0"/>
        <v>483000</v>
      </c>
    </row>
    <row r="15" spans="1:7" x14ac:dyDescent="0.25">
      <c r="A15" s="18" t="s">
        <v>356</v>
      </c>
      <c r="B15" s="30">
        <f>Nómina!F3</f>
        <v>750000</v>
      </c>
      <c r="C15" s="3">
        <v>3</v>
      </c>
      <c r="D15" s="36">
        <f t="shared" si="0"/>
        <v>2250000</v>
      </c>
    </row>
    <row r="16" spans="1:7" x14ac:dyDescent="0.25">
      <c r="A16" s="18" t="s">
        <v>355</v>
      </c>
      <c r="B16" s="30">
        <f>Nómina!F4</f>
        <v>750000</v>
      </c>
      <c r="C16" s="3">
        <v>3</v>
      </c>
      <c r="D16" s="36">
        <f t="shared" si="0"/>
        <v>2250000</v>
      </c>
    </row>
    <row r="17" spans="1:7" x14ac:dyDescent="0.25">
      <c r="A17" s="18" t="s">
        <v>357</v>
      </c>
      <c r="B17" s="30">
        <f>Nómina!F5</f>
        <v>750000</v>
      </c>
      <c r="C17" s="3">
        <v>3</v>
      </c>
      <c r="D17" s="36">
        <f t="shared" si="0"/>
        <v>2250000</v>
      </c>
    </row>
    <row r="18" spans="1:7" x14ac:dyDescent="0.25">
      <c r="A18" s="18" t="s">
        <v>114</v>
      </c>
      <c r="B18" s="127">
        <v>900000</v>
      </c>
      <c r="C18" s="3">
        <v>3</v>
      </c>
      <c r="D18" s="16">
        <f>B18*C18</f>
        <v>2700000</v>
      </c>
    </row>
    <row r="19" spans="1:7" x14ac:dyDescent="0.25">
      <c r="A19" s="18" t="s">
        <v>306</v>
      </c>
      <c r="B19" s="127">
        <f>'Amortizacion Credito'!E5+'Amortizacion Credito'!E6+'Amortizacion Credito'!E7</f>
        <v>971362.26613329817</v>
      </c>
      <c r="C19" s="3">
        <v>1</v>
      </c>
      <c r="D19" s="16">
        <v>1223489</v>
      </c>
    </row>
    <row r="20" spans="1:7" x14ac:dyDescent="0.25">
      <c r="A20" s="18" t="s">
        <v>115</v>
      </c>
      <c r="B20" s="127">
        <v>37750</v>
      </c>
      <c r="C20" s="81">
        <v>3</v>
      </c>
      <c r="D20" s="16">
        <f>B20*C20</f>
        <v>113250</v>
      </c>
    </row>
    <row r="21" spans="1:7" x14ac:dyDescent="0.25">
      <c r="A21" s="232" t="s">
        <v>147</v>
      </c>
      <c r="B21" s="232"/>
      <c r="C21" s="232"/>
      <c r="D21" s="153">
        <f>SUM(D3:D20)</f>
        <v>46003039</v>
      </c>
    </row>
    <row r="22" spans="1:7" x14ac:dyDescent="0.25">
      <c r="G22" s="1"/>
    </row>
    <row r="24" spans="1:7" x14ac:dyDescent="0.25">
      <c r="G24" s="1"/>
    </row>
  </sheetData>
  <mergeCells count="2">
    <mergeCell ref="A1:D1"/>
    <mergeCell ref="A21:C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sqref="A1:D1"/>
    </sheetView>
  </sheetViews>
  <sheetFormatPr baseColWidth="10" defaultRowHeight="12.75" x14ac:dyDescent="0.2"/>
  <cols>
    <col min="1" max="1" width="37.140625" style="2" bestFit="1" customWidth="1"/>
    <col min="2" max="2" width="22.140625" style="2" customWidth="1"/>
    <col min="3" max="3" width="12" style="2" bestFit="1" customWidth="1"/>
    <col min="4" max="4" width="11.42578125" style="7"/>
    <col min="5" max="5" width="11.42578125" style="2"/>
    <col min="6" max="6" width="17.7109375" style="2" customWidth="1"/>
    <col min="7" max="7" width="15.28515625" style="2" customWidth="1"/>
    <col min="8" max="16384" width="11.42578125" style="2"/>
  </cols>
  <sheetData>
    <row r="1" spans="1:6" x14ac:dyDescent="0.2">
      <c r="A1" s="230" t="s">
        <v>5</v>
      </c>
      <c r="B1" s="230"/>
      <c r="C1" s="230"/>
      <c r="D1" s="230"/>
    </row>
    <row r="2" spans="1:6" x14ac:dyDescent="0.2">
      <c r="A2" s="146" t="s">
        <v>20</v>
      </c>
      <c r="B2" s="146" t="s">
        <v>6</v>
      </c>
      <c r="C2" s="147" t="s">
        <v>3</v>
      </c>
      <c r="D2" s="146" t="s">
        <v>139</v>
      </c>
    </row>
    <row r="3" spans="1:6" x14ac:dyDescent="0.2">
      <c r="A3" s="28" t="s">
        <v>7</v>
      </c>
      <c r="B3" s="28" t="s">
        <v>351</v>
      </c>
      <c r="C3" s="29">
        <v>9000000</v>
      </c>
      <c r="D3" s="41">
        <f>(C3*100%)/C5</f>
        <v>0.65148121855653041</v>
      </c>
    </row>
    <row r="4" spans="1:6" x14ac:dyDescent="0.2">
      <c r="A4" s="28" t="s">
        <v>18</v>
      </c>
      <c r="B4" s="28" t="s">
        <v>19</v>
      </c>
      <c r="C4" s="29">
        <v>4814673</v>
      </c>
      <c r="D4" s="41">
        <f>(C4*100%)/C5</f>
        <v>0.34851878144346954</v>
      </c>
    </row>
    <row r="5" spans="1:6" ht="15" customHeight="1" x14ac:dyDescent="0.2">
      <c r="A5" s="231" t="s">
        <v>14</v>
      </c>
      <c r="B5" s="231"/>
      <c r="C5" s="153">
        <f>SUM(C3:C4)</f>
        <v>13814673</v>
      </c>
      <c r="D5" s="154">
        <f>SUM(D3:D4)</f>
        <v>1</v>
      </c>
    </row>
    <row r="7" spans="1:6" x14ac:dyDescent="0.2">
      <c r="A7" s="230" t="s">
        <v>8</v>
      </c>
      <c r="B7" s="230"/>
      <c r="C7" s="230"/>
      <c r="D7" s="230"/>
    </row>
    <row r="8" spans="1:6" x14ac:dyDescent="0.2">
      <c r="A8" s="149" t="s">
        <v>20</v>
      </c>
      <c r="B8" s="149" t="s">
        <v>9</v>
      </c>
      <c r="C8" s="148" t="s">
        <v>3</v>
      </c>
      <c r="D8" s="146" t="s">
        <v>139</v>
      </c>
    </row>
    <row r="9" spans="1:6" x14ac:dyDescent="0.2">
      <c r="A9" s="28" t="s">
        <v>21</v>
      </c>
      <c r="B9" s="28" t="s">
        <v>22</v>
      </c>
      <c r="C9" s="29">
        <v>1500000</v>
      </c>
      <c r="D9" s="41">
        <f>(C9*100%)/C11</f>
        <v>0.55555555555555558</v>
      </c>
    </row>
    <row r="10" spans="1:6" x14ac:dyDescent="0.2">
      <c r="A10" s="31" t="s">
        <v>23</v>
      </c>
      <c r="B10" s="28" t="s">
        <v>10</v>
      </c>
      <c r="C10" s="29">
        <v>1200000</v>
      </c>
      <c r="D10" s="41">
        <f>(C10*100%)/C11</f>
        <v>0.44444444444444442</v>
      </c>
    </row>
    <row r="11" spans="1:6" ht="15" customHeight="1" x14ac:dyDescent="0.2">
      <c r="A11" s="231" t="s">
        <v>15</v>
      </c>
      <c r="B11" s="231"/>
      <c r="C11" s="155">
        <f>SUM(C9:C10)</f>
        <v>2700000</v>
      </c>
      <c r="D11" s="156">
        <f>SUM(D9:D10)</f>
        <v>1</v>
      </c>
    </row>
    <row r="12" spans="1:6" x14ac:dyDescent="0.2">
      <c r="A12" s="33"/>
      <c r="B12" s="33"/>
      <c r="C12" s="48"/>
      <c r="D12" s="39"/>
      <c r="F12" s="16"/>
    </row>
    <row r="13" spans="1:6" x14ac:dyDescent="0.2">
      <c r="A13" s="233" t="s">
        <v>11</v>
      </c>
      <c r="B13" s="233"/>
      <c r="C13" s="233"/>
    </row>
    <row r="14" spans="1:6" x14ac:dyDescent="0.2">
      <c r="A14" s="146" t="s">
        <v>143</v>
      </c>
      <c r="B14" s="147" t="s">
        <v>3</v>
      </c>
      <c r="C14" s="146" t="s">
        <v>139</v>
      </c>
    </row>
    <row r="15" spans="1:6" x14ac:dyDescent="0.2">
      <c r="A15" s="27" t="s">
        <v>12</v>
      </c>
      <c r="B15" s="36">
        <f>C5</f>
        <v>13814673</v>
      </c>
      <c r="C15" s="51">
        <f>(B15*100%)/B17</f>
        <v>0.84000001459317952</v>
      </c>
    </row>
    <row r="16" spans="1:6" x14ac:dyDescent="0.2">
      <c r="A16" s="27" t="s">
        <v>13</v>
      </c>
      <c r="B16" s="36">
        <f>C11</f>
        <v>2700000</v>
      </c>
      <c r="C16" s="51">
        <f>(B16*100%)/B17</f>
        <v>0.16417326992840039</v>
      </c>
    </row>
    <row r="17" spans="1:5" x14ac:dyDescent="0.2">
      <c r="A17" s="163" t="s">
        <v>16</v>
      </c>
      <c r="B17" s="157">
        <f>B22</f>
        <v>16446039</v>
      </c>
      <c r="C17" s="158">
        <f>SUM(C15:C16)</f>
        <v>1.0041732845215798</v>
      </c>
    </row>
    <row r="19" spans="1:5" x14ac:dyDescent="0.2">
      <c r="A19" s="233" t="s">
        <v>144</v>
      </c>
      <c r="B19" s="233"/>
      <c r="C19" s="233"/>
    </row>
    <row r="20" spans="1:5" x14ac:dyDescent="0.2">
      <c r="A20" s="146" t="s">
        <v>143</v>
      </c>
      <c r="B20" s="147" t="s">
        <v>3</v>
      </c>
      <c r="C20" s="146" t="s">
        <v>139</v>
      </c>
    </row>
    <row r="21" spans="1:5" x14ac:dyDescent="0.2">
      <c r="A21" s="27" t="s">
        <v>151</v>
      </c>
      <c r="B21" s="36">
        <f>B23*C21</f>
        <v>38374091</v>
      </c>
      <c r="C21" s="52">
        <v>0.7</v>
      </c>
    </row>
    <row r="22" spans="1:5" x14ac:dyDescent="0.2">
      <c r="A22" s="27" t="s">
        <v>12</v>
      </c>
      <c r="B22" s="36">
        <f>B23*C22</f>
        <v>16446039</v>
      </c>
      <c r="C22" s="52">
        <v>0.3</v>
      </c>
    </row>
    <row r="23" spans="1:5" x14ac:dyDescent="0.2">
      <c r="A23" s="163" t="s">
        <v>150</v>
      </c>
      <c r="B23" s="157">
        <f>Inversiones!B36</f>
        <v>54820130</v>
      </c>
      <c r="C23" s="159">
        <f>SUM(C21:C22)</f>
        <v>1</v>
      </c>
      <c r="E23" s="110"/>
    </row>
    <row r="24" spans="1:5" x14ac:dyDescent="0.2">
      <c r="E24" s="16"/>
    </row>
  </sheetData>
  <mergeCells count="6">
    <mergeCell ref="A1:D1"/>
    <mergeCell ref="A19:C19"/>
    <mergeCell ref="A11:B11"/>
    <mergeCell ref="A5:B5"/>
    <mergeCell ref="A13:C13"/>
    <mergeCell ref="A7:D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GridLines="0" zoomScaleNormal="100" workbookViewId="0">
      <selection sqref="A1:F1"/>
    </sheetView>
  </sheetViews>
  <sheetFormatPr baseColWidth="10" defaultRowHeight="12.75" x14ac:dyDescent="0.2"/>
  <cols>
    <col min="1" max="1" width="30.85546875" style="2" customWidth="1"/>
    <col min="2" max="2" width="13" style="2" customWidth="1"/>
    <col min="3" max="6" width="13" style="2" bestFit="1" customWidth="1"/>
    <col min="7" max="7" width="11.42578125" style="2"/>
    <col min="8" max="8" width="34.85546875" style="2" customWidth="1"/>
    <col min="9" max="9" width="13.42578125" style="2" customWidth="1"/>
    <col min="10" max="10" width="11.5703125" style="2" bestFit="1" customWidth="1"/>
    <col min="11" max="11" width="12.5703125" style="2" bestFit="1" customWidth="1"/>
    <col min="12" max="16384" width="11.42578125" style="2"/>
  </cols>
  <sheetData>
    <row r="1" spans="1:9" x14ac:dyDescent="0.2">
      <c r="A1" s="233" t="s">
        <v>68</v>
      </c>
      <c r="B1" s="233"/>
      <c r="C1" s="233"/>
      <c r="D1" s="233"/>
      <c r="E1" s="233"/>
      <c r="F1" s="233"/>
      <c r="H1" s="234" t="s">
        <v>312</v>
      </c>
      <c r="I1" s="234"/>
    </row>
    <row r="2" spans="1:9" x14ac:dyDescent="0.2">
      <c r="A2" s="105" t="s">
        <v>60</v>
      </c>
      <c r="B2" s="105" t="s">
        <v>61</v>
      </c>
      <c r="C2" s="105" t="s">
        <v>62</v>
      </c>
      <c r="D2" s="105" t="s">
        <v>63</v>
      </c>
      <c r="E2" s="105" t="s">
        <v>64</v>
      </c>
      <c r="F2" s="105" t="s">
        <v>65</v>
      </c>
      <c r="H2" s="3">
        <v>2010</v>
      </c>
      <c r="I2" s="4">
        <v>3.1699999999999999E-2</v>
      </c>
    </row>
    <row r="3" spans="1:9" ht="25.5" x14ac:dyDescent="0.2">
      <c r="A3" s="13" t="s">
        <v>354</v>
      </c>
      <c r="B3" s="173">
        <v>3631900</v>
      </c>
      <c r="C3" s="173">
        <f>(B3*I8)+B3</f>
        <v>3746546.9766666666</v>
      </c>
      <c r="D3" s="173">
        <f>(C3*I8)+C3</f>
        <v>3864812.976230111</v>
      </c>
      <c r="E3" s="173">
        <f>(D3*I8)+D3</f>
        <v>3986812.2391797747</v>
      </c>
      <c r="F3" s="173">
        <f>(E3*I8)+E3</f>
        <v>4112662.6121965498</v>
      </c>
      <c r="H3" s="3">
        <v>2011</v>
      </c>
      <c r="I3" s="4">
        <v>3.73E-2</v>
      </c>
    </row>
    <row r="4" spans="1:9" x14ac:dyDescent="0.2">
      <c r="A4" s="13" t="s">
        <v>17</v>
      </c>
      <c r="B4" s="14">
        <v>140900</v>
      </c>
      <c r="C4" s="14">
        <f t="shared" ref="C4:F6" si="0">(B4*3.16%)+B4</f>
        <v>145352.44</v>
      </c>
      <c r="D4" s="14">
        <f t="shared" si="0"/>
        <v>149945.577104</v>
      </c>
      <c r="E4" s="14">
        <f t="shared" si="0"/>
        <v>154683.8573404864</v>
      </c>
      <c r="F4" s="14">
        <f t="shared" si="0"/>
        <v>159571.86723244577</v>
      </c>
      <c r="H4" s="3">
        <v>2012</v>
      </c>
      <c r="I4" s="4">
        <v>2.4400000000000002E-2</v>
      </c>
    </row>
    <row r="5" spans="1:9" x14ac:dyDescent="0.2">
      <c r="A5" s="7" t="s">
        <v>67</v>
      </c>
      <c r="B5" s="100">
        <v>600000</v>
      </c>
      <c r="C5" s="100">
        <f t="shared" si="0"/>
        <v>618960</v>
      </c>
      <c r="D5" s="100">
        <f t="shared" si="0"/>
        <v>638519.13600000006</v>
      </c>
      <c r="E5" s="100">
        <f t="shared" si="0"/>
        <v>658696.34069760004</v>
      </c>
      <c r="F5" s="100">
        <f t="shared" si="0"/>
        <v>679511.14506364416</v>
      </c>
      <c r="H5" s="7">
        <v>2013</v>
      </c>
      <c r="I5" s="8">
        <v>1.9400000000000001E-2</v>
      </c>
    </row>
    <row r="6" spans="1:9" x14ac:dyDescent="0.2">
      <c r="A6" s="96" t="s">
        <v>73</v>
      </c>
      <c r="B6" s="14">
        <f>'Detalle - CP '!D26*12</f>
        <v>28800000</v>
      </c>
      <c r="C6" s="14">
        <f t="shared" si="0"/>
        <v>29710080</v>
      </c>
      <c r="D6" s="14">
        <f t="shared" si="0"/>
        <v>30648918.528000001</v>
      </c>
      <c r="E6" s="14">
        <f t="shared" si="0"/>
        <v>31617424.353484802</v>
      </c>
      <c r="F6" s="14">
        <f t="shared" si="0"/>
        <v>32616534.963054921</v>
      </c>
      <c r="H6" s="3">
        <v>2014</v>
      </c>
      <c r="I6" s="4">
        <v>3.6600000000000001E-2</v>
      </c>
    </row>
    <row r="7" spans="1:9" x14ac:dyDescent="0.2">
      <c r="A7" s="96" t="s">
        <v>105</v>
      </c>
      <c r="B7" s="14">
        <f>'Detalle - CP '!D31*12</f>
        <v>1998000</v>
      </c>
      <c r="C7" s="14">
        <f>(B7*3.16%)+B7</f>
        <v>2061136.8</v>
      </c>
      <c r="D7" s="14">
        <f>(C7*I8)+C7</f>
        <v>2126200.0183200003</v>
      </c>
      <c r="E7" s="14">
        <f>(D7*I8)+D7</f>
        <v>2193317.0655649682</v>
      </c>
      <c r="F7" s="14">
        <f>(E7*I8)+E7</f>
        <v>2262552.7742679692</v>
      </c>
      <c r="H7" s="3" t="s">
        <v>59</v>
      </c>
      <c r="I7" s="4">
        <v>0.04</v>
      </c>
    </row>
    <row r="8" spans="1:9" x14ac:dyDescent="0.2">
      <c r="A8" s="96" t="s">
        <v>74</v>
      </c>
      <c r="B8" s="14">
        <f>'Detalle - CP '!D37*12</f>
        <v>6744000</v>
      </c>
      <c r="C8" s="14">
        <f>(B8*I8)+B8</f>
        <v>6956885.5999999996</v>
      </c>
      <c r="D8" s="14">
        <f>(C8*I8)+C8</f>
        <v>7176491.2887733327</v>
      </c>
      <c r="E8" s="14">
        <f>(D8*I8)+D8</f>
        <v>7403029.1971222777</v>
      </c>
      <c r="F8" s="14">
        <f>(E8*I8)+E8</f>
        <v>7636718.1521114372</v>
      </c>
      <c r="H8" s="10" t="s">
        <v>58</v>
      </c>
      <c r="I8" s="12">
        <f>AVERAGE(I2:I7)</f>
        <v>3.1566666666666666E-2</v>
      </c>
    </row>
    <row r="9" spans="1:9" x14ac:dyDescent="0.2">
      <c r="A9" s="96" t="s">
        <v>194</v>
      </c>
      <c r="B9" s="14">
        <v>3600000</v>
      </c>
      <c r="C9" s="14">
        <f>(B9*I8)+B9</f>
        <v>3713640</v>
      </c>
      <c r="D9" s="14">
        <f>(C9*I8)+C9</f>
        <v>3830867.236</v>
      </c>
      <c r="E9" s="14">
        <f>(D9*I8)+D9</f>
        <v>3951794.9450830668</v>
      </c>
      <c r="F9" s="14">
        <f>(E9*I8)+E9</f>
        <v>4076539.9388495223</v>
      </c>
    </row>
    <row r="10" spans="1:9" x14ac:dyDescent="0.2">
      <c r="A10" s="96" t="s">
        <v>313</v>
      </c>
      <c r="B10" s="14">
        <f>'Detalle - CP '!F48</f>
        <v>24000000</v>
      </c>
      <c r="C10" s="14">
        <f>(B10*I8)+B10</f>
        <v>24757600</v>
      </c>
      <c r="D10" s="14">
        <f>(C10*I8)+C10</f>
        <v>25539114.906666666</v>
      </c>
      <c r="E10" s="14">
        <f>(D10*I8)+D10</f>
        <v>26345299.633887112</v>
      </c>
      <c r="F10" s="14">
        <f>(E10*I8)+E10</f>
        <v>27176932.925663482</v>
      </c>
      <c r="H10" s="234" t="s">
        <v>181</v>
      </c>
      <c r="I10" s="234"/>
    </row>
    <row r="11" spans="1:9" x14ac:dyDescent="0.2">
      <c r="A11" s="96" t="s">
        <v>314</v>
      </c>
      <c r="B11" s="14">
        <f>'Detalle - CP '!F49</f>
        <v>10800000</v>
      </c>
      <c r="C11" s="14">
        <f>(B11*I8)+B11</f>
        <v>11140920</v>
      </c>
      <c r="D11" s="14">
        <f>(C11*I8)+C11</f>
        <v>11492601.708000001</v>
      </c>
      <c r="E11" s="14">
        <f>(D11*I8)+D11</f>
        <v>11855384.8352492</v>
      </c>
      <c r="F11" s="14">
        <f>(E11*I8)+E11</f>
        <v>12229619.816548567</v>
      </c>
      <c r="H11" s="3" t="s">
        <v>315</v>
      </c>
      <c r="I11" s="5">
        <f>B15</f>
        <v>130114800</v>
      </c>
    </row>
    <row r="12" spans="1:9" x14ac:dyDescent="0.2">
      <c r="A12" s="96" t="s">
        <v>307</v>
      </c>
      <c r="B12" s="14">
        <f>Nómina!G14</f>
        <v>45000000</v>
      </c>
      <c r="C12" s="14">
        <f>(B12*I8)+B12</f>
        <v>46420500</v>
      </c>
      <c r="D12" s="14">
        <f>(C12*I8)+C12</f>
        <v>47885840.450000003</v>
      </c>
      <c r="E12" s="14">
        <f>(D12*I8)+D12</f>
        <v>49397436.813538335</v>
      </c>
      <c r="F12" s="14">
        <f>(E12*I8)+E12</f>
        <v>50956749.235619031</v>
      </c>
      <c r="H12" s="3" t="s">
        <v>109</v>
      </c>
      <c r="I12" s="6">
        <f>B22</f>
        <v>14432000</v>
      </c>
    </row>
    <row r="13" spans="1:9" ht="25.5" x14ac:dyDescent="0.2">
      <c r="A13" s="13" t="s">
        <v>316</v>
      </c>
      <c r="B13" s="17">
        <f>'Detalle - CP '!D42*12</f>
        <v>4200000</v>
      </c>
      <c r="C13" s="14">
        <f>(B13*I8)+B13</f>
        <v>4332580</v>
      </c>
      <c r="D13" s="14">
        <f>(C13*I8)+C13</f>
        <v>4469345.1086666668</v>
      </c>
      <c r="E13" s="14">
        <f>(D13*I8)+D13</f>
        <v>4610427.4359302446</v>
      </c>
      <c r="F13" s="14">
        <f>(E13*I8)+E13</f>
        <v>4755963.2619911097</v>
      </c>
      <c r="H13" s="3" t="s">
        <v>110</v>
      </c>
      <c r="I13" s="6">
        <f>B31</f>
        <v>38252997.5</v>
      </c>
    </row>
    <row r="14" spans="1:9" x14ac:dyDescent="0.2">
      <c r="A14" s="96" t="s">
        <v>317</v>
      </c>
      <c r="B14" s="17">
        <f>'Detalle - CP '!D44*12</f>
        <v>600000</v>
      </c>
      <c r="C14" s="14">
        <f>(B14*I8)+B14</f>
        <v>618940</v>
      </c>
      <c r="D14" s="14">
        <f>(C14*I8)+C14</f>
        <v>638477.87266666663</v>
      </c>
      <c r="E14" s="14">
        <f>(D14*I8)+D14</f>
        <v>658632.49084717769</v>
      </c>
      <c r="F14" s="14">
        <f>(E14*I8)+E14</f>
        <v>679423.32314158697</v>
      </c>
      <c r="H14" s="7" t="s">
        <v>111</v>
      </c>
      <c r="I14" s="9">
        <f>B36</f>
        <v>3573899.1451315759</v>
      </c>
    </row>
    <row r="15" spans="1:9" x14ac:dyDescent="0.2">
      <c r="A15" s="164" t="s">
        <v>72</v>
      </c>
      <c r="B15" s="102">
        <f>SUM(B3:B14)</f>
        <v>130114800</v>
      </c>
      <c r="C15" s="165">
        <f>SUM(C3:C14)</f>
        <v>134223141.81666666</v>
      </c>
      <c r="D15" s="165">
        <f>SUM(D3:D14)</f>
        <v>138461134.80642745</v>
      </c>
      <c r="E15" s="165">
        <f>SUM(E3:E14)</f>
        <v>142832939.20792505</v>
      </c>
      <c r="F15" s="165">
        <f>SUM(F3:F14)</f>
        <v>147342780.01574028</v>
      </c>
      <c r="H15" s="10" t="s">
        <v>4</v>
      </c>
      <c r="I15" s="11">
        <f>I11+I12+I13+I14</f>
        <v>186373696.64513159</v>
      </c>
    </row>
    <row r="16" spans="1:9" x14ac:dyDescent="0.2">
      <c r="H16" s="16"/>
    </row>
    <row r="17" spans="1:6" x14ac:dyDescent="0.2">
      <c r="A17" s="233" t="s">
        <v>69</v>
      </c>
      <c r="B17" s="233"/>
      <c r="C17" s="233"/>
      <c r="D17" s="233"/>
      <c r="E17" s="233"/>
      <c r="F17" s="233"/>
    </row>
    <row r="18" spans="1:6" x14ac:dyDescent="0.2">
      <c r="A18" s="105" t="s">
        <v>60</v>
      </c>
      <c r="B18" s="105" t="s">
        <v>61</v>
      </c>
      <c r="C18" s="105" t="s">
        <v>62</v>
      </c>
      <c r="D18" s="105" t="s">
        <v>63</v>
      </c>
      <c r="E18" s="105" t="s">
        <v>64</v>
      </c>
      <c r="F18" s="105" t="s">
        <v>65</v>
      </c>
    </row>
    <row r="19" spans="1:6" x14ac:dyDescent="0.2">
      <c r="A19" s="96" t="s">
        <v>310</v>
      </c>
      <c r="B19" s="17">
        <f>Nómina!G6</f>
        <v>9000000</v>
      </c>
      <c r="C19" s="5">
        <f>(B19*I8)+B19</f>
        <v>9284100</v>
      </c>
      <c r="D19" s="5">
        <f>(C19*I8)+C19</f>
        <v>9577168.0899999999</v>
      </c>
      <c r="E19" s="5">
        <f>(D19*I8)+D19</f>
        <v>9879487.3627076671</v>
      </c>
      <c r="F19" s="5">
        <f>(E19*I8)+E19</f>
        <v>10191349.847123805</v>
      </c>
    </row>
    <row r="20" spans="1:6" x14ac:dyDescent="0.2">
      <c r="A20" s="96" t="s">
        <v>66</v>
      </c>
      <c r="B20" s="14">
        <v>3500000</v>
      </c>
      <c r="C20" s="5">
        <f>(B20*I8)+B20</f>
        <v>3610483.3333333335</v>
      </c>
      <c r="D20" s="5">
        <f>(C20*I8)+C20</f>
        <v>3724454.2572222222</v>
      </c>
      <c r="E20" s="5">
        <f>(D20*I8)+D20</f>
        <v>3842022.8632752039</v>
      </c>
      <c r="F20" s="5">
        <f>(E20*I8)+E20</f>
        <v>3963302.7183259246</v>
      </c>
    </row>
    <row r="21" spans="1:6" x14ac:dyDescent="0.2">
      <c r="A21" s="96" t="s">
        <v>311</v>
      </c>
      <c r="B21" s="14">
        <v>1932000</v>
      </c>
      <c r="C21" s="5">
        <f>(B21*I8)+B21</f>
        <v>1992986.8</v>
      </c>
      <c r="D21" s="5">
        <f>(C21*I8)+C21</f>
        <v>2055898.7499866667</v>
      </c>
      <c r="E21" s="5">
        <f>(D21*I8)+D21</f>
        <v>2120796.6205279124</v>
      </c>
      <c r="F21" s="5">
        <f>(E21*I8)+E21</f>
        <v>2187743.10051591</v>
      </c>
    </row>
    <row r="22" spans="1:6" x14ac:dyDescent="0.2">
      <c r="A22" s="164" t="s">
        <v>72</v>
      </c>
      <c r="B22" s="102">
        <f>SUM(B19:B21)</f>
        <v>14432000</v>
      </c>
      <c r="C22" s="165">
        <f>SUM(C19:C21)</f>
        <v>14887570.133333335</v>
      </c>
      <c r="D22" s="165">
        <f>SUM(D19:D21)</f>
        <v>15357521.097208889</v>
      </c>
      <c r="E22" s="165">
        <f>SUM(E19:E21)</f>
        <v>15842306.846510783</v>
      </c>
      <c r="F22" s="165">
        <f>SUM(F19:F21)</f>
        <v>16342395.665965639</v>
      </c>
    </row>
    <row r="24" spans="1:6" x14ac:dyDescent="0.2">
      <c r="A24" s="233" t="s">
        <v>76</v>
      </c>
      <c r="B24" s="233"/>
      <c r="C24" s="233"/>
      <c r="D24" s="233"/>
      <c r="E24" s="233"/>
      <c r="F24" s="233"/>
    </row>
    <row r="25" spans="1:6" x14ac:dyDescent="0.2">
      <c r="A25" s="105" t="s">
        <v>60</v>
      </c>
      <c r="B25" s="105" t="s">
        <v>61</v>
      </c>
      <c r="C25" s="105" t="s">
        <v>62</v>
      </c>
      <c r="D25" s="105" t="s">
        <v>63</v>
      </c>
      <c r="E25" s="105" t="s">
        <v>64</v>
      </c>
      <c r="F25" s="105" t="s">
        <v>65</v>
      </c>
    </row>
    <row r="26" spans="1:6" x14ac:dyDescent="0.2">
      <c r="A26" s="13" t="s">
        <v>358</v>
      </c>
      <c r="B26" s="14">
        <f>Nómina!G3</f>
        <v>9000000</v>
      </c>
      <c r="C26" s="5">
        <f>(B26*I8)+B26</f>
        <v>9284100</v>
      </c>
      <c r="D26" s="5">
        <f>(C26*I8)+C26</f>
        <v>9577168.0899999999</v>
      </c>
      <c r="E26" s="5">
        <f>(D26*I8)+D26</f>
        <v>9879487.3627076671</v>
      </c>
      <c r="F26" s="5">
        <f>(E26*I8)+E26</f>
        <v>10191349.847123805</v>
      </c>
    </row>
    <row r="27" spans="1:6" x14ac:dyDescent="0.2">
      <c r="A27" s="18" t="s">
        <v>393</v>
      </c>
      <c r="B27" s="14">
        <f>Nómina!G4</f>
        <v>9000000</v>
      </c>
      <c r="C27" s="5">
        <f>(B27*I8)+B27</f>
        <v>9284100</v>
      </c>
      <c r="D27" s="5">
        <f>(C27*I8)+C27</f>
        <v>9577168.0899999999</v>
      </c>
      <c r="E27" s="5">
        <f>(D27*I8)+D27</f>
        <v>9879487.3627076671</v>
      </c>
      <c r="F27" s="5">
        <f>(E27*I8)+E27</f>
        <v>10191349.847123805</v>
      </c>
    </row>
    <row r="28" spans="1:6" x14ac:dyDescent="0.2">
      <c r="A28" s="18" t="s">
        <v>54</v>
      </c>
      <c r="B28" s="14">
        <f>Nómina!G5</f>
        <v>9000000</v>
      </c>
      <c r="C28" s="5">
        <f>(B28*I8)+B28</f>
        <v>9284100</v>
      </c>
      <c r="D28" s="5">
        <f>(C28*I8)+C28</f>
        <v>9577168.0899999999</v>
      </c>
      <c r="E28" s="5">
        <f>(D28*I8)+D28</f>
        <v>9879487.3627076671</v>
      </c>
      <c r="F28" s="5">
        <f>(E28*I8)+E28</f>
        <v>10191349.847123805</v>
      </c>
    </row>
    <row r="29" spans="1:6" x14ac:dyDescent="0.2">
      <c r="A29" s="18" t="s">
        <v>114</v>
      </c>
      <c r="B29" s="14">
        <v>10800000</v>
      </c>
      <c r="C29" s="5">
        <f>(B29*I8)+B29</f>
        <v>11140920</v>
      </c>
      <c r="D29" s="5">
        <f>(C29*I8)+C29</f>
        <v>11492601.708000001</v>
      </c>
      <c r="E29" s="5">
        <f>(D29*I8)+D29</f>
        <v>11855384.8352492</v>
      </c>
      <c r="F29" s="5">
        <f>(E29*I8)+E29</f>
        <v>12229619.816548567</v>
      </c>
    </row>
    <row r="30" spans="1:6" x14ac:dyDescent="0.2">
      <c r="A30" s="18" t="s">
        <v>115</v>
      </c>
      <c r="B30" s="14">
        <f>Depreciaciones!G19</f>
        <v>452997.5</v>
      </c>
      <c r="C30" s="5">
        <f>Depreciaciones!H19</f>
        <v>905995</v>
      </c>
      <c r="D30" s="5">
        <f>Depreciaciones!I19</f>
        <v>1358992.5</v>
      </c>
      <c r="E30" s="5">
        <f>Depreciaciones!J19</f>
        <v>911456.66666666663</v>
      </c>
      <c r="F30" s="5">
        <f>Depreciaciones!K19</f>
        <v>1139320.8333333335</v>
      </c>
    </row>
    <row r="31" spans="1:6" x14ac:dyDescent="0.2">
      <c r="A31" s="164" t="s">
        <v>72</v>
      </c>
      <c r="B31" s="102">
        <f>SUM(B26:B30)</f>
        <v>38252997.5</v>
      </c>
      <c r="C31" s="165">
        <f>SUM(C26:C30)</f>
        <v>39899215</v>
      </c>
      <c r="D31" s="165">
        <f>SUM(D26:D30)</f>
        <v>41583098.478</v>
      </c>
      <c r="E31" s="165">
        <f>SUM(E26:E30)</f>
        <v>42405303.590038866</v>
      </c>
      <c r="F31" s="165">
        <f>SUM(F26:F30)</f>
        <v>43942990.191253319</v>
      </c>
    </row>
    <row r="33" spans="1:7" x14ac:dyDescent="0.2">
      <c r="A33" s="233" t="s">
        <v>75</v>
      </c>
      <c r="B33" s="233"/>
      <c r="C33" s="233"/>
      <c r="D33" s="233"/>
      <c r="E33" s="233"/>
      <c r="F33" s="233"/>
    </row>
    <row r="34" spans="1:7" x14ac:dyDescent="0.2">
      <c r="A34" s="105" t="s">
        <v>60</v>
      </c>
      <c r="B34" s="105" t="s">
        <v>61</v>
      </c>
      <c r="C34" s="105" t="s">
        <v>62</v>
      </c>
      <c r="D34" s="105" t="s">
        <v>63</v>
      </c>
      <c r="E34" s="105" t="s">
        <v>64</v>
      </c>
      <c r="F34" s="105" t="s">
        <v>65</v>
      </c>
    </row>
    <row r="35" spans="1:7" x14ac:dyDescent="0.2">
      <c r="A35" s="13" t="s">
        <v>318</v>
      </c>
      <c r="B35" s="14">
        <f>'Amortizacion Credito'!B8</f>
        <v>3573899.1451315759</v>
      </c>
      <c r="C35" s="14">
        <f>'Amortizacion Credito'!B9</f>
        <v>2691315.0027710148</v>
      </c>
      <c r="D35" s="19">
        <f>'Amortizacion Credito'!B10</f>
        <v>1713407.9755399458</v>
      </c>
      <c r="E35" s="14">
        <f>'Amortizacion Credito'!B11</f>
        <v>629882.78172649175</v>
      </c>
      <c r="F35" s="107">
        <v>0</v>
      </c>
    </row>
    <row r="36" spans="1:7" x14ac:dyDescent="0.2">
      <c r="A36" s="164" t="s">
        <v>72</v>
      </c>
      <c r="B36" s="102">
        <f>SUM(B35)</f>
        <v>3573899.1451315759</v>
      </c>
      <c r="C36" s="102">
        <f>SUM(C35)</f>
        <v>2691315.0027710148</v>
      </c>
      <c r="D36" s="102">
        <f>SUM(D35)</f>
        <v>1713407.9755399458</v>
      </c>
      <c r="E36" s="102">
        <f>SUM(E35)</f>
        <v>629882.78172649175</v>
      </c>
      <c r="F36" s="102">
        <f>SUM(F35)</f>
        <v>0</v>
      </c>
    </row>
    <row r="37" spans="1:7" x14ac:dyDescent="0.2">
      <c r="A37" s="96"/>
      <c r="B37" s="107"/>
      <c r="C37" s="107"/>
      <c r="D37" s="107"/>
      <c r="E37" s="107"/>
      <c r="F37" s="107"/>
    </row>
    <row r="38" spans="1:7" x14ac:dyDescent="0.2">
      <c r="A38" s="96"/>
      <c r="B38" s="107"/>
      <c r="C38" s="107"/>
      <c r="D38" s="107"/>
      <c r="E38" s="107"/>
      <c r="F38" s="107"/>
    </row>
    <row r="39" spans="1:7" x14ac:dyDescent="0.2">
      <c r="A39" s="96"/>
      <c r="B39" s="96"/>
      <c r="C39" s="96"/>
      <c r="D39" s="96"/>
      <c r="E39" s="96"/>
      <c r="F39" s="96"/>
    </row>
    <row r="40" spans="1:7" x14ac:dyDescent="0.2">
      <c r="A40" s="233" t="s">
        <v>425</v>
      </c>
      <c r="B40" s="233"/>
      <c r="C40" s="233"/>
      <c r="D40" s="233"/>
      <c r="E40" s="233"/>
      <c r="F40" s="233"/>
    </row>
    <row r="41" spans="1:7" x14ac:dyDescent="0.2">
      <c r="A41" s="233" t="s">
        <v>182</v>
      </c>
      <c r="B41" s="233"/>
      <c r="C41" s="233"/>
      <c r="D41" s="233"/>
      <c r="E41" s="233"/>
      <c r="F41" s="233"/>
    </row>
    <row r="42" spans="1:7" x14ac:dyDescent="0.2">
      <c r="A42" s="105" t="s">
        <v>60</v>
      </c>
      <c r="B42" s="105" t="s">
        <v>61</v>
      </c>
      <c r="C42" s="105" t="s">
        <v>62</v>
      </c>
      <c r="D42" s="105" t="s">
        <v>63</v>
      </c>
      <c r="E42" s="105" t="s">
        <v>64</v>
      </c>
      <c r="F42" s="105" t="s">
        <v>65</v>
      </c>
    </row>
    <row r="43" spans="1:7" x14ac:dyDescent="0.2">
      <c r="A43" s="13" t="s">
        <v>358</v>
      </c>
      <c r="B43" s="185">
        <v>8820360</v>
      </c>
      <c r="C43" s="185">
        <v>9098789.3640000001</v>
      </c>
      <c r="D43" s="185">
        <v>9386007.8149235994</v>
      </c>
      <c r="E43" s="185">
        <v>9682292.7949480209</v>
      </c>
      <c r="F43" s="185">
        <v>9987930.5041752141</v>
      </c>
      <c r="G43" s="188"/>
    </row>
    <row r="44" spans="1:7" x14ac:dyDescent="0.2">
      <c r="A44" s="13" t="s">
        <v>53</v>
      </c>
      <c r="B44" s="185">
        <v>8820360</v>
      </c>
      <c r="C44" s="185">
        <v>9098789.3640000001</v>
      </c>
      <c r="D44" s="185">
        <v>9386007.8149235994</v>
      </c>
      <c r="E44" s="185">
        <v>9682292.7949480209</v>
      </c>
      <c r="F44" s="185">
        <v>9987930.5041752141</v>
      </c>
    </row>
    <row r="45" spans="1:7" x14ac:dyDescent="0.2">
      <c r="A45" s="96" t="s">
        <v>54</v>
      </c>
      <c r="B45" s="185">
        <v>8820360</v>
      </c>
      <c r="C45" s="185">
        <v>9098789.3640000001</v>
      </c>
      <c r="D45" s="185">
        <v>9386007.8149235994</v>
      </c>
      <c r="E45" s="185">
        <v>9682292.7949480209</v>
      </c>
      <c r="F45" s="185">
        <v>9987930.5041752141</v>
      </c>
    </row>
    <row r="46" spans="1:7" x14ac:dyDescent="0.2">
      <c r="A46" s="96" t="s">
        <v>114</v>
      </c>
      <c r="B46" s="185">
        <v>10800000</v>
      </c>
      <c r="C46" s="185">
        <v>11140920</v>
      </c>
      <c r="D46" s="185">
        <v>11492601.708000001</v>
      </c>
      <c r="E46" s="185">
        <v>11855384.8352492</v>
      </c>
      <c r="F46" s="185">
        <v>12229619.816548567</v>
      </c>
    </row>
    <row r="47" spans="1:7" x14ac:dyDescent="0.2">
      <c r="A47" s="96" t="s">
        <v>115</v>
      </c>
      <c r="B47" s="185">
        <v>452997.5</v>
      </c>
      <c r="C47" s="185">
        <v>905995</v>
      </c>
      <c r="D47" s="185">
        <v>1358992.5</v>
      </c>
      <c r="E47" s="185">
        <v>911456.66666666663</v>
      </c>
      <c r="F47" s="185">
        <v>1139320.8333333335</v>
      </c>
    </row>
    <row r="48" spans="1:7" ht="25.5" x14ac:dyDescent="0.2">
      <c r="A48" s="13" t="s">
        <v>310</v>
      </c>
      <c r="B48" s="186">
        <v>8820360</v>
      </c>
      <c r="C48" s="187">
        <v>9098789.3640000001</v>
      </c>
      <c r="D48" s="187">
        <v>9386007.8149235994</v>
      </c>
      <c r="E48" s="187">
        <v>9682292.7949480209</v>
      </c>
      <c r="F48" s="187">
        <v>9987930.5041752141</v>
      </c>
    </row>
    <row r="49" spans="1:6" x14ac:dyDescent="0.2">
      <c r="A49" s="96" t="s">
        <v>66</v>
      </c>
      <c r="B49" s="185">
        <v>3500000</v>
      </c>
      <c r="C49" s="187">
        <v>3610483.3333333335</v>
      </c>
      <c r="D49" s="187">
        <v>3724454.2572222222</v>
      </c>
      <c r="E49" s="187">
        <v>3842022.8632752039</v>
      </c>
      <c r="F49" s="187">
        <v>3963302.7183259246</v>
      </c>
    </row>
    <row r="50" spans="1:6" x14ac:dyDescent="0.2">
      <c r="A50" s="96" t="s">
        <v>311</v>
      </c>
      <c r="B50" s="185">
        <v>1932000</v>
      </c>
      <c r="C50" s="187">
        <v>1992986.8</v>
      </c>
      <c r="D50" s="187">
        <v>2055898.7499866667</v>
      </c>
      <c r="E50" s="187">
        <v>2120796.6205279124</v>
      </c>
      <c r="F50" s="187">
        <v>2187743.10051591</v>
      </c>
    </row>
    <row r="51" spans="1:6" x14ac:dyDescent="0.2">
      <c r="A51" s="96" t="s">
        <v>307</v>
      </c>
      <c r="B51" s="185">
        <v>43200000</v>
      </c>
      <c r="C51" s="185">
        <v>44563680</v>
      </c>
      <c r="D51" s="185">
        <v>45970406.832000002</v>
      </c>
      <c r="E51" s="185">
        <v>47421539.340996802</v>
      </c>
      <c r="F51" s="185">
        <v>48918479.266194269</v>
      </c>
    </row>
    <row r="52" spans="1:6" ht="25.5" x14ac:dyDescent="0.2">
      <c r="A52" s="13" t="s">
        <v>316</v>
      </c>
      <c r="B52" s="186">
        <v>4200000</v>
      </c>
      <c r="C52" s="185">
        <v>4332580</v>
      </c>
      <c r="D52" s="185">
        <v>4469345.1086666668</v>
      </c>
      <c r="E52" s="185">
        <v>4610427.4359302446</v>
      </c>
      <c r="F52" s="185">
        <v>4755963.2619911097</v>
      </c>
    </row>
    <row r="53" spans="1:6" x14ac:dyDescent="0.2">
      <c r="A53" s="96" t="s">
        <v>317</v>
      </c>
      <c r="B53" s="186">
        <v>600000</v>
      </c>
      <c r="C53" s="185">
        <v>618940</v>
      </c>
      <c r="D53" s="185">
        <v>638477.87266666663</v>
      </c>
      <c r="E53" s="185">
        <v>658632.49084717769</v>
      </c>
      <c r="F53" s="185">
        <v>679423.32314158697</v>
      </c>
    </row>
    <row r="54" spans="1:6" x14ac:dyDescent="0.2">
      <c r="A54" s="164" t="s">
        <v>72</v>
      </c>
      <c r="B54" s="102">
        <f>SUM(B43:B53)</f>
        <v>99966437.5</v>
      </c>
      <c r="C54" s="165">
        <f>SUM(C43:C53)</f>
        <v>103560742.58933333</v>
      </c>
      <c r="D54" s="165">
        <f>SUM(D43:D53)</f>
        <v>107254208.28823663</v>
      </c>
      <c r="E54" s="165">
        <f>SUM(E43:E53)</f>
        <v>110149431.4332853</v>
      </c>
      <c r="F54" s="165">
        <f>SUM(F43:F53)</f>
        <v>113825574.33675157</v>
      </c>
    </row>
    <row r="55" spans="1:6" x14ac:dyDescent="0.2">
      <c r="A55" s="233" t="s">
        <v>183</v>
      </c>
      <c r="B55" s="233"/>
      <c r="C55" s="233"/>
      <c r="D55" s="233"/>
      <c r="E55" s="233"/>
      <c r="F55" s="233"/>
    </row>
    <row r="56" spans="1:6" x14ac:dyDescent="0.2">
      <c r="A56" s="105" t="s">
        <v>60</v>
      </c>
      <c r="B56" s="105" t="s">
        <v>61</v>
      </c>
      <c r="C56" s="105" t="s">
        <v>62</v>
      </c>
      <c r="D56" s="105" t="s">
        <v>63</v>
      </c>
      <c r="E56" s="105" t="s">
        <v>64</v>
      </c>
      <c r="F56" s="105" t="s">
        <v>65</v>
      </c>
    </row>
    <row r="57" spans="1:6" ht="25.5" x14ac:dyDescent="0.2">
      <c r="A57" s="13" t="s">
        <v>354</v>
      </c>
      <c r="B57" s="175">
        <v>3631900</v>
      </c>
      <c r="C57" s="175">
        <v>3746546.9766666666</v>
      </c>
      <c r="D57" s="175">
        <v>3864812.976230111</v>
      </c>
      <c r="E57" s="175">
        <v>3986812.2391797747</v>
      </c>
      <c r="F57" s="175">
        <v>4112662.6121965498</v>
      </c>
    </row>
    <row r="58" spans="1:6" x14ac:dyDescent="0.2">
      <c r="A58" s="13" t="s">
        <v>17</v>
      </c>
      <c r="B58" s="14">
        <v>140900</v>
      </c>
      <c r="C58" s="14">
        <v>145352.44</v>
      </c>
      <c r="D58" s="14">
        <v>149945.577104</v>
      </c>
      <c r="E58" s="14">
        <v>154683.8573404864</v>
      </c>
      <c r="F58" s="14">
        <v>159571.86723244577</v>
      </c>
    </row>
    <row r="59" spans="1:6" x14ac:dyDescent="0.2">
      <c r="A59" s="7" t="s">
        <v>67</v>
      </c>
      <c r="B59" s="175">
        <v>600000</v>
      </c>
      <c r="C59" s="175">
        <v>618960</v>
      </c>
      <c r="D59" s="175">
        <v>638519.13600000006</v>
      </c>
      <c r="E59" s="175">
        <v>658696.34069760004</v>
      </c>
      <c r="F59" s="175">
        <v>679511.14506364416</v>
      </c>
    </row>
    <row r="60" spans="1:6" x14ac:dyDescent="0.2">
      <c r="A60" s="22" t="s">
        <v>73</v>
      </c>
      <c r="B60" s="14">
        <v>28800000</v>
      </c>
      <c r="C60" s="14">
        <v>29710080</v>
      </c>
      <c r="D60" s="14">
        <v>30648918.528000001</v>
      </c>
      <c r="E60" s="14">
        <v>31617424.353484802</v>
      </c>
      <c r="F60" s="14">
        <v>32616534.963054921</v>
      </c>
    </row>
    <row r="61" spans="1:6" x14ac:dyDescent="0.2">
      <c r="A61" s="22" t="s">
        <v>105</v>
      </c>
      <c r="B61" s="14">
        <v>1998000</v>
      </c>
      <c r="C61" s="14">
        <v>2061136.8</v>
      </c>
      <c r="D61" s="14">
        <v>2126200.0183200003</v>
      </c>
      <c r="E61" s="14">
        <v>2193317.0655649682</v>
      </c>
      <c r="F61" s="14">
        <v>2262552.7742679692</v>
      </c>
    </row>
    <row r="62" spans="1:6" x14ac:dyDescent="0.2">
      <c r="A62" s="22" t="s">
        <v>74</v>
      </c>
      <c r="B62" s="14">
        <v>6744000</v>
      </c>
      <c r="C62" s="14">
        <v>6956885.5999999996</v>
      </c>
      <c r="D62" s="14">
        <v>7176491.2887733327</v>
      </c>
      <c r="E62" s="14">
        <v>7403029.1971222777</v>
      </c>
      <c r="F62" s="14">
        <v>7636718.1521114372</v>
      </c>
    </row>
    <row r="63" spans="1:6" x14ac:dyDescent="0.2">
      <c r="A63" s="22" t="s">
        <v>313</v>
      </c>
      <c r="B63" s="14">
        <v>24000000</v>
      </c>
      <c r="C63" s="14">
        <v>24757600</v>
      </c>
      <c r="D63" s="14">
        <v>25539114.906666666</v>
      </c>
      <c r="E63" s="14">
        <v>26345299.633887112</v>
      </c>
      <c r="F63" s="14">
        <v>27176932.925663482</v>
      </c>
    </row>
    <row r="64" spans="1:6" x14ac:dyDescent="0.2">
      <c r="A64" s="22" t="s">
        <v>314</v>
      </c>
      <c r="B64" s="14">
        <v>10800000</v>
      </c>
      <c r="C64" s="14">
        <v>11140920</v>
      </c>
      <c r="D64" s="14">
        <v>11492601.708000001</v>
      </c>
      <c r="E64" s="14">
        <v>11855384.8352492</v>
      </c>
      <c r="F64" s="14">
        <v>12229619.816548567</v>
      </c>
    </row>
    <row r="65" spans="1:8" x14ac:dyDescent="0.2">
      <c r="A65" s="13" t="s">
        <v>318</v>
      </c>
      <c r="B65" s="14">
        <f>'Amortizacion Credito'!B8</f>
        <v>3573899.1451315759</v>
      </c>
      <c r="C65" s="14">
        <f>'Amortizacion Credito'!B9</f>
        <v>2691315.0027710148</v>
      </c>
      <c r="D65" s="19">
        <f>'Amortizacion Credito'!B10</f>
        <v>1713407.9755399458</v>
      </c>
      <c r="E65" s="14">
        <f>'Amortizacion Credito'!B11</f>
        <v>629882.78172649175</v>
      </c>
      <c r="F65" s="14">
        <v>0</v>
      </c>
      <c r="H65" s="181"/>
    </row>
    <row r="66" spans="1:8" x14ac:dyDescent="0.2">
      <c r="A66" s="164" t="s">
        <v>72</v>
      </c>
      <c r="B66" s="165">
        <f>SUM(B57:B65)</f>
        <v>80288699.145131573</v>
      </c>
      <c r="C66" s="165">
        <f>SUM(C57:C62)</f>
        <v>43238961.816666663</v>
      </c>
      <c r="D66" s="165">
        <f>SUM(D57:D62)</f>
        <v>44604887.524427451</v>
      </c>
      <c r="E66" s="165">
        <f>SUM(E57:E62)</f>
        <v>46013963.053389907</v>
      </c>
      <c r="F66" s="165">
        <f>SUM(F57:F62)</f>
        <v>47467551.513926968</v>
      </c>
    </row>
    <row r="67" spans="1:8" x14ac:dyDescent="0.2">
      <c r="A67" s="82" t="s">
        <v>184</v>
      </c>
      <c r="B67" s="83">
        <f>B54+B66</f>
        <v>180255136.64513159</v>
      </c>
      <c r="C67" s="83">
        <f>C54+C66</f>
        <v>146799704.40599999</v>
      </c>
      <c r="D67" s="83">
        <f>D54+D66</f>
        <v>151859095.81266409</v>
      </c>
      <c r="E67" s="83">
        <f>E54+E66</f>
        <v>156163394.4866752</v>
      </c>
      <c r="F67" s="83">
        <f>F54+F66</f>
        <v>161293125.85067853</v>
      </c>
    </row>
    <row r="68" spans="1:8" x14ac:dyDescent="0.2">
      <c r="A68" s="22"/>
      <c r="B68" s="17"/>
      <c r="C68" s="14"/>
      <c r="D68" s="14"/>
      <c r="E68" s="14"/>
      <c r="F68" s="14"/>
    </row>
    <row r="69" spans="1:8" ht="25.5" x14ac:dyDescent="0.2">
      <c r="A69" s="101" t="s">
        <v>239</v>
      </c>
      <c r="B69" s="102">
        <f>B57+B58+B59+B60+B61+B62+B64+B65</f>
        <v>56288699.145131573</v>
      </c>
      <c r="C69" s="102">
        <f t="shared" ref="C69:F69" si="1">C57+C58+C59+C60+C61+C62+C64+C65</f>
        <v>57071196.819437675</v>
      </c>
      <c r="D69" s="102">
        <f t="shared" si="1"/>
        <v>57810897.207967393</v>
      </c>
      <c r="E69" s="102">
        <f t="shared" si="1"/>
        <v>58499230.670365602</v>
      </c>
      <c r="F69" s="102">
        <f t="shared" si="1"/>
        <v>59697171.330475539</v>
      </c>
    </row>
  </sheetData>
  <mergeCells count="9">
    <mergeCell ref="A33:F33"/>
    <mergeCell ref="A40:F40"/>
    <mergeCell ref="A41:F41"/>
    <mergeCell ref="A55:F55"/>
    <mergeCell ref="H1:I1"/>
    <mergeCell ref="H10:I10"/>
    <mergeCell ref="A1:F1"/>
    <mergeCell ref="A17:F17"/>
    <mergeCell ref="A24:F2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topLeftCell="A39" workbookViewId="0">
      <selection activeCell="A39" sqref="A39"/>
    </sheetView>
  </sheetViews>
  <sheetFormatPr baseColWidth="10" defaultRowHeight="12.75" x14ac:dyDescent="0.2"/>
  <cols>
    <col min="1" max="1" width="34" style="2" customWidth="1"/>
    <col min="2" max="2" width="14.140625" style="2" customWidth="1"/>
    <col min="3" max="3" width="10.140625" style="2" bestFit="1" customWidth="1"/>
    <col min="4" max="4" width="13" style="2" bestFit="1" customWidth="1"/>
    <col min="5" max="5" width="2.7109375" style="2" bestFit="1" customWidth="1"/>
    <col min="6" max="6" width="13.7109375" style="2" bestFit="1" customWidth="1"/>
    <col min="7" max="16384" width="11.42578125" style="2"/>
  </cols>
  <sheetData>
    <row r="1" spans="1:4" x14ac:dyDescent="0.2">
      <c r="A1" s="233" t="s">
        <v>370</v>
      </c>
      <c r="B1" s="233"/>
      <c r="C1" s="233"/>
      <c r="D1" s="233"/>
    </row>
    <row r="2" spans="1:4" ht="25.5" x14ac:dyDescent="0.2">
      <c r="A2" s="54" t="s">
        <v>95</v>
      </c>
      <c r="B2" s="54" t="s">
        <v>93</v>
      </c>
      <c r="C2" s="54" t="s">
        <v>94</v>
      </c>
      <c r="D2" s="54" t="s">
        <v>97</v>
      </c>
    </row>
    <row r="3" spans="1:4" x14ac:dyDescent="0.2">
      <c r="A3" s="62" t="s">
        <v>88</v>
      </c>
      <c r="B3" s="194">
        <v>300</v>
      </c>
      <c r="C3" s="63">
        <f>C4</f>
        <v>2000</v>
      </c>
      <c r="D3" s="63">
        <f t="shared" ref="D3:D25" si="0">C3*B3</f>
        <v>600000</v>
      </c>
    </row>
    <row r="4" spans="1:4" x14ac:dyDescent="0.2">
      <c r="A4" s="21" t="s">
        <v>87</v>
      </c>
      <c r="B4" s="180">
        <v>85</v>
      </c>
      <c r="C4" s="58">
        <f>C5+C6</f>
        <v>2000</v>
      </c>
      <c r="D4" s="58">
        <f t="shared" si="0"/>
        <v>170000</v>
      </c>
    </row>
    <row r="5" spans="1:4" x14ac:dyDescent="0.2">
      <c r="A5" s="64" t="s">
        <v>77</v>
      </c>
      <c r="B5" s="176">
        <v>85</v>
      </c>
      <c r="C5" s="17">
        <v>800</v>
      </c>
      <c r="D5" s="16">
        <f t="shared" si="0"/>
        <v>68000</v>
      </c>
    </row>
    <row r="6" spans="1:4" ht="25.5" x14ac:dyDescent="0.2">
      <c r="A6" s="192" t="s">
        <v>78</v>
      </c>
      <c r="B6" s="195">
        <v>85</v>
      </c>
      <c r="C6" s="190">
        <v>1200</v>
      </c>
      <c r="D6" s="191">
        <f t="shared" si="0"/>
        <v>102000</v>
      </c>
    </row>
    <row r="7" spans="1:4" x14ac:dyDescent="0.2">
      <c r="A7" s="21" t="s">
        <v>319</v>
      </c>
      <c r="B7" s="180">
        <v>215</v>
      </c>
      <c r="C7" s="58">
        <f>C8+C9+((C10+C11+C12)/3)</f>
        <v>2000</v>
      </c>
      <c r="D7" s="58">
        <f t="shared" si="0"/>
        <v>430000</v>
      </c>
    </row>
    <row r="8" spans="1:4" x14ac:dyDescent="0.2">
      <c r="A8" s="64" t="s">
        <v>86</v>
      </c>
      <c r="B8" s="176">
        <v>215</v>
      </c>
      <c r="C8" s="17">
        <v>600</v>
      </c>
      <c r="D8" s="16">
        <f t="shared" si="0"/>
        <v>129000</v>
      </c>
    </row>
    <row r="9" spans="1:4" x14ac:dyDescent="0.2">
      <c r="A9" s="192" t="s">
        <v>79</v>
      </c>
      <c r="B9" s="195">
        <v>215</v>
      </c>
      <c r="C9" s="190">
        <v>1000</v>
      </c>
      <c r="D9" s="191">
        <f t="shared" si="0"/>
        <v>215000</v>
      </c>
    </row>
    <row r="10" spans="1:4" x14ac:dyDescent="0.2">
      <c r="A10" s="64" t="s">
        <v>82</v>
      </c>
      <c r="B10" s="176">
        <v>71</v>
      </c>
      <c r="C10" s="17">
        <v>500</v>
      </c>
      <c r="D10" s="16">
        <f t="shared" si="0"/>
        <v>35500</v>
      </c>
    </row>
    <row r="11" spans="1:4" x14ac:dyDescent="0.2">
      <c r="A11" s="192" t="s">
        <v>83</v>
      </c>
      <c r="B11" s="195">
        <v>72</v>
      </c>
      <c r="C11" s="190">
        <v>400</v>
      </c>
      <c r="D11" s="191">
        <f t="shared" si="0"/>
        <v>28800</v>
      </c>
    </row>
    <row r="12" spans="1:4" x14ac:dyDescent="0.2">
      <c r="A12" s="64" t="s">
        <v>84</v>
      </c>
      <c r="B12" s="176">
        <v>72</v>
      </c>
      <c r="C12" s="17">
        <v>300</v>
      </c>
      <c r="D12" s="16">
        <f t="shared" si="0"/>
        <v>21600</v>
      </c>
    </row>
    <row r="13" spans="1:4" x14ac:dyDescent="0.2">
      <c r="A13" s="62" t="s">
        <v>89</v>
      </c>
      <c r="B13" s="194">
        <v>300</v>
      </c>
      <c r="C13" s="63">
        <f>C14</f>
        <v>6000</v>
      </c>
      <c r="D13" s="63">
        <f t="shared" si="0"/>
        <v>1800000</v>
      </c>
    </row>
    <row r="14" spans="1:4" x14ac:dyDescent="0.2">
      <c r="A14" s="21" t="s">
        <v>87</v>
      </c>
      <c r="B14" s="180">
        <v>85</v>
      </c>
      <c r="C14" s="58">
        <f>C15+C16+C17</f>
        <v>6000</v>
      </c>
      <c r="D14" s="58">
        <f t="shared" si="0"/>
        <v>510000</v>
      </c>
    </row>
    <row r="15" spans="1:4" x14ac:dyDescent="0.2">
      <c r="A15" s="64" t="s">
        <v>80</v>
      </c>
      <c r="B15" s="176">
        <v>85</v>
      </c>
      <c r="C15" s="65">
        <v>1100</v>
      </c>
      <c r="D15" s="16">
        <f t="shared" si="0"/>
        <v>93500</v>
      </c>
    </row>
    <row r="16" spans="1:4" ht="25.5" x14ac:dyDescent="0.2">
      <c r="A16" s="192" t="s">
        <v>96</v>
      </c>
      <c r="B16" s="195">
        <v>85</v>
      </c>
      <c r="C16" s="193">
        <v>900</v>
      </c>
      <c r="D16" s="191">
        <f t="shared" si="0"/>
        <v>76500</v>
      </c>
    </row>
    <row r="17" spans="1:4" x14ac:dyDescent="0.2">
      <c r="A17" s="64" t="s">
        <v>81</v>
      </c>
      <c r="B17" s="176">
        <v>85</v>
      </c>
      <c r="C17" s="65">
        <v>4000</v>
      </c>
      <c r="D17" s="16">
        <f t="shared" si="0"/>
        <v>340000</v>
      </c>
    </row>
    <row r="18" spans="1:4" x14ac:dyDescent="0.2">
      <c r="A18" s="21" t="s">
        <v>319</v>
      </c>
      <c r="B18" s="180">
        <v>215</v>
      </c>
      <c r="C18" s="58">
        <f>C19+C20+C21+C22+((C23+C24+C25)/3)</f>
        <v>6000</v>
      </c>
      <c r="D18" s="58">
        <f t="shared" si="0"/>
        <v>1290000</v>
      </c>
    </row>
    <row r="19" spans="1:4" x14ac:dyDescent="0.2">
      <c r="A19" s="64" t="s">
        <v>85</v>
      </c>
      <c r="B19" s="176">
        <v>215</v>
      </c>
      <c r="C19" s="65">
        <v>600</v>
      </c>
      <c r="D19" s="16">
        <f t="shared" si="0"/>
        <v>129000</v>
      </c>
    </row>
    <row r="20" spans="1:4" x14ac:dyDescent="0.2">
      <c r="A20" s="192" t="s">
        <v>92</v>
      </c>
      <c r="B20" s="195">
        <v>215</v>
      </c>
      <c r="C20" s="193">
        <v>1100</v>
      </c>
      <c r="D20" s="191">
        <f t="shared" si="0"/>
        <v>236500</v>
      </c>
    </row>
    <row r="21" spans="1:4" x14ac:dyDescent="0.2">
      <c r="A21" s="64" t="s">
        <v>90</v>
      </c>
      <c r="B21" s="176">
        <v>215</v>
      </c>
      <c r="C21" s="65">
        <v>2800</v>
      </c>
      <c r="D21" s="16">
        <f t="shared" si="0"/>
        <v>602000</v>
      </c>
    </row>
    <row r="22" spans="1:4" x14ac:dyDescent="0.2">
      <c r="A22" s="192" t="s">
        <v>91</v>
      </c>
      <c r="B22" s="196">
        <v>215</v>
      </c>
      <c r="C22" s="193">
        <v>1100</v>
      </c>
      <c r="D22" s="191">
        <f t="shared" si="0"/>
        <v>236500</v>
      </c>
    </row>
    <row r="23" spans="1:4" x14ac:dyDescent="0.2">
      <c r="A23" s="64" t="s">
        <v>82</v>
      </c>
      <c r="B23" s="176">
        <v>71</v>
      </c>
      <c r="C23" s="17">
        <v>500</v>
      </c>
      <c r="D23" s="16">
        <f t="shared" si="0"/>
        <v>35500</v>
      </c>
    </row>
    <row r="24" spans="1:4" x14ac:dyDescent="0.2">
      <c r="A24" s="192" t="s">
        <v>83</v>
      </c>
      <c r="B24" s="195">
        <v>72</v>
      </c>
      <c r="C24" s="190">
        <v>400</v>
      </c>
      <c r="D24" s="191">
        <f t="shared" si="0"/>
        <v>28800</v>
      </c>
    </row>
    <row r="25" spans="1:4" x14ac:dyDescent="0.2">
      <c r="A25" s="64" t="s">
        <v>84</v>
      </c>
      <c r="B25" s="176">
        <v>72</v>
      </c>
      <c r="C25" s="17">
        <v>300</v>
      </c>
      <c r="D25" s="16">
        <f t="shared" si="0"/>
        <v>21600</v>
      </c>
    </row>
    <row r="26" spans="1:4" ht="25.5" x14ac:dyDescent="0.2">
      <c r="A26" s="66" t="s">
        <v>98</v>
      </c>
      <c r="B26" s="178">
        <f>B3+B13</f>
        <v>600</v>
      </c>
      <c r="C26" s="68">
        <f>C3+C13</f>
        <v>8000</v>
      </c>
      <c r="D26" s="68">
        <f>D3+D13</f>
        <v>2400000</v>
      </c>
    </row>
    <row r="28" spans="1:4" ht="25.5" x14ac:dyDescent="0.2">
      <c r="A28" s="54" t="s">
        <v>100</v>
      </c>
      <c r="B28" s="54" t="s">
        <v>93</v>
      </c>
      <c r="C28" s="54" t="s">
        <v>94</v>
      </c>
      <c r="D28" s="54" t="s">
        <v>97</v>
      </c>
    </row>
    <row r="29" spans="1:4" x14ac:dyDescent="0.2">
      <c r="A29" s="2" t="s">
        <v>101</v>
      </c>
      <c r="B29" s="2">
        <v>310</v>
      </c>
      <c r="C29" s="17">
        <v>150</v>
      </c>
      <c r="D29" s="16">
        <f>B29*C29</f>
        <v>46500</v>
      </c>
    </row>
    <row r="30" spans="1:4" x14ac:dyDescent="0.2">
      <c r="A30" s="189" t="s">
        <v>102</v>
      </c>
      <c r="B30" s="189">
        <v>60</v>
      </c>
      <c r="C30" s="190">
        <v>2000</v>
      </c>
      <c r="D30" s="191">
        <f>B30*C30</f>
        <v>120000</v>
      </c>
    </row>
    <row r="31" spans="1:4" ht="25.5" x14ac:dyDescent="0.2">
      <c r="A31" s="66" t="s">
        <v>103</v>
      </c>
      <c r="B31" s="67">
        <f>SUM(B29:B30)</f>
        <v>370</v>
      </c>
      <c r="C31" s="68">
        <f>SUM(C29:C30)</f>
        <v>2150</v>
      </c>
      <c r="D31" s="68">
        <f>SUM(D29:D30)</f>
        <v>166500</v>
      </c>
    </row>
    <row r="33" spans="1:6" ht="25.5" x14ac:dyDescent="0.2">
      <c r="A33" s="54" t="s">
        <v>99</v>
      </c>
      <c r="B33" s="54" t="s">
        <v>93</v>
      </c>
      <c r="C33" s="54" t="s">
        <v>94</v>
      </c>
      <c r="D33" s="54" t="s">
        <v>97</v>
      </c>
    </row>
    <row r="34" spans="1:6" x14ac:dyDescent="0.2">
      <c r="A34" s="2" t="s">
        <v>320</v>
      </c>
      <c r="B34" s="2">
        <v>30</v>
      </c>
      <c r="C34" s="17">
        <v>14900</v>
      </c>
      <c r="D34" s="16">
        <f>B34*C34</f>
        <v>447000</v>
      </c>
    </row>
    <row r="35" spans="1:6" x14ac:dyDescent="0.2">
      <c r="A35" s="189" t="s">
        <v>321</v>
      </c>
      <c r="B35" s="189">
        <v>30</v>
      </c>
      <c r="C35" s="190">
        <v>2500</v>
      </c>
      <c r="D35" s="191">
        <f>B35*C35</f>
        <v>75000</v>
      </c>
    </row>
    <row r="36" spans="1:6" x14ac:dyDescent="0.2">
      <c r="A36" s="2" t="s">
        <v>106</v>
      </c>
      <c r="B36" s="2">
        <v>160</v>
      </c>
      <c r="C36" s="17">
        <v>250</v>
      </c>
      <c r="D36" s="16">
        <f>B36*C36</f>
        <v>40000</v>
      </c>
    </row>
    <row r="37" spans="1:6" x14ac:dyDescent="0.2">
      <c r="A37" s="66" t="s">
        <v>104</v>
      </c>
      <c r="B37" s="67">
        <f>SUM(B34:B36)</f>
        <v>220</v>
      </c>
      <c r="C37" s="68">
        <f>SUM(C34:C36)</f>
        <v>17650</v>
      </c>
      <c r="D37" s="68">
        <f>SUM(D34:D36)</f>
        <v>562000</v>
      </c>
    </row>
    <row r="39" spans="1:6" ht="25.5" x14ac:dyDescent="0.2">
      <c r="A39" s="54" t="s">
        <v>107</v>
      </c>
      <c r="B39" s="54" t="s">
        <v>93</v>
      </c>
      <c r="C39" s="54" t="s">
        <v>94</v>
      </c>
      <c r="D39" s="54" t="s">
        <v>97</v>
      </c>
    </row>
    <row r="40" spans="1:6" ht="25.5" x14ac:dyDescent="0.2">
      <c r="A40" s="32" t="s">
        <v>322</v>
      </c>
      <c r="B40" s="2">
        <v>310</v>
      </c>
      <c r="C40" s="17">
        <v>1000</v>
      </c>
      <c r="D40" s="16">
        <f>B40*C40</f>
        <v>310000</v>
      </c>
    </row>
    <row r="41" spans="1:6" ht="25.5" x14ac:dyDescent="0.2">
      <c r="A41" s="197" t="s">
        <v>323</v>
      </c>
      <c r="B41" s="189"/>
      <c r="C41" s="190"/>
      <c r="D41" s="191">
        <v>40000</v>
      </c>
    </row>
    <row r="42" spans="1:6" x14ac:dyDescent="0.2">
      <c r="A42" s="66" t="s">
        <v>324</v>
      </c>
      <c r="B42" s="67"/>
      <c r="C42" s="68"/>
      <c r="D42" s="68">
        <f>SUM(D38:D41)</f>
        <v>350000</v>
      </c>
    </row>
    <row r="43" spans="1:6" ht="25.5" x14ac:dyDescent="0.2">
      <c r="A43" s="32" t="s">
        <v>325</v>
      </c>
      <c r="B43" s="16"/>
      <c r="C43" s="17"/>
      <c r="D43" s="16">
        <v>50000</v>
      </c>
    </row>
    <row r="44" spans="1:6" x14ac:dyDescent="0.2">
      <c r="A44" s="66" t="s">
        <v>108</v>
      </c>
      <c r="B44" s="67"/>
      <c r="C44" s="68"/>
      <c r="D44" s="68">
        <f>D43</f>
        <v>50000</v>
      </c>
    </row>
    <row r="47" spans="1:6" ht="25.5" x14ac:dyDescent="0.2">
      <c r="A47" s="54" t="s">
        <v>297</v>
      </c>
      <c r="B47" s="54" t="s">
        <v>93</v>
      </c>
      <c r="C47" s="54" t="s">
        <v>94</v>
      </c>
      <c r="D47" s="54" t="s">
        <v>97</v>
      </c>
      <c r="E47" s="235" t="s">
        <v>298</v>
      </c>
      <c r="F47" s="235"/>
    </row>
    <row r="48" spans="1:6" x14ac:dyDescent="0.2">
      <c r="A48" s="16" t="s">
        <v>326</v>
      </c>
      <c r="B48" s="84">
        <v>250</v>
      </c>
      <c r="C48" s="17">
        <v>8000</v>
      </c>
      <c r="D48" s="17">
        <f>B48*C48</f>
        <v>2000000</v>
      </c>
      <c r="E48" s="94">
        <v>12</v>
      </c>
      <c r="F48" s="17">
        <f>D48*E48</f>
        <v>24000000</v>
      </c>
    </row>
    <row r="49" spans="1:6" x14ac:dyDescent="0.2">
      <c r="A49" s="16" t="s">
        <v>327</v>
      </c>
      <c r="B49" s="84">
        <v>300</v>
      </c>
      <c r="C49" s="17">
        <v>3000</v>
      </c>
      <c r="D49" s="17">
        <f>B49*C49</f>
        <v>900000</v>
      </c>
      <c r="E49" s="94">
        <v>12</v>
      </c>
      <c r="F49" s="17">
        <f>D49*E49</f>
        <v>10800000</v>
      </c>
    </row>
    <row r="50" spans="1:6" x14ac:dyDescent="0.2">
      <c r="A50" s="236" t="s">
        <v>299</v>
      </c>
      <c r="B50" s="236"/>
      <c r="C50" s="236"/>
      <c r="D50" s="152">
        <f>SUM(D48:D49)</f>
        <v>2900000</v>
      </c>
      <c r="E50" s="152"/>
      <c r="F50" s="152">
        <f>SUM(F48:F49)</f>
        <v>34800000</v>
      </c>
    </row>
  </sheetData>
  <mergeCells count="3">
    <mergeCell ref="A1:D1"/>
    <mergeCell ref="E47:F47"/>
    <mergeCell ref="A50:C5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GridLines="0" workbookViewId="0">
      <selection sqref="A1:B1"/>
    </sheetView>
  </sheetViews>
  <sheetFormatPr baseColWidth="10" defaultRowHeight="12.75" x14ac:dyDescent="0.2"/>
  <cols>
    <col min="1" max="1" width="33" style="74" bestFit="1" customWidth="1"/>
    <col min="2" max="2" width="11.42578125" style="74"/>
    <col min="3" max="3" width="7.42578125" style="74" customWidth="1"/>
    <col min="4" max="4" width="11.42578125" style="74" hidden="1" customWidth="1"/>
    <col min="5" max="5" width="33" style="74" bestFit="1" customWidth="1"/>
    <col min="6" max="9" width="11.42578125" style="74"/>
    <col min="10" max="10" width="13.7109375" style="74" bestFit="1" customWidth="1"/>
    <col min="11" max="16384" width="11.42578125" style="74"/>
  </cols>
  <sheetData>
    <row r="1" spans="1:10" x14ac:dyDescent="0.2">
      <c r="A1" s="235" t="s">
        <v>431</v>
      </c>
      <c r="B1" s="235"/>
      <c r="E1" s="233" t="s">
        <v>432</v>
      </c>
      <c r="F1" s="233"/>
    </row>
    <row r="2" spans="1:10" x14ac:dyDescent="0.2">
      <c r="A2" s="10" t="s">
        <v>24</v>
      </c>
      <c r="B2" s="10" t="s">
        <v>3</v>
      </c>
      <c r="E2" s="10" t="s">
        <v>24</v>
      </c>
      <c r="F2" s="10" t="s">
        <v>3</v>
      </c>
    </row>
    <row r="3" spans="1:10" ht="25.5" x14ac:dyDescent="0.2">
      <c r="A3" s="87" t="s">
        <v>185</v>
      </c>
      <c r="B3" s="49">
        <v>1500</v>
      </c>
      <c r="E3" s="87" t="s">
        <v>185</v>
      </c>
      <c r="F3" s="49">
        <v>1500</v>
      </c>
    </row>
    <row r="4" spans="1:10" ht="25.5" x14ac:dyDescent="0.2">
      <c r="A4" s="198" t="s">
        <v>186</v>
      </c>
      <c r="B4" s="199">
        <v>5000</v>
      </c>
      <c r="E4" s="198" t="s">
        <v>186</v>
      </c>
      <c r="F4" s="199">
        <v>5000</v>
      </c>
    </row>
    <row r="5" spans="1:10" ht="25.5" x14ac:dyDescent="0.2">
      <c r="A5" s="87" t="s">
        <v>187</v>
      </c>
      <c r="B5" s="49">
        <v>2000</v>
      </c>
      <c r="E5" s="87" t="s">
        <v>187</v>
      </c>
      <c r="F5" s="49">
        <v>2000</v>
      </c>
    </row>
    <row r="6" spans="1:10" ht="25.5" x14ac:dyDescent="0.2">
      <c r="A6" s="198" t="s">
        <v>188</v>
      </c>
      <c r="B6" s="199">
        <v>9000</v>
      </c>
      <c r="E6" s="198" t="s">
        <v>188</v>
      </c>
      <c r="F6" s="199">
        <v>9000</v>
      </c>
    </row>
    <row r="7" spans="1:10" x14ac:dyDescent="0.2">
      <c r="A7" s="87" t="s">
        <v>353</v>
      </c>
      <c r="B7" s="49">
        <v>1000</v>
      </c>
      <c r="E7" s="87" t="s">
        <v>353</v>
      </c>
      <c r="F7" s="49">
        <v>1000</v>
      </c>
    </row>
    <row r="8" spans="1:10" ht="25.5" x14ac:dyDescent="0.2">
      <c r="A8" s="198" t="s">
        <v>189</v>
      </c>
      <c r="B8" s="199">
        <v>6000</v>
      </c>
      <c r="E8" s="198" t="s">
        <v>189</v>
      </c>
      <c r="F8" s="199">
        <v>6000</v>
      </c>
    </row>
    <row r="9" spans="1:10" x14ac:dyDescent="0.2">
      <c r="A9" s="88" t="s">
        <v>190</v>
      </c>
      <c r="B9" s="49">
        <v>10000</v>
      </c>
      <c r="E9" s="88" t="s">
        <v>193</v>
      </c>
      <c r="F9" s="49">
        <v>10000</v>
      </c>
    </row>
    <row r="10" spans="1:10" x14ac:dyDescent="0.2">
      <c r="A10" s="200" t="s">
        <v>191</v>
      </c>
      <c r="B10" s="199">
        <v>1000</v>
      </c>
      <c r="E10" s="200" t="s">
        <v>191</v>
      </c>
      <c r="F10" s="199">
        <v>1000</v>
      </c>
      <c r="J10" s="133"/>
    </row>
    <row r="11" spans="1:10" x14ac:dyDescent="0.2">
      <c r="A11" s="88" t="s">
        <v>192</v>
      </c>
      <c r="B11" s="49">
        <v>1500</v>
      </c>
      <c r="E11" s="88" t="s">
        <v>192</v>
      </c>
      <c r="F11" s="49">
        <v>1500</v>
      </c>
    </row>
    <row r="12" spans="1:10" x14ac:dyDescent="0.2">
      <c r="A12" s="89" t="s">
        <v>196</v>
      </c>
      <c r="B12" s="90">
        <f>SUM(B3:B11)</f>
        <v>37000</v>
      </c>
      <c r="E12" s="89" t="s">
        <v>196</v>
      </c>
      <c r="F12" s="90">
        <f>SUM(F3:F11)</f>
        <v>37000</v>
      </c>
    </row>
    <row r="13" spans="1:10" x14ac:dyDescent="0.2">
      <c r="A13" s="89" t="s">
        <v>195</v>
      </c>
      <c r="B13" s="93">
        <v>0.4</v>
      </c>
      <c r="E13" s="89" t="s">
        <v>195</v>
      </c>
      <c r="F13" s="93">
        <v>0.4</v>
      </c>
    </row>
    <row r="14" spans="1:10" x14ac:dyDescent="0.2">
      <c r="A14" s="91" t="s">
        <v>197</v>
      </c>
      <c r="B14" s="92">
        <f>(B12*B13)+B12</f>
        <v>51800</v>
      </c>
      <c r="E14" s="91" t="s">
        <v>4</v>
      </c>
      <c r="F14" s="92">
        <f>(F12*F13)+F12</f>
        <v>51800</v>
      </c>
    </row>
    <row r="15" spans="1:10" x14ac:dyDescent="0.2">
      <c r="A15" s="89" t="s">
        <v>328</v>
      </c>
      <c r="B15" s="90">
        <v>8000</v>
      </c>
      <c r="E15" s="89" t="s">
        <v>328</v>
      </c>
      <c r="F15" s="90">
        <v>8000</v>
      </c>
    </row>
    <row r="16" spans="1:10" x14ac:dyDescent="0.2">
      <c r="A16" s="85"/>
      <c r="B16" s="86"/>
      <c r="E16" s="85"/>
      <c r="F16" s="86"/>
    </row>
    <row r="17" spans="1:6" x14ac:dyDescent="0.2">
      <c r="A17" s="91" t="s">
        <v>198</v>
      </c>
      <c r="B17" s="92">
        <v>50000</v>
      </c>
      <c r="E17" s="91" t="s">
        <v>198</v>
      </c>
      <c r="F17" s="92">
        <v>50000</v>
      </c>
    </row>
    <row r="18" spans="1:6" x14ac:dyDescent="0.2">
      <c r="A18" s="91" t="s">
        <v>199</v>
      </c>
      <c r="B18" s="92">
        <v>60000</v>
      </c>
      <c r="E18" s="91" t="s">
        <v>199</v>
      </c>
      <c r="F18" s="92">
        <v>60000</v>
      </c>
    </row>
    <row r="23" spans="1:6" x14ac:dyDescent="0.2">
      <c r="B23" s="2"/>
    </row>
    <row r="24" spans="1:6" x14ac:dyDescent="0.2">
      <c r="B24" s="2"/>
    </row>
  </sheetData>
  <mergeCells count="2">
    <mergeCell ref="E1:F1"/>
    <mergeCell ref="A1:B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topLeftCell="A10" workbookViewId="0">
      <selection activeCell="A10" sqref="A10:F10"/>
    </sheetView>
  </sheetViews>
  <sheetFormatPr baseColWidth="10" defaultRowHeight="12.75" x14ac:dyDescent="0.2"/>
  <cols>
    <col min="1" max="1" width="28.5703125" style="2" bestFit="1" customWidth="1"/>
    <col min="2" max="6" width="15.28515625" style="2" bestFit="1" customWidth="1"/>
    <col min="7" max="9" width="11.42578125" style="2"/>
    <col min="10" max="10" width="11.42578125" style="2" customWidth="1"/>
    <col min="11" max="12" width="11.42578125" style="2"/>
    <col min="13" max="13" width="11.42578125" style="2" customWidth="1"/>
    <col min="14" max="16384" width="11.42578125" style="2"/>
  </cols>
  <sheetData>
    <row r="1" spans="1:6" x14ac:dyDescent="0.2">
      <c r="A1" s="234" t="s">
        <v>312</v>
      </c>
      <c r="B1" s="234"/>
    </row>
    <row r="2" spans="1:6" x14ac:dyDescent="0.2">
      <c r="A2" s="22">
        <v>2010</v>
      </c>
      <c r="B2" s="4">
        <v>3.1699999999999999E-2</v>
      </c>
    </row>
    <row r="3" spans="1:6" x14ac:dyDescent="0.2">
      <c r="A3" s="22">
        <v>2011</v>
      </c>
      <c r="B3" s="4">
        <v>3.73E-2</v>
      </c>
    </row>
    <row r="4" spans="1:6" x14ac:dyDescent="0.2">
      <c r="A4" s="22">
        <v>2012</v>
      </c>
      <c r="B4" s="4">
        <v>2.4400000000000002E-2</v>
      </c>
    </row>
    <row r="5" spans="1:6" x14ac:dyDescent="0.2">
      <c r="A5" s="7">
        <v>2013</v>
      </c>
      <c r="B5" s="8">
        <v>1.9400000000000001E-2</v>
      </c>
    </row>
    <row r="6" spans="1:6" x14ac:dyDescent="0.2">
      <c r="A6" s="22">
        <v>2014</v>
      </c>
      <c r="B6" s="4">
        <v>3.6600000000000001E-2</v>
      </c>
    </row>
    <row r="7" spans="1:6" ht="12.75" customHeight="1" x14ac:dyDescent="0.2">
      <c r="A7" s="22" t="s">
        <v>59</v>
      </c>
      <c r="B7" s="4">
        <v>0.04</v>
      </c>
    </row>
    <row r="8" spans="1:6" x14ac:dyDescent="0.2">
      <c r="A8" s="164" t="s">
        <v>58</v>
      </c>
      <c r="B8" s="166">
        <f>AVERAGE(B2:B7)</f>
        <v>3.1566666666666666E-2</v>
      </c>
      <c r="F8" s="72"/>
    </row>
    <row r="10" spans="1:6" x14ac:dyDescent="0.2">
      <c r="A10" s="233" t="s">
        <v>210</v>
      </c>
      <c r="B10" s="233"/>
      <c r="C10" s="233"/>
      <c r="D10" s="233"/>
      <c r="E10" s="233"/>
      <c r="F10" s="233"/>
    </row>
    <row r="11" spans="1:6" x14ac:dyDescent="0.2">
      <c r="A11" s="10" t="s">
        <v>60</v>
      </c>
      <c r="B11" s="10" t="s">
        <v>61</v>
      </c>
      <c r="C11" s="10" t="s">
        <v>62</v>
      </c>
      <c r="D11" s="10" t="s">
        <v>63</v>
      </c>
      <c r="E11" s="10" t="s">
        <v>64</v>
      </c>
      <c r="F11" s="10" t="s">
        <v>65</v>
      </c>
    </row>
    <row r="12" spans="1:6" x14ac:dyDescent="0.2">
      <c r="A12" s="2" t="s">
        <v>201</v>
      </c>
      <c r="B12" s="17">
        <f>'Precio de Venta'!B17</f>
        <v>50000</v>
      </c>
      <c r="C12" s="16">
        <f>(B12*B8)+B12</f>
        <v>51578.333333333336</v>
      </c>
      <c r="D12" s="16">
        <f>(C12*B8)+C12</f>
        <v>53206.489388888891</v>
      </c>
      <c r="E12" s="16">
        <f>(D12*B8)+D12</f>
        <v>54886.040903931484</v>
      </c>
      <c r="F12" s="16">
        <f>(E12*B8)+E12</f>
        <v>56618.610261798924</v>
      </c>
    </row>
    <row r="13" spans="1:6" x14ac:dyDescent="0.2">
      <c r="A13" s="189" t="s">
        <v>202</v>
      </c>
      <c r="B13" s="190">
        <f>'Precio de Venta'!B18</f>
        <v>60000</v>
      </c>
      <c r="C13" s="191">
        <f>(B13*B8)+B13</f>
        <v>61894</v>
      </c>
      <c r="D13" s="191">
        <f>(C13*B8)+C13</f>
        <v>63847.787266666666</v>
      </c>
      <c r="E13" s="191">
        <f>(D13*B8)+D13</f>
        <v>65863.249084717783</v>
      </c>
      <c r="F13" s="191">
        <f>(E13*B8)+E13</f>
        <v>67942.332314158703</v>
      </c>
    </row>
    <row r="14" spans="1:6" x14ac:dyDescent="0.2">
      <c r="A14" s="2" t="s">
        <v>361</v>
      </c>
      <c r="B14" s="17">
        <v>50000</v>
      </c>
      <c r="C14" s="16">
        <v>52000</v>
      </c>
      <c r="D14" s="16">
        <v>54000</v>
      </c>
      <c r="E14" s="16">
        <v>55000</v>
      </c>
      <c r="F14" s="16">
        <v>57000</v>
      </c>
    </row>
    <row r="15" spans="1:6" x14ac:dyDescent="0.2">
      <c r="A15" s="189" t="s">
        <v>362</v>
      </c>
      <c r="B15" s="190">
        <v>60000</v>
      </c>
      <c r="C15" s="191">
        <v>62000</v>
      </c>
      <c r="D15" s="191">
        <v>64000</v>
      </c>
      <c r="E15" s="191">
        <v>66000</v>
      </c>
      <c r="F15" s="191">
        <v>68000</v>
      </c>
    </row>
    <row r="16" spans="1:6" x14ac:dyDescent="0.2">
      <c r="A16" s="2" t="s">
        <v>203</v>
      </c>
      <c r="B16" s="94">
        <v>50</v>
      </c>
      <c r="C16" s="191">
        <f>(B16*5%)+B16</f>
        <v>52.5</v>
      </c>
      <c r="D16" s="191">
        <f t="shared" ref="D16:F16" si="0">(C16*5%)+C16</f>
        <v>55.125</v>
      </c>
      <c r="E16" s="191">
        <f t="shared" si="0"/>
        <v>57.881250000000001</v>
      </c>
      <c r="F16" s="191">
        <f t="shared" si="0"/>
        <v>60.775312499999998</v>
      </c>
    </row>
    <row r="17" spans="1:7" x14ac:dyDescent="0.2">
      <c r="A17" s="189" t="s">
        <v>204</v>
      </c>
      <c r="B17" s="190">
        <v>250</v>
      </c>
      <c r="C17" s="191">
        <f>(B17*5%)+B17</f>
        <v>262.5</v>
      </c>
      <c r="D17" s="191">
        <f t="shared" ref="D17:F17" si="1">(C17*5%)+C17</f>
        <v>275.625</v>
      </c>
      <c r="E17" s="191">
        <f t="shared" si="1"/>
        <v>289.40625</v>
      </c>
      <c r="F17" s="191">
        <f t="shared" si="1"/>
        <v>303.87656249999998</v>
      </c>
    </row>
    <row r="18" spans="1:7" x14ac:dyDescent="0.2">
      <c r="A18" s="2" t="s">
        <v>205</v>
      </c>
      <c r="B18" s="17">
        <f>(B14*B16)*12</f>
        <v>30000000</v>
      </c>
      <c r="C18" s="17">
        <f t="shared" ref="C18:F18" si="2">(C14*C16)*12</f>
        <v>32760000</v>
      </c>
      <c r="D18" s="17">
        <f t="shared" si="2"/>
        <v>35721000</v>
      </c>
      <c r="E18" s="17">
        <f t="shared" si="2"/>
        <v>38201625</v>
      </c>
      <c r="F18" s="17">
        <f t="shared" si="2"/>
        <v>41570313.75</v>
      </c>
    </row>
    <row r="19" spans="1:7" x14ac:dyDescent="0.2">
      <c r="A19" s="189" t="s">
        <v>207</v>
      </c>
      <c r="B19" s="190">
        <f>(B15*B17)*12</f>
        <v>180000000</v>
      </c>
      <c r="C19" s="191">
        <f t="shared" ref="C19:F19" si="3">(C15*C17)*12</f>
        <v>195300000</v>
      </c>
      <c r="D19" s="191">
        <f t="shared" si="3"/>
        <v>211680000</v>
      </c>
      <c r="E19" s="191">
        <f t="shared" si="3"/>
        <v>229209750</v>
      </c>
      <c r="F19" s="191">
        <f t="shared" si="3"/>
        <v>247963275</v>
      </c>
    </row>
    <row r="20" spans="1:7" x14ac:dyDescent="0.2">
      <c r="A20" s="2" t="s">
        <v>206</v>
      </c>
      <c r="B20" s="17">
        <f>B18+B19</f>
        <v>210000000</v>
      </c>
      <c r="C20" s="17">
        <f t="shared" ref="C20:F20" si="4">C18+C19</f>
        <v>228060000</v>
      </c>
      <c r="D20" s="17">
        <f t="shared" si="4"/>
        <v>247401000</v>
      </c>
      <c r="E20" s="17">
        <f t="shared" si="4"/>
        <v>267411375</v>
      </c>
      <c r="F20" s="17">
        <f t="shared" si="4"/>
        <v>289533588.75</v>
      </c>
      <c r="G20" s="84"/>
    </row>
    <row r="21" spans="1:7" x14ac:dyDescent="0.2">
      <c r="A21" s="189" t="s">
        <v>208</v>
      </c>
      <c r="B21" s="190">
        <f>'Precio de Venta'!B12</f>
        <v>37000</v>
      </c>
      <c r="C21" s="191">
        <f>(B21*B8)+B21</f>
        <v>38167.966666666667</v>
      </c>
      <c r="D21" s="191">
        <f>(C21*B8)+C21</f>
        <v>39372.80214777778</v>
      </c>
      <c r="E21" s="191">
        <f>(D21*B8)+D21</f>
        <v>40615.6702689093</v>
      </c>
      <c r="F21" s="191">
        <f>(E21*B8)+E21</f>
        <v>41897.771593731202</v>
      </c>
      <c r="G21" s="84"/>
    </row>
    <row r="22" spans="1:7" x14ac:dyDescent="0.2">
      <c r="A22" s="2" t="s">
        <v>209</v>
      </c>
      <c r="B22" s="17">
        <f>'Precio de Venta'!B12+'Precio de Venta'!B15</f>
        <v>45000</v>
      </c>
      <c r="C22" s="17">
        <f>(B22*B8)+B22</f>
        <v>46420.5</v>
      </c>
      <c r="D22" s="17">
        <f>(C22*B8)+C22</f>
        <v>47885.840450000003</v>
      </c>
      <c r="E22" s="17">
        <f>(D22*B8)+D22</f>
        <v>49397.436813538334</v>
      </c>
      <c r="F22" s="17">
        <f>(E22*B8)+E22</f>
        <v>50956.749235619027</v>
      </c>
      <c r="G22" s="84"/>
    </row>
    <row r="23" spans="1:7" x14ac:dyDescent="0.2">
      <c r="A23" s="189" t="s">
        <v>200</v>
      </c>
      <c r="B23" s="190">
        <f>'Costos y Gastos '!B67</f>
        <v>180255136.64513159</v>
      </c>
      <c r="C23" s="191">
        <f>(B23*B8)+B23</f>
        <v>185945190.45856291</v>
      </c>
      <c r="D23" s="191">
        <f>(C23*B8)+C23</f>
        <v>191814860.30403823</v>
      </c>
      <c r="E23" s="191">
        <f>(D23*B8)+D23</f>
        <v>197869816.06096902</v>
      </c>
      <c r="F23" s="191">
        <f>(E23*B8)+E23</f>
        <v>204115906.58796027</v>
      </c>
      <c r="G23" s="84"/>
    </row>
  </sheetData>
  <mergeCells count="2">
    <mergeCell ref="A10:F10"/>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workbookViewId="0">
      <selection sqref="A1:E1"/>
    </sheetView>
  </sheetViews>
  <sheetFormatPr baseColWidth="10" defaultRowHeight="12.75" x14ac:dyDescent="0.2"/>
  <cols>
    <col min="1" max="1" width="15.28515625" style="2" customWidth="1"/>
    <col min="2" max="2" width="15" style="2" bestFit="1" customWidth="1"/>
    <col min="3" max="3" width="4.7109375" style="2" customWidth="1"/>
    <col min="4" max="4" width="14.85546875" style="2" bestFit="1" customWidth="1"/>
    <col min="5" max="5" width="15" style="2" bestFit="1" customWidth="1"/>
    <col min="6" max="16384" width="11.42578125" style="2"/>
  </cols>
  <sheetData>
    <row r="1" spans="1:5" x14ac:dyDescent="0.2">
      <c r="A1" s="233" t="s">
        <v>211</v>
      </c>
      <c r="B1" s="233"/>
      <c r="C1" s="233"/>
      <c r="D1" s="233"/>
      <c r="E1" s="233"/>
    </row>
    <row r="2" spans="1:5" x14ac:dyDescent="0.2">
      <c r="A2" s="164" t="s">
        <v>230</v>
      </c>
      <c r="B2" s="238" t="s">
        <v>145</v>
      </c>
      <c r="C2" s="238"/>
      <c r="D2" s="238"/>
      <c r="E2" s="164" t="s">
        <v>3</v>
      </c>
    </row>
    <row r="3" spans="1:5" x14ac:dyDescent="0.2">
      <c r="A3" s="189" t="s">
        <v>374</v>
      </c>
      <c r="B3" s="240" t="s">
        <v>372</v>
      </c>
      <c r="C3" s="240"/>
      <c r="D3" s="240"/>
      <c r="E3" s="202">
        <v>50</v>
      </c>
    </row>
    <row r="4" spans="1:5" x14ac:dyDescent="0.2">
      <c r="A4" s="189" t="s">
        <v>375</v>
      </c>
      <c r="B4" s="240" t="s">
        <v>373</v>
      </c>
      <c r="C4" s="240"/>
      <c r="D4" s="240"/>
      <c r="E4" s="202">
        <v>250</v>
      </c>
    </row>
    <row r="5" spans="1:5" x14ac:dyDescent="0.2">
      <c r="A5" s="189" t="s">
        <v>229</v>
      </c>
      <c r="B5" s="240" t="s">
        <v>212</v>
      </c>
      <c r="C5" s="240"/>
      <c r="D5" s="240"/>
      <c r="E5" s="190">
        <f>'Costos y Gastos '!B54</f>
        <v>99966437.5</v>
      </c>
    </row>
    <row r="6" spans="1:5" x14ac:dyDescent="0.2">
      <c r="A6" s="2" t="s">
        <v>231</v>
      </c>
      <c r="B6" s="241" t="s">
        <v>232</v>
      </c>
      <c r="C6" s="241"/>
      <c r="D6" s="241"/>
      <c r="E6" s="17">
        <f>'Precio de Venta'!B17</f>
        <v>50000</v>
      </c>
    </row>
    <row r="7" spans="1:5" x14ac:dyDescent="0.2">
      <c r="A7" s="189" t="s">
        <v>233</v>
      </c>
      <c r="B7" s="240" t="s">
        <v>236</v>
      </c>
      <c r="C7" s="240"/>
      <c r="D7" s="240"/>
      <c r="E7" s="190">
        <f>'Precio de Venta'!B18</f>
        <v>60000</v>
      </c>
    </row>
    <row r="8" spans="1:5" x14ac:dyDescent="0.2">
      <c r="A8" s="2" t="s">
        <v>234</v>
      </c>
      <c r="B8" s="241" t="s">
        <v>237</v>
      </c>
      <c r="C8" s="241"/>
      <c r="D8" s="241"/>
      <c r="E8" s="17">
        <f>'Costos y Gastos '!B69/3600</f>
        <v>15635.749762536549</v>
      </c>
    </row>
    <row r="9" spans="1:5" x14ac:dyDescent="0.2">
      <c r="A9" s="189" t="s">
        <v>235</v>
      </c>
      <c r="B9" s="240" t="s">
        <v>238</v>
      </c>
      <c r="C9" s="240"/>
      <c r="D9" s="240"/>
      <c r="E9" s="190">
        <f>'Costos y Gastos '!B66/3600</f>
        <v>22302.416429203215</v>
      </c>
    </row>
    <row r="10" spans="1:5" x14ac:dyDescent="0.2">
      <c r="B10" s="81"/>
      <c r="C10" s="81"/>
      <c r="D10" s="81"/>
      <c r="E10" s="17"/>
    </row>
    <row r="11" spans="1:5" x14ac:dyDescent="0.2">
      <c r="A11" s="243" t="s">
        <v>329</v>
      </c>
      <c r="B11" s="243"/>
      <c r="C11" s="243"/>
      <c r="D11" s="243"/>
      <c r="E11" s="243"/>
    </row>
    <row r="12" spans="1:5" x14ac:dyDescent="0.2">
      <c r="A12" s="177"/>
      <c r="B12" s="244" t="s">
        <v>160</v>
      </c>
      <c r="C12" s="244"/>
      <c r="D12" s="244" t="s">
        <v>371</v>
      </c>
      <c r="E12" s="244"/>
    </row>
    <row r="13" spans="1:5" x14ac:dyDescent="0.2">
      <c r="A13" s="114" t="s">
        <v>374</v>
      </c>
      <c r="B13" s="240">
        <v>50</v>
      </c>
      <c r="C13" s="240"/>
      <c r="D13" s="240" t="s">
        <v>240</v>
      </c>
      <c r="E13" s="240"/>
    </row>
    <row r="14" spans="1:5" x14ac:dyDescent="0.2">
      <c r="A14" s="114" t="s">
        <v>375</v>
      </c>
      <c r="B14" s="240">
        <v>250</v>
      </c>
      <c r="C14" s="240"/>
      <c r="D14" s="240" t="s">
        <v>241</v>
      </c>
      <c r="E14" s="240"/>
    </row>
    <row r="15" spans="1:5" x14ac:dyDescent="0.2">
      <c r="A15" s="243" t="s">
        <v>330</v>
      </c>
      <c r="B15" s="243"/>
      <c r="C15" s="243"/>
      <c r="D15" s="243"/>
      <c r="E15" s="243"/>
    </row>
    <row r="16" spans="1:5" x14ac:dyDescent="0.2">
      <c r="A16" s="177"/>
      <c r="B16" s="179" t="s">
        <v>139</v>
      </c>
      <c r="C16" s="242" t="s">
        <v>376</v>
      </c>
      <c r="D16" s="242"/>
      <c r="E16" s="177"/>
    </row>
    <row r="17" spans="1:9" x14ac:dyDescent="0.2">
      <c r="A17" s="114" t="s">
        <v>374</v>
      </c>
      <c r="B17" s="201">
        <v>0.16669999999999999</v>
      </c>
      <c r="C17" s="237">
        <f>(E5*16.67%)</f>
        <v>16664405.131250001</v>
      </c>
      <c r="D17" s="237"/>
      <c r="E17" s="17"/>
    </row>
    <row r="18" spans="1:9" x14ac:dyDescent="0.2">
      <c r="A18" s="114" t="s">
        <v>375</v>
      </c>
      <c r="B18" s="201">
        <v>0.83330000000000004</v>
      </c>
      <c r="C18" s="237">
        <f>(E5*83.33%)</f>
        <v>83302032.368749991</v>
      </c>
      <c r="D18" s="237"/>
      <c r="E18" s="17"/>
    </row>
    <row r="20" spans="1:9" x14ac:dyDescent="0.2">
      <c r="A20" s="235" t="s">
        <v>242</v>
      </c>
      <c r="B20" s="98" t="s">
        <v>229</v>
      </c>
      <c r="D20" s="235" t="s">
        <v>243</v>
      </c>
      <c r="E20" s="98" t="s">
        <v>229</v>
      </c>
    </row>
    <row r="21" spans="1:9" x14ac:dyDescent="0.2">
      <c r="A21" s="235"/>
      <c r="B21" s="24" t="s">
        <v>377</v>
      </c>
      <c r="D21" s="235"/>
      <c r="E21" s="134" t="s">
        <v>378</v>
      </c>
    </row>
    <row r="23" spans="1:9" x14ac:dyDescent="0.2">
      <c r="A23" s="235" t="s">
        <v>242</v>
      </c>
      <c r="B23" s="103">
        <f>C17</f>
        <v>16664405.131250001</v>
      </c>
      <c r="D23" s="235" t="s">
        <v>243</v>
      </c>
      <c r="E23" s="103">
        <f>C18</f>
        <v>83302032.368749991</v>
      </c>
    </row>
    <row r="24" spans="1:9" x14ac:dyDescent="0.2">
      <c r="A24" s="235"/>
      <c r="B24" s="104">
        <f>(E6-E8)</f>
        <v>34364.25023746345</v>
      </c>
      <c r="D24" s="235"/>
      <c r="E24" s="104">
        <f>(E7-E9)</f>
        <v>37697.583570796785</v>
      </c>
    </row>
    <row r="26" spans="1:9" ht="27" customHeight="1" x14ac:dyDescent="0.2">
      <c r="A26" s="174" t="s">
        <v>244</v>
      </c>
      <c r="B26" s="168">
        <f>B23/B24</f>
        <v>484.93434357205001</v>
      </c>
      <c r="C26" s="88"/>
      <c r="D26" s="54" t="s">
        <v>245</v>
      </c>
      <c r="E26" s="168">
        <f>E23/E24</f>
        <v>2209.7446169807458</v>
      </c>
    </row>
    <row r="29" spans="1:9" x14ac:dyDescent="0.2">
      <c r="A29" s="233" t="s">
        <v>246</v>
      </c>
      <c r="B29" s="233"/>
      <c r="C29" s="233"/>
      <c r="D29" s="108">
        <f>B26+E26</f>
        <v>2694.6789605527956</v>
      </c>
      <c r="I29" s="16"/>
    </row>
    <row r="30" spans="1:9" x14ac:dyDescent="0.2">
      <c r="A30" s="239" t="s">
        <v>369</v>
      </c>
      <c r="B30" s="239"/>
      <c r="C30" s="239"/>
      <c r="D30" s="239"/>
      <c r="I30" s="16"/>
    </row>
    <row r="31" spans="1:9" x14ac:dyDescent="0.2">
      <c r="A31" s="239"/>
      <c r="B31" s="239"/>
      <c r="C31" s="239"/>
      <c r="D31" s="239"/>
      <c r="I31" s="16"/>
    </row>
    <row r="32" spans="1:9" x14ac:dyDescent="0.2">
      <c r="A32" s="239"/>
      <c r="B32" s="239"/>
      <c r="C32" s="239"/>
      <c r="D32" s="239"/>
    </row>
    <row r="33" spans="1:4" x14ac:dyDescent="0.2">
      <c r="A33" s="239"/>
      <c r="B33" s="239"/>
      <c r="C33" s="239"/>
      <c r="D33" s="239"/>
    </row>
  </sheetData>
  <mergeCells count="26">
    <mergeCell ref="B4:D4"/>
    <mergeCell ref="C16:D16"/>
    <mergeCell ref="A15:E15"/>
    <mergeCell ref="A11:E11"/>
    <mergeCell ref="B12:C12"/>
    <mergeCell ref="D12:E12"/>
    <mergeCell ref="B13:C13"/>
    <mergeCell ref="B14:C14"/>
    <mergeCell ref="D13:E13"/>
    <mergeCell ref="D14:E14"/>
    <mergeCell ref="C17:D17"/>
    <mergeCell ref="C18:D18"/>
    <mergeCell ref="A1:E1"/>
    <mergeCell ref="B2:D2"/>
    <mergeCell ref="A30:D33"/>
    <mergeCell ref="D20:D21"/>
    <mergeCell ref="D23:D24"/>
    <mergeCell ref="B3:D3"/>
    <mergeCell ref="B5:D5"/>
    <mergeCell ref="B6:D6"/>
    <mergeCell ref="B7:D7"/>
    <mergeCell ref="B8:D8"/>
    <mergeCell ref="B9:D9"/>
    <mergeCell ref="A20:A21"/>
    <mergeCell ref="A23:A24"/>
    <mergeCell ref="A29:C2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workbookViewId="0">
      <selection sqref="A1:F1"/>
    </sheetView>
  </sheetViews>
  <sheetFormatPr baseColWidth="10" defaultColWidth="26.140625" defaultRowHeight="12.75" x14ac:dyDescent="0.2"/>
  <cols>
    <col min="1" max="1" width="20.28515625" style="2" bestFit="1" customWidth="1"/>
    <col min="2" max="6" width="12" style="2" bestFit="1" customWidth="1"/>
    <col min="7" max="7" width="4.7109375" style="2" customWidth="1"/>
    <col min="8" max="8" width="20" style="2" customWidth="1"/>
    <col min="9" max="9" width="26.140625" style="2" hidden="1" customWidth="1"/>
    <col min="10" max="10" width="5.5703125" style="2" bestFit="1" customWidth="1"/>
    <col min="11" max="16384" width="26.140625" style="2"/>
  </cols>
  <sheetData>
    <row r="1" spans="1:10" x14ac:dyDescent="0.2">
      <c r="A1" s="233" t="s">
        <v>291</v>
      </c>
      <c r="B1" s="233"/>
      <c r="C1" s="233"/>
      <c r="D1" s="233"/>
      <c r="E1" s="233"/>
      <c r="F1" s="233"/>
      <c r="H1" s="233" t="s">
        <v>301</v>
      </c>
      <c r="I1" s="233"/>
      <c r="J1" s="115">
        <v>3.1600000000000003E-2</v>
      </c>
    </row>
    <row r="2" spans="1:10" x14ac:dyDescent="0.2">
      <c r="A2" s="10" t="s">
        <v>60</v>
      </c>
      <c r="B2" s="10" t="s">
        <v>61</v>
      </c>
      <c r="C2" s="10" t="s">
        <v>62</v>
      </c>
      <c r="D2" s="10" t="s">
        <v>63</v>
      </c>
      <c r="E2" s="10" t="s">
        <v>64</v>
      </c>
      <c r="F2" s="10" t="s">
        <v>65</v>
      </c>
      <c r="H2" s="234" t="s">
        <v>251</v>
      </c>
      <c r="I2" s="234"/>
      <c r="J2" s="116">
        <v>0.05</v>
      </c>
    </row>
    <row r="3" spans="1:10" x14ac:dyDescent="0.2">
      <c r="A3" s="2" t="s">
        <v>248</v>
      </c>
      <c r="B3" s="17">
        <f>'Proyección de ventas'!B20</f>
        <v>210000000</v>
      </c>
      <c r="C3" s="17">
        <f>'Proyección de ventas'!C20</f>
        <v>228060000</v>
      </c>
      <c r="D3" s="17">
        <f>'Proyección de ventas'!D20</f>
        <v>247401000</v>
      </c>
      <c r="E3" s="17">
        <f>'Proyección de ventas'!E20</f>
        <v>267411375</v>
      </c>
      <c r="F3" s="17">
        <f>'Proyección de ventas'!F20</f>
        <v>289533588.75</v>
      </c>
    </row>
    <row r="4" spans="1:10" ht="25.5" x14ac:dyDescent="0.2">
      <c r="A4" s="64" t="s">
        <v>214</v>
      </c>
      <c r="B4" s="17">
        <f>'Costos y Gastos '!B15</f>
        <v>130114800</v>
      </c>
      <c r="C4" s="17">
        <f>(B4*J1)+(B4*J2)+B4</f>
        <v>140732167.68000001</v>
      </c>
      <c r="D4" s="17">
        <f>(C4*J1)+(C4*J2)+C4</f>
        <v>152215912.56268799</v>
      </c>
      <c r="E4" s="17">
        <f>(D4*J1)+(D4*J2)+D4</f>
        <v>164636731.02780333</v>
      </c>
      <c r="F4" s="17">
        <f>(E4*J1)+(E4*J1)+E4</f>
        <v>175041772.4287605</v>
      </c>
    </row>
    <row r="5" spans="1:10" x14ac:dyDescent="0.2">
      <c r="A5" s="109" t="s">
        <v>215</v>
      </c>
      <c r="B5" s="17">
        <f>B3-B4</f>
        <v>79885200</v>
      </c>
      <c r="C5" s="17">
        <f t="shared" ref="C5:F5" si="0">C3-C4</f>
        <v>87327832.319999993</v>
      </c>
      <c r="D5" s="17">
        <f t="shared" si="0"/>
        <v>95185087.437312007</v>
      </c>
      <c r="E5" s="17">
        <f t="shared" si="0"/>
        <v>102774643.97219667</v>
      </c>
      <c r="F5" s="17">
        <f t="shared" si="0"/>
        <v>114491816.3212395</v>
      </c>
    </row>
    <row r="6" spans="1:10" ht="25.5" x14ac:dyDescent="0.2">
      <c r="A6" s="64" t="s">
        <v>216</v>
      </c>
      <c r="B6" s="17">
        <f>'Costos y Gastos '!B31</f>
        <v>38252997.5</v>
      </c>
      <c r="C6" s="17">
        <f>(B6*J1)+(B6*J2)+B6</f>
        <v>41374442.096000001</v>
      </c>
      <c r="D6" s="17">
        <f>(C6*J1)+(C6*J2)+C6</f>
        <v>44750596.571033604</v>
      </c>
      <c r="E6" s="17">
        <f>(D6*J1)+(D6*J2)+D6</f>
        <v>48402245.251229949</v>
      </c>
      <c r="F6" s="17">
        <f>(E6*J1)+(E6*J1)+E6</f>
        <v>51461267.151107684</v>
      </c>
    </row>
    <row r="7" spans="1:10" x14ac:dyDescent="0.2">
      <c r="A7" s="64" t="s">
        <v>247</v>
      </c>
      <c r="B7" s="17">
        <f>'Costos y Gastos '!B22</f>
        <v>14432000</v>
      </c>
      <c r="C7" s="17">
        <f>(B7*J1)+(B7*J2)+B7</f>
        <v>15609651.199999999</v>
      </c>
      <c r="D7" s="17">
        <f>(C7*J1)+(C7*J2)+C7</f>
        <v>16883398.737920001</v>
      </c>
      <c r="E7" s="17">
        <f>(D7*J1)+(D7*J2)+D7</f>
        <v>18261084.074934274</v>
      </c>
      <c r="F7" s="17">
        <f>(E7*J1)+(E7*J1)+E7</f>
        <v>19415184.58847012</v>
      </c>
    </row>
    <row r="8" spans="1:10" x14ac:dyDescent="0.2">
      <c r="A8" s="2" t="s">
        <v>217</v>
      </c>
      <c r="B8" s="17">
        <f>B6+B7</f>
        <v>52684997.5</v>
      </c>
      <c r="C8" s="17">
        <f>(B8*J1)+(B8*J2)+B8</f>
        <v>56984093.296000004</v>
      </c>
      <c r="D8" s="17">
        <f>(C8*J1)+(C8*J2)+C8</f>
        <v>61633995.308953606</v>
      </c>
      <c r="E8" s="17">
        <f>(D8*J1)+(D8*J2)+D8</f>
        <v>66663329.326164216</v>
      </c>
      <c r="F8" s="17">
        <f>(E8*J1)+(E8*J1)+E8</f>
        <v>70876451.7395778</v>
      </c>
    </row>
    <row r="9" spans="1:10" x14ac:dyDescent="0.2">
      <c r="A9" s="109" t="s">
        <v>218</v>
      </c>
      <c r="B9" s="17">
        <f>B5-B8</f>
        <v>27200202.5</v>
      </c>
      <c r="C9" s="17">
        <f t="shared" ref="C9:F9" si="1">C5-C8</f>
        <v>30343739.023999989</v>
      </c>
      <c r="D9" s="17">
        <f t="shared" si="1"/>
        <v>33551092.128358401</v>
      </c>
      <c r="E9" s="17">
        <f t="shared" si="1"/>
        <v>36111314.646032453</v>
      </c>
      <c r="F9" s="17">
        <f t="shared" si="1"/>
        <v>43615364.581661701</v>
      </c>
    </row>
    <row r="10" spans="1:10" x14ac:dyDescent="0.2">
      <c r="A10" s="64" t="s">
        <v>249</v>
      </c>
      <c r="B10" s="17">
        <f>Inversiones!B24</f>
        <v>948041</v>
      </c>
      <c r="C10" s="17">
        <f>(B10*J1)+(B10*J2)+B10</f>
        <v>1025401.1456</v>
      </c>
      <c r="D10" s="17">
        <f>(C10*J1)+(C10*J2)+C10</f>
        <v>1109073.8790809601</v>
      </c>
      <c r="E10" s="17">
        <f>(D10*J1)+(D10*J2)+D10</f>
        <v>1199574.3076139665</v>
      </c>
      <c r="F10" s="17">
        <f>(E10*J1)+(E10*J1)+E10</f>
        <v>1275387.4038551692</v>
      </c>
      <c r="H10" s="110"/>
    </row>
    <row r="11" spans="1:10" x14ac:dyDescent="0.2">
      <c r="A11" s="2" t="s">
        <v>219</v>
      </c>
      <c r="B11" s="17">
        <v>240000</v>
      </c>
      <c r="C11" s="17">
        <f>(B11*J1)+(B11*J2)+B11</f>
        <v>259584</v>
      </c>
      <c r="D11" s="17">
        <f>(C11*J1)+(C11*J2)+C11</f>
        <v>280766.05440000002</v>
      </c>
      <c r="E11" s="17">
        <f>(D11*J1)+(D11*J2)+D11</f>
        <v>303676.56443904003</v>
      </c>
      <c r="F11" s="17">
        <f>(E11*J1)+(E11*J2)+E11</f>
        <v>328456.57209726569</v>
      </c>
      <c r="G11" s="113"/>
      <c r="H11" s="111"/>
    </row>
    <row r="12" spans="1:10" x14ac:dyDescent="0.2">
      <c r="A12" s="2" t="s">
        <v>352</v>
      </c>
      <c r="B12" s="17">
        <f>'Amortizacion Credito'!B8</f>
        <v>3573899.1451315759</v>
      </c>
      <c r="C12" s="17">
        <f>'Amortizacion Credito'!B9</f>
        <v>2691315.0027710148</v>
      </c>
      <c r="D12" s="17">
        <f>'Amortizacion Credito'!B10</f>
        <v>1713407.9755399458</v>
      </c>
      <c r="E12" s="17">
        <f>'Amortizacion Credito'!B11</f>
        <v>629882.78172649175</v>
      </c>
      <c r="F12" s="17">
        <v>0</v>
      </c>
      <c r="G12" s="113"/>
      <c r="H12" s="111"/>
    </row>
    <row r="13" spans="1:10" x14ac:dyDescent="0.2">
      <c r="A13" s="2" t="s">
        <v>115</v>
      </c>
      <c r="B13" s="17">
        <f>Depreciaciones!G19</f>
        <v>452997.5</v>
      </c>
      <c r="C13" s="17">
        <f>Depreciaciones!H19</f>
        <v>905995</v>
      </c>
      <c r="D13" s="17">
        <f>Depreciaciones!I19</f>
        <v>1358992.5</v>
      </c>
      <c r="E13" s="17">
        <f>Depreciaciones!J19</f>
        <v>911456.66666666663</v>
      </c>
      <c r="F13" s="17">
        <f>Depreciaciones!K19</f>
        <v>1139320.8333333335</v>
      </c>
      <c r="G13" s="113"/>
      <c r="H13" s="111"/>
    </row>
    <row r="14" spans="1:10" x14ac:dyDescent="0.2">
      <c r="A14" s="2" t="s">
        <v>220</v>
      </c>
      <c r="B14" s="17">
        <f>(B9*35%)</f>
        <v>9520070.875</v>
      </c>
      <c r="C14" s="17">
        <f>(B14*J1)+(B14*J2)+B14</f>
        <v>10296908.658399999</v>
      </c>
      <c r="D14" s="17">
        <f>(C14*J1)+(C14*J2)+C14</f>
        <v>11137136.40492544</v>
      </c>
      <c r="E14" s="17">
        <f>(D14*J1)+(D14*J2)+D14</f>
        <v>12045926.735567356</v>
      </c>
      <c r="F14" s="17">
        <f>(E14*J1)+(E14*J1)+E14</f>
        <v>12807229.305255212</v>
      </c>
      <c r="H14" s="111"/>
    </row>
    <row r="15" spans="1:10" x14ac:dyDescent="0.2">
      <c r="A15" s="2" t="s">
        <v>221</v>
      </c>
      <c r="B15" s="17">
        <f>B14</f>
        <v>9520070.875</v>
      </c>
      <c r="C15" s="17">
        <f>(B15*J1)+(B15*J2)+B15</f>
        <v>10296908.658399999</v>
      </c>
      <c r="D15" s="17">
        <f>(C15*J1)+(C15*J2)+C15</f>
        <v>11137136.40492544</v>
      </c>
      <c r="E15" s="17">
        <f>(D15*J1)+(D15*J2)+D15</f>
        <v>12045926.735567356</v>
      </c>
      <c r="F15" s="17">
        <f>(E15*J1)+(E15*J1)+E15</f>
        <v>12807229.305255212</v>
      </c>
      <c r="G15" s="113"/>
      <c r="H15" s="112"/>
    </row>
    <row r="16" spans="1:10" x14ac:dyDescent="0.2">
      <c r="A16" s="69" t="s">
        <v>222</v>
      </c>
      <c r="B16" s="17">
        <f>B14-B15</f>
        <v>0</v>
      </c>
      <c r="C16" s="17">
        <f t="shared" ref="C16" si="2">(B16*B10)+(B16*E10)+B16</f>
        <v>0</v>
      </c>
      <c r="D16" s="17">
        <f t="shared" ref="D16" si="3">(C16*B10)+(C16*E10)+C16</f>
        <v>0</v>
      </c>
      <c r="E16" s="17">
        <f t="shared" ref="E16:F16" si="4">(D16*B10)+(D16*E10)+D16</f>
        <v>0</v>
      </c>
      <c r="F16" s="17">
        <f t="shared" si="4"/>
        <v>0</v>
      </c>
      <c r="H16" s="113"/>
    </row>
    <row r="17" spans="1:8" x14ac:dyDescent="0.2">
      <c r="A17" s="117" t="s">
        <v>223</v>
      </c>
      <c r="B17" s="152">
        <f>B9+B11-B10-B13-B12</f>
        <v>22465264.854868423</v>
      </c>
      <c r="C17" s="152">
        <f>C9+C11-C10-C13-C12</f>
        <v>25980611.875628974</v>
      </c>
      <c r="D17" s="152">
        <f>D9+D11-D10-D13-D12</f>
        <v>29650383.828137495</v>
      </c>
      <c r="E17" s="152">
        <f>E9+E11-E10-E13-E12</f>
        <v>33674077.454464369</v>
      </c>
      <c r="F17" s="152">
        <f>F9+F11-F10-F13-F12</f>
        <v>41529112.916570462</v>
      </c>
      <c r="H17" s="113"/>
    </row>
  </sheetData>
  <mergeCells count="3">
    <mergeCell ref="H2:I2"/>
    <mergeCell ref="A1:F1"/>
    <mergeCell ref="H1:I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Inversiones</vt:lpstr>
      <vt:lpstr>Detalle-CT</vt:lpstr>
      <vt:lpstr>Aportes y Financiación</vt:lpstr>
      <vt:lpstr>Costos y Gastos </vt:lpstr>
      <vt:lpstr>Detalle - CP </vt:lpstr>
      <vt:lpstr>Precio de Venta</vt:lpstr>
      <vt:lpstr>Proyección de ventas</vt:lpstr>
      <vt:lpstr>PEU</vt:lpstr>
      <vt:lpstr>PyG</vt:lpstr>
      <vt:lpstr>Flujo de Caja</vt:lpstr>
      <vt:lpstr>Otros Indicadores</vt:lpstr>
      <vt:lpstr>Balance General</vt:lpstr>
      <vt:lpstr>Nómina</vt:lpstr>
      <vt:lpstr>Detalles-N</vt:lpstr>
      <vt:lpstr>Amortizacion Credito</vt:lpstr>
      <vt:lpstr>Depreciaciones</vt:lpstr>
      <vt:lpstr>Cotizaciones</vt:lpstr>
      <vt:lpstr>Flujo de cajaT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dc:creator>
  <cp:lastModifiedBy>User</cp:lastModifiedBy>
  <cp:lastPrinted>2015-10-17T21:10:20Z</cp:lastPrinted>
  <dcterms:created xsi:type="dcterms:W3CDTF">2015-09-11T06:58:13Z</dcterms:created>
  <dcterms:modified xsi:type="dcterms:W3CDTF">2015-11-05T15:18:36Z</dcterms:modified>
</cp:coreProperties>
</file>