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 para Descargas\Descargas\GERENCIA DE RECURSOS NATURALES\Semestre 2\TESIS ASOPROCEGUA\ANEXOS\"/>
    </mc:Choice>
  </mc:AlternateContent>
  <xr:revisionPtr revIDLastSave="0" documentId="13_ncr:1_{B9A220B8-66E6-4974-AA96-4B7D33F14BC5}" xr6:coauthVersionLast="43" xr6:coauthVersionMax="43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Modelo 1" sheetId="1" r:id="rId1"/>
    <sheet name="Flujo de Caja Modelo 1" sheetId="7" r:id="rId2"/>
    <sheet name="Modelo 2" sheetId="5" r:id="rId3"/>
    <sheet name="Flujo de Caja Modelo 2" sheetId="8" r:id="rId4"/>
    <sheet name="Modelo 3" sheetId="6" r:id="rId5"/>
    <sheet name="Flujo de Caja Modelo 3" sheetId="10" r:id="rId6"/>
    <sheet name="RESUMEN PROPUESTAS" sheetId="11" r:id="rId7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38" i="6" l="1"/>
  <c r="M37" i="6"/>
  <c r="N37" i="6"/>
  <c r="O37" i="6"/>
  <c r="P37" i="6"/>
  <c r="Q37" i="6"/>
  <c r="R37" i="6"/>
  <c r="S37" i="6"/>
  <c r="T37" i="6"/>
  <c r="U37" i="6"/>
  <c r="V37" i="6"/>
  <c r="L37" i="6"/>
  <c r="E3" i="11" l="1"/>
  <c r="D4" i="11"/>
  <c r="D5" i="11"/>
  <c r="D6" i="11"/>
  <c r="D3" i="11"/>
  <c r="C4" i="11"/>
  <c r="C5" i="11"/>
  <c r="C6" i="11"/>
  <c r="C3" i="11"/>
  <c r="C26" i="7"/>
  <c r="C8" i="7"/>
  <c r="K4" i="10" l="1"/>
  <c r="B4" i="10"/>
  <c r="G86" i="6"/>
  <c r="V25" i="6"/>
  <c r="U25" i="6"/>
  <c r="T25" i="6"/>
  <c r="R25" i="6"/>
  <c r="S25" i="6"/>
  <c r="T24" i="6"/>
  <c r="U24" i="6"/>
  <c r="S24" i="6"/>
  <c r="Q24" i="6"/>
  <c r="F66" i="6"/>
  <c r="P22" i="6"/>
  <c r="O22" i="6"/>
  <c r="N22" i="6"/>
  <c r="M22" i="6"/>
  <c r="L22" i="6"/>
  <c r="N20" i="6"/>
  <c r="O20" i="6"/>
  <c r="P20" i="6"/>
  <c r="M20" i="6"/>
  <c r="L20" i="6"/>
  <c r="M19" i="6"/>
  <c r="P18" i="6"/>
  <c r="M18" i="6"/>
  <c r="N18" i="6"/>
  <c r="O18" i="6"/>
  <c r="L18" i="6"/>
  <c r="M17" i="6"/>
  <c r="G81" i="6"/>
  <c r="Q28" i="6" s="1"/>
  <c r="G79" i="6"/>
  <c r="Q25" i="6" s="1"/>
  <c r="F78" i="6"/>
  <c r="F70" i="6"/>
  <c r="G70" i="6" s="1"/>
  <c r="F69" i="6"/>
  <c r="G69" i="6" s="1"/>
  <c r="F68" i="6"/>
  <c r="G68" i="6" s="1"/>
  <c r="G66" i="6"/>
  <c r="G58" i="6" l="1"/>
  <c r="G46" i="6"/>
  <c r="G50" i="6"/>
  <c r="G28" i="6"/>
  <c r="G16" i="6"/>
  <c r="G20" i="6"/>
  <c r="K15" i="6" s="1"/>
  <c r="G33" i="6"/>
  <c r="G32" i="6"/>
  <c r="G15" i="6"/>
  <c r="G36" i="6"/>
  <c r="G40" i="6"/>
  <c r="K10" i="6" l="1"/>
  <c r="G59" i="5"/>
  <c r="T24" i="1"/>
  <c r="F59" i="1"/>
  <c r="U24" i="5"/>
  <c r="U31" i="5"/>
  <c r="G57" i="5"/>
  <c r="G48" i="5"/>
  <c r="L15" i="5" s="1"/>
  <c r="G44" i="5"/>
  <c r="G17" i="5"/>
  <c r="G35" i="5"/>
  <c r="G31" i="5"/>
  <c r="G23" i="5"/>
  <c r="T25" i="1"/>
  <c r="O25" i="1"/>
  <c r="P25" i="1"/>
  <c r="S25" i="1"/>
  <c r="K31" i="1"/>
  <c r="K15" i="1"/>
  <c r="U21" i="1"/>
  <c r="F44" i="1"/>
  <c r="F41" i="1"/>
  <c r="F55" i="1"/>
  <c r="F43" i="1"/>
  <c r="F47" i="1"/>
  <c r="F48" i="1"/>
  <c r="F32" i="1"/>
  <c r="F31" i="1"/>
  <c r="F23" i="1"/>
  <c r="F17" i="1"/>
  <c r="J13" i="1" s="1"/>
  <c r="F35" i="1"/>
  <c r="V39" i="6" l="1"/>
  <c r="T38" i="6"/>
  <c r="U38" i="6"/>
  <c r="M10" i="10"/>
  <c r="L10" i="10"/>
  <c r="K10" i="10"/>
  <c r="J10" i="10"/>
  <c r="I10" i="10"/>
  <c r="H10" i="10"/>
  <c r="G10" i="10"/>
  <c r="F10" i="10"/>
  <c r="E10" i="10"/>
  <c r="D10" i="10"/>
  <c r="C10" i="10"/>
  <c r="B10" i="10"/>
  <c r="O4" i="10"/>
  <c r="N4" i="10"/>
  <c r="N5" i="10" s="1"/>
  <c r="M4" i="10"/>
  <c r="L4" i="10"/>
  <c r="U40" i="6" l="1"/>
  <c r="D11" i="10"/>
  <c r="K5" i="10"/>
  <c r="O5" i="10"/>
  <c r="E11" i="10"/>
  <c r="I11" i="10"/>
  <c r="M11" i="10"/>
  <c r="H11" i="10"/>
  <c r="L5" i="10"/>
  <c r="B11" i="10"/>
  <c r="F11" i="10"/>
  <c r="J11" i="10"/>
  <c r="B5" i="10"/>
  <c r="L11" i="10"/>
  <c r="M5" i="10"/>
  <c r="C11" i="10"/>
  <c r="G11" i="10"/>
  <c r="K11" i="10"/>
  <c r="U30" i="6" l="1"/>
  <c r="F80" i="6"/>
  <c r="C4" i="8"/>
  <c r="V40" i="6"/>
  <c r="N10" i="10" s="1"/>
  <c r="C4" i="7"/>
  <c r="N11" i="10" l="1"/>
  <c r="C5" i="8"/>
  <c r="C5" i="7"/>
  <c r="S38" i="6" l="1"/>
  <c r="R38" i="6"/>
  <c r="Q38" i="6"/>
  <c r="F72" i="6"/>
  <c r="G77" i="6"/>
  <c r="G56" i="6"/>
  <c r="N17" i="6"/>
  <c r="O17" i="6"/>
  <c r="P17" i="6"/>
  <c r="G80" i="6" l="1"/>
  <c r="G78" i="6"/>
  <c r="G72" i="6" l="1"/>
  <c r="V26" i="6" s="1"/>
  <c r="G67" i="6"/>
  <c r="Q23" i="6" s="1"/>
  <c r="G49" i="6"/>
  <c r="G57" i="6"/>
  <c r="G54" i="6" l="1"/>
  <c r="L17" i="6" s="1"/>
  <c r="G55" i="6"/>
  <c r="E19" i="6" l="1"/>
  <c r="G19" i="6" s="1"/>
  <c r="K14" i="6" s="1"/>
  <c r="G73" i="6" l="1"/>
  <c r="G83" i="6"/>
  <c r="G59" i="6"/>
  <c r="G53" i="6"/>
  <c r="L19" i="6" s="1"/>
  <c r="G48" i="6"/>
  <c r="G47" i="6"/>
  <c r="G39" i="6"/>
  <c r="K16" i="6" s="1"/>
  <c r="G38" i="6"/>
  <c r="G37" i="6"/>
  <c r="T40" i="6"/>
  <c r="S40" i="6"/>
  <c r="R40" i="6"/>
  <c r="Q40" i="6"/>
  <c r="P40" i="6"/>
  <c r="O40" i="6"/>
  <c r="N40" i="6"/>
  <c r="M40" i="6"/>
  <c r="L40" i="6"/>
  <c r="G35" i="6"/>
  <c r="G34" i="6"/>
  <c r="G31" i="6"/>
  <c r="G30" i="6"/>
  <c r="G29" i="6"/>
  <c r="T31" i="6"/>
  <c r="S31" i="6"/>
  <c r="R31" i="6"/>
  <c r="Q31" i="6"/>
  <c r="P31" i="6"/>
  <c r="G27" i="6"/>
  <c r="U31" i="6"/>
  <c r="G26" i="6"/>
  <c r="G25" i="6"/>
  <c r="G24" i="6"/>
  <c r="G23" i="6"/>
  <c r="G18" i="6"/>
  <c r="K13" i="6" s="1"/>
  <c r="G17" i="6"/>
  <c r="K12" i="6" s="1"/>
  <c r="O31" i="6"/>
  <c r="N31" i="6"/>
  <c r="M31" i="6"/>
  <c r="G14" i="6"/>
  <c r="K11" i="6" s="1"/>
  <c r="G13" i="6"/>
  <c r="G12" i="6"/>
  <c r="G11" i="6"/>
  <c r="G10" i="6"/>
  <c r="K8" i="6" s="1"/>
  <c r="G9" i="6"/>
  <c r="K7" i="6" s="1"/>
  <c r="G8" i="6"/>
  <c r="G7" i="6"/>
  <c r="G6" i="6"/>
  <c r="K4" i="6" s="1"/>
  <c r="G5" i="6"/>
  <c r="U33" i="5"/>
  <c r="M31" i="5"/>
  <c r="M33" i="5" s="1"/>
  <c r="E4" i="8" s="1"/>
  <c r="N31" i="5"/>
  <c r="N33" i="5" s="1"/>
  <c r="F4" i="8" s="1"/>
  <c r="O31" i="5"/>
  <c r="O33" i="5" s="1"/>
  <c r="G4" i="8" s="1"/>
  <c r="P31" i="5"/>
  <c r="P33" i="5" s="1"/>
  <c r="H4" i="8" s="1"/>
  <c r="Q31" i="5"/>
  <c r="Q33" i="5" s="1"/>
  <c r="I4" i="8" s="1"/>
  <c r="R31" i="5"/>
  <c r="R33" i="5" s="1"/>
  <c r="J4" i="8" s="1"/>
  <c r="S31" i="5"/>
  <c r="S33" i="5" s="1"/>
  <c r="K4" i="8" s="1"/>
  <c r="T31" i="5"/>
  <c r="T33" i="5" s="1"/>
  <c r="V31" i="5"/>
  <c r="L31" i="5"/>
  <c r="L33" i="5" s="1"/>
  <c r="T31" i="1"/>
  <c r="T33" i="1" s="1"/>
  <c r="U31" i="1"/>
  <c r="L31" i="1"/>
  <c r="L33" i="1" s="1"/>
  <c r="E4" i="7" s="1"/>
  <c r="M31" i="1"/>
  <c r="M33" i="1" s="1"/>
  <c r="F4" i="7" s="1"/>
  <c r="N31" i="1"/>
  <c r="N33" i="1" s="1"/>
  <c r="G4" i="7" s="1"/>
  <c r="O31" i="1"/>
  <c r="O33" i="1" s="1"/>
  <c r="H4" i="7" s="1"/>
  <c r="P31" i="1"/>
  <c r="P33" i="1" s="1"/>
  <c r="I4" i="7" s="1"/>
  <c r="Q31" i="1"/>
  <c r="Q33" i="1" s="1"/>
  <c r="J4" i="7" s="1"/>
  <c r="R31" i="1"/>
  <c r="R33" i="1" s="1"/>
  <c r="K4" i="7" s="1"/>
  <c r="S31" i="1"/>
  <c r="S33" i="1" s="1"/>
  <c r="K33" i="1"/>
  <c r="D4" i="7" s="1"/>
  <c r="V32" i="5"/>
  <c r="G84" i="6" l="1"/>
  <c r="V29" i="6"/>
  <c r="G74" i="6"/>
  <c r="V27" i="6"/>
  <c r="K9" i="6"/>
  <c r="K6" i="6"/>
  <c r="G41" i="6"/>
  <c r="K5" i="6"/>
  <c r="K3" i="6"/>
  <c r="G51" i="6"/>
  <c r="G60" i="6"/>
  <c r="G61" i="6" s="1"/>
  <c r="G21" i="6"/>
  <c r="E6" i="10"/>
  <c r="E7" i="10" s="1"/>
  <c r="I6" i="10"/>
  <c r="I7" i="10" s="1"/>
  <c r="K41" i="6"/>
  <c r="C4" i="10"/>
  <c r="G4" i="10"/>
  <c r="F6" i="10"/>
  <c r="F7" i="10" s="1"/>
  <c r="J12" i="10"/>
  <c r="F12" i="10"/>
  <c r="B12" i="10"/>
  <c r="B13" i="10" s="1"/>
  <c r="L6" i="10"/>
  <c r="M12" i="10"/>
  <c r="I12" i="10"/>
  <c r="E12" i="10"/>
  <c r="E13" i="10" s="1"/>
  <c r="O6" i="10"/>
  <c r="K6" i="10"/>
  <c r="L12" i="10"/>
  <c r="H12" i="10"/>
  <c r="D12" i="10"/>
  <c r="D13" i="10" s="1"/>
  <c r="N6" i="10"/>
  <c r="J6" i="10"/>
  <c r="J7" i="10" s="1"/>
  <c r="K12" i="10"/>
  <c r="G12" i="10"/>
  <c r="C12" i="10"/>
  <c r="C13" i="10" s="1"/>
  <c r="M6" i="10"/>
  <c r="D4" i="10"/>
  <c r="H4" i="10"/>
  <c r="G6" i="10"/>
  <c r="G7" i="10" s="1"/>
  <c r="E4" i="10"/>
  <c r="I4" i="10"/>
  <c r="D6" i="10"/>
  <c r="D7" i="10" s="1"/>
  <c r="H6" i="10"/>
  <c r="H7" i="10" s="1"/>
  <c r="F4" i="10"/>
  <c r="J4" i="10"/>
  <c r="V33" i="5"/>
  <c r="O10" i="8" s="1"/>
  <c r="I5" i="8"/>
  <c r="E5" i="8"/>
  <c r="K5" i="8"/>
  <c r="O11" i="8"/>
  <c r="N4" i="8"/>
  <c r="E10" i="8"/>
  <c r="I10" i="8"/>
  <c r="M10" i="8"/>
  <c r="F10" i="8"/>
  <c r="N10" i="8"/>
  <c r="C10" i="8"/>
  <c r="K10" i="8"/>
  <c r="D10" i="8"/>
  <c r="L10" i="8"/>
  <c r="O4" i="8"/>
  <c r="J10" i="8"/>
  <c r="G10" i="8"/>
  <c r="M4" i="8"/>
  <c r="H10" i="8"/>
  <c r="L4" i="8"/>
  <c r="H5" i="8"/>
  <c r="G5" i="8"/>
  <c r="D4" i="8"/>
  <c r="K34" i="5"/>
  <c r="J5" i="8"/>
  <c r="F5" i="8"/>
  <c r="E5" i="7"/>
  <c r="O4" i="7"/>
  <c r="F10" i="7"/>
  <c r="J10" i="7"/>
  <c r="N10" i="7"/>
  <c r="C10" i="7"/>
  <c r="C11" i="7" s="1"/>
  <c r="G10" i="7"/>
  <c r="K10" i="7"/>
  <c r="M4" i="7"/>
  <c r="D10" i="7"/>
  <c r="H10" i="7"/>
  <c r="L10" i="7"/>
  <c r="N4" i="7"/>
  <c r="E10" i="7"/>
  <c r="I10" i="7"/>
  <c r="M10" i="7"/>
  <c r="L4" i="7"/>
  <c r="H5" i="7"/>
  <c r="D5" i="7"/>
  <c r="I5" i="7"/>
  <c r="K5" i="7"/>
  <c r="G5" i="7"/>
  <c r="J5" i="7"/>
  <c r="F5" i="7"/>
  <c r="L31" i="6"/>
  <c r="V23" i="5"/>
  <c r="G56" i="5"/>
  <c r="V22" i="5" s="1"/>
  <c r="G55" i="5"/>
  <c r="V21" i="5" s="1"/>
  <c r="G50" i="5"/>
  <c r="L20" i="5" s="1"/>
  <c r="G49" i="5"/>
  <c r="L18" i="5" s="1"/>
  <c r="G47" i="5"/>
  <c r="G43" i="5"/>
  <c r="G42" i="5"/>
  <c r="G41" i="5"/>
  <c r="G34" i="5"/>
  <c r="K14" i="5" s="1"/>
  <c r="G33" i="5"/>
  <c r="G32" i="5"/>
  <c r="G30" i="5"/>
  <c r="G29" i="5"/>
  <c r="G28" i="5"/>
  <c r="G27" i="5"/>
  <c r="G26" i="5"/>
  <c r="T25" i="5"/>
  <c r="L6" i="8" s="1"/>
  <c r="L7" i="8" s="1"/>
  <c r="S25" i="5"/>
  <c r="R25" i="5"/>
  <c r="J6" i="8" s="1"/>
  <c r="J7" i="8" s="1"/>
  <c r="Q25" i="5"/>
  <c r="I6" i="8" s="1"/>
  <c r="I7" i="8" s="1"/>
  <c r="P25" i="5"/>
  <c r="H6" i="8" s="1"/>
  <c r="H7" i="8" s="1"/>
  <c r="G25" i="5"/>
  <c r="U25" i="5"/>
  <c r="G24" i="5"/>
  <c r="G22" i="5"/>
  <c r="G21" i="5"/>
  <c r="G20" i="5"/>
  <c r="G16" i="5"/>
  <c r="K12" i="5" s="1"/>
  <c r="L16" i="5"/>
  <c r="G15" i="5"/>
  <c r="O15" i="5"/>
  <c r="O25" i="5" s="1"/>
  <c r="G6" i="8" s="1"/>
  <c r="G7" i="8" s="1"/>
  <c r="N15" i="5"/>
  <c r="N25" i="5" s="1"/>
  <c r="F6" i="8" s="1"/>
  <c r="F7" i="8" s="1"/>
  <c r="M15" i="5"/>
  <c r="M25" i="5" s="1"/>
  <c r="E6" i="8" s="1"/>
  <c r="E7" i="8" s="1"/>
  <c r="G14" i="5"/>
  <c r="G13" i="5"/>
  <c r="G12" i="5"/>
  <c r="G11" i="5"/>
  <c r="G10" i="5"/>
  <c r="K8" i="5" s="1"/>
  <c r="G9" i="5"/>
  <c r="G8" i="5"/>
  <c r="K6" i="5" s="1"/>
  <c r="G7" i="5"/>
  <c r="K5" i="5" s="1"/>
  <c r="G6" i="5"/>
  <c r="K4" i="5" s="1"/>
  <c r="G5" i="5"/>
  <c r="K3" i="5" s="1"/>
  <c r="U32" i="1"/>
  <c r="U33" i="1" s="1"/>
  <c r="O11" i="10" l="1"/>
  <c r="K9" i="5"/>
  <c r="G45" i="5"/>
  <c r="K7" i="5"/>
  <c r="D5" i="8"/>
  <c r="C16" i="8"/>
  <c r="G85" i="6"/>
  <c r="G87" i="6" s="1"/>
  <c r="G42" i="6"/>
  <c r="D14" i="10"/>
  <c r="J5" i="10"/>
  <c r="J8" i="10"/>
  <c r="I5" i="10"/>
  <c r="I8" i="10"/>
  <c r="D8" i="10"/>
  <c r="D5" i="10"/>
  <c r="C14" i="10"/>
  <c r="N7" i="10"/>
  <c r="N8" i="10"/>
  <c r="K7" i="10"/>
  <c r="K8" i="10"/>
  <c r="M13" i="10"/>
  <c r="M14" i="10"/>
  <c r="J13" i="10"/>
  <c r="J14" i="10"/>
  <c r="G8" i="10"/>
  <c r="G5" i="10"/>
  <c r="F5" i="10"/>
  <c r="F8" i="10"/>
  <c r="E5" i="10"/>
  <c r="E8" i="10"/>
  <c r="H8" i="10"/>
  <c r="H5" i="10"/>
  <c r="K13" i="10"/>
  <c r="K14" i="10"/>
  <c r="H13" i="10"/>
  <c r="H14" i="10"/>
  <c r="E14" i="10"/>
  <c r="B14" i="10"/>
  <c r="O10" i="10"/>
  <c r="C5" i="10"/>
  <c r="G13" i="10"/>
  <c r="G14" i="10"/>
  <c r="O7" i="10"/>
  <c r="O8" i="10"/>
  <c r="L7" i="10"/>
  <c r="L8" i="10"/>
  <c r="C6" i="10"/>
  <c r="M7" i="10"/>
  <c r="M8" i="10"/>
  <c r="L13" i="10"/>
  <c r="L14" i="10"/>
  <c r="I13" i="10"/>
  <c r="I14" i="10"/>
  <c r="F13" i="10"/>
  <c r="F14" i="10"/>
  <c r="G8" i="8"/>
  <c r="G51" i="5"/>
  <c r="G52" i="5" s="1"/>
  <c r="G18" i="5"/>
  <c r="G36" i="5"/>
  <c r="J8" i="8"/>
  <c r="D12" i="8"/>
  <c r="D13" i="8" s="1"/>
  <c r="C12" i="8"/>
  <c r="C13" i="8" s="1"/>
  <c r="H12" i="8"/>
  <c r="H13" i="8" s="1"/>
  <c r="L12" i="8"/>
  <c r="L13" i="8" s="1"/>
  <c r="N6" i="8"/>
  <c r="N7" i="8" s="1"/>
  <c r="J12" i="8"/>
  <c r="J13" i="8" s="1"/>
  <c r="O6" i="8"/>
  <c r="O7" i="8" s="1"/>
  <c r="K12" i="8"/>
  <c r="K13" i="8" s="1"/>
  <c r="E12" i="8"/>
  <c r="E13" i="8" s="1"/>
  <c r="I12" i="8"/>
  <c r="I13" i="8" s="1"/>
  <c r="M12" i="8"/>
  <c r="M13" i="8" s="1"/>
  <c r="F12" i="8"/>
  <c r="F13" i="8" s="1"/>
  <c r="N12" i="8"/>
  <c r="N13" i="8" s="1"/>
  <c r="G12" i="8"/>
  <c r="G13" i="8" s="1"/>
  <c r="M6" i="8"/>
  <c r="M7" i="8" s="1"/>
  <c r="K6" i="8"/>
  <c r="L5" i="8"/>
  <c r="L8" i="8"/>
  <c r="J11" i="8"/>
  <c r="K11" i="8"/>
  <c r="M11" i="8"/>
  <c r="H11" i="8"/>
  <c r="O5" i="8"/>
  <c r="C11" i="8"/>
  <c r="I11" i="8"/>
  <c r="E8" i="8"/>
  <c r="K10" i="5"/>
  <c r="F8" i="8"/>
  <c r="M5" i="8"/>
  <c r="L11" i="8"/>
  <c r="N14" i="8"/>
  <c r="N11" i="8"/>
  <c r="E11" i="8"/>
  <c r="L25" i="5"/>
  <c r="D6" i="8" s="1"/>
  <c r="D7" i="8" s="1"/>
  <c r="H8" i="8"/>
  <c r="G11" i="8"/>
  <c r="D11" i="8"/>
  <c r="D14" i="8"/>
  <c r="F11" i="8"/>
  <c r="N5" i="8"/>
  <c r="I8" i="8"/>
  <c r="I11" i="7"/>
  <c r="H11" i="7"/>
  <c r="G11" i="7"/>
  <c r="F11" i="7"/>
  <c r="E11" i="7"/>
  <c r="D11" i="7"/>
  <c r="O5" i="7"/>
  <c r="L5" i="7"/>
  <c r="N5" i="7"/>
  <c r="M5" i="7"/>
  <c r="N11" i="7"/>
  <c r="J34" i="1"/>
  <c r="O10" i="7"/>
  <c r="C17" i="7" s="1"/>
  <c r="M11" i="7"/>
  <c r="L11" i="7"/>
  <c r="K11" i="7"/>
  <c r="J11" i="7"/>
  <c r="K31" i="6"/>
  <c r="V31" i="6"/>
  <c r="V25" i="5"/>
  <c r="O12" i="8" s="1"/>
  <c r="G58" i="5"/>
  <c r="K11" i="5"/>
  <c r="C16" i="7" l="1"/>
  <c r="O8" i="8"/>
  <c r="M14" i="8"/>
  <c r="C17" i="8"/>
  <c r="C7" i="10"/>
  <c r="G37" i="5"/>
  <c r="G60" i="5" s="1"/>
  <c r="N12" i="10"/>
  <c r="C8" i="10"/>
  <c r="D8" i="8"/>
  <c r="N8" i="8"/>
  <c r="E14" i="8"/>
  <c r="G14" i="8"/>
  <c r="J14" i="8"/>
  <c r="I14" i="8"/>
  <c r="K25" i="5"/>
  <c r="C6" i="8" s="1"/>
  <c r="M8" i="8"/>
  <c r="K7" i="8"/>
  <c r="K8" i="8"/>
  <c r="O13" i="8"/>
  <c r="O14" i="8"/>
  <c r="L14" i="8"/>
  <c r="F14" i="8"/>
  <c r="C14" i="8"/>
  <c r="H14" i="8"/>
  <c r="K14" i="8"/>
  <c r="O11" i="7"/>
  <c r="K32" i="6"/>
  <c r="B6" i="10"/>
  <c r="O13" i="10" s="1"/>
  <c r="B20" i="10" s="1"/>
  <c r="E4" i="11" s="1"/>
  <c r="H6" i="7"/>
  <c r="I6" i="7"/>
  <c r="Q25" i="1"/>
  <c r="J6" i="7" s="1"/>
  <c r="R25" i="1"/>
  <c r="L6" i="7"/>
  <c r="F30" i="1"/>
  <c r="N15" i="1"/>
  <c r="N25" i="1" s="1"/>
  <c r="G6" i="7" s="1"/>
  <c r="M15" i="1"/>
  <c r="M25" i="1" s="1"/>
  <c r="F6" i="7" s="1"/>
  <c r="L15" i="1"/>
  <c r="L25" i="1" s="1"/>
  <c r="E6" i="7" s="1"/>
  <c r="O12" i="10" l="1"/>
  <c r="C7" i="8"/>
  <c r="C19" i="8" s="1"/>
  <c r="C25" i="8" s="1"/>
  <c r="C18" i="8"/>
  <c r="N13" i="10"/>
  <c r="N14" i="10"/>
  <c r="B21" i="10" s="1"/>
  <c r="E5" i="11" s="1"/>
  <c r="C8" i="8"/>
  <c r="C20" i="8" s="1"/>
  <c r="K26" i="5"/>
  <c r="F7" i="7"/>
  <c r="F8" i="7"/>
  <c r="O6" i="7"/>
  <c r="F12" i="7"/>
  <c r="J12" i="7"/>
  <c r="N12" i="7"/>
  <c r="C12" i="7"/>
  <c r="C13" i="7" s="1"/>
  <c r="G12" i="7"/>
  <c r="K12" i="7"/>
  <c r="M6" i="7"/>
  <c r="D12" i="7"/>
  <c r="H12" i="7"/>
  <c r="L12" i="7"/>
  <c r="N6" i="7"/>
  <c r="E12" i="7"/>
  <c r="I12" i="7"/>
  <c r="M12" i="7"/>
  <c r="K6" i="7"/>
  <c r="E7" i="7"/>
  <c r="E8" i="7"/>
  <c r="J7" i="7"/>
  <c r="J8" i="7"/>
  <c r="I7" i="7"/>
  <c r="I8" i="7"/>
  <c r="G7" i="7"/>
  <c r="G8" i="7"/>
  <c r="L7" i="7"/>
  <c r="L8" i="7"/>
  <c r="H7" i="7"/>
  <c r="H8" i="7"/>
  <c r="B7" i="10"/>
  <c r="B8" i="10"/>
  <c r="B22" i="10" s="1"/>
  <c r="E6" i="11" s="1"/>
  <c r="F57" i="1"/>
  <c r="U23" i="1" s="1"/>
  <c r="F33" i="1"/>
  <c r="F56" i="1"/>
  <c r="C26" i="8" l="1"/>
  <c r="C27" i="8"/>
  <c r="U22" i="1"/>
  <c r="U25" i="1" s="1"/>
  <c r="O12" i="7" s="1"/>
  <c r="F58" i="1"/>
  <c r="I13" i="7"/>
  <c r="I14" i="7"/>
  <c r="H13" i="7"/>
  <c r="H14" i="7"/>
  <c r="G13" i="7"/>
  <c r="G14" i="7"/>
  <c r="F13" i="7"/>
  <c r="F14" i="7"/>
  <c r="E13" i="7"/>
  <c r="E14" i="7"/>
  <c r="D13" i="7"/>
  <c r="D14" i="7"/>
  <c r="C14" i="7"/>
  <c r="O7" i="7"/>
  <c r="O8" i="7"/>
  <c r="K7" i="7"/>
  <c r="K8" i="7"/>
  <c r="N7" i="7"/>
  <c r="N8" i="7"/>
  <c r="M7" i="7"/>
  <c r="M8" i="7"/>
  <c r="N13" i="7"/>
  <c r="N14" i="7"/>
  <c r="M13" i="7"/>
  <c r="M14" i="7"/>
  <c r="L13" i="7"/>
  <c r="L14" i="7"/>
  <c r="K13" i="7"/>
  <c r="K14" i="7"/>
  <c r="J13" i="7"/>
  <c r="J14" i="7"/>
  <c r="O14" i="10"/>
  <c r="F50" i="1"/>
  <c r="K20" i="1" s="1"/>
  <c r="F49" i="1"/>
  <c r="F42" i="1"/>
  <c r="F45" i="1" s="1"/>
  <c r="F21" i="1"/>
  <c r="F6" i="1"/>
  <c r="K16" i="1"/>
  <c r="F22" i="1"/>
  <c r="F24" i="1"/>
  <c r="F34" i="1"/>
  <c r="J14" i="1" s="1"/>
  <c r="F28" i="1"/>
  <c r="F25" i="1"/>
  <c r="F26" i="1"/>
  <c r="F27" i="1"/>
  <c r="F29" i="1"/>
  <c r="F20" i="1"/>
  <c r="F11" i="1"/>
  <c r="F13" i="1"/>
  <c r="F5" i="1"/>
  <c r="F8" i="1"/>
  <c r="F9" i="1"/>
  <c r="F10" i="1"/>
  <c r="J8" i="1" s="1"/>
  <c r="F12" i="1"/>
  <c r="F14" i="1"/>
  <c r="J10" i="1" s="1"/>
  <c r="F15" i="1"/>
  <c r="F16" i="1"/>
  <c r="J12" i="1" s="1"/>
  <c r="F7" i="1"/>
  <c r="J11" i="1" l="1"/>
  <c r="J7" i="1"/>
  <c r="J9" i="1"/>
  <c r="F36" i="1"/>
  <c r="F37" i="1" s="1"/>
  <c r="F18" i="1"/>
  <c r="F51" i="1"/>
  <c r="F52" i="1" s="1"/>
  <c r="J3" i="1"/>
  <c r="J6" i="1"/>
  <c r="J5" i="1"/>
  <c r="J4" i="1"/>
  <c r="K18" i="1"/>
  <c r="K25" i="1" s="1"/>
  <c r="D6" i="7" s="1"/>
  <c r="D7" i="7" l="1"/>
  <c r="F60" i="1"/>
  <c r="J25" i="1"/>
  <c r="D8" i="7"/>
  <c r="O13" i="7"/>
  <c r="O14" i="7"/>
  <c r="C6" i="7" l="1"/>
  <c r="J26" i="1"/>
  <c r="C20" i="7"/>
  <c r="C18" i="7" l="1"/>
  <c r="C19" i="7"/>
  <c r="C25" i="7" s="1"/>
  <c r="C7" i="7"/>
  <c r="C27" i="7"/>
</calcChain>
</file>

<file path=xl/sharedStrings.xml><?xml version="1.0" encoding="utf-8"?>
<sst xmlns="http://schemas.openxmlformats.org/spreadsheetml/2006/main" count="746" uniqueCount="248">
  <si>
    <t>ACTIVIDAD</t>
  </si>
  <si>
    <t>DESCRIPCIÓN</t>
  </si>
  <si>
    <t>UNIDAD</t>
  </si>
  <si>
    <t>Valor Unitario</t>
  </si>
  <si>
    <t>CANTIDAD</t>
  </si>
  <si>
    <t>VALOR TOTAL</t>
  </si>
  <si>
    <t>ESTABLECIMIENTO</t>
  </si>
  <si>
    <t>MANO DE OBRA</t>
  </si>
  <si>
    <t>Orientación y trazado</t>
  </si>
  <si>
    <t>1 vez antes de plantar</t>
  </si>
  <si>
    <t>Fertilización Inicial Achapo</t>
  </si>
  <si>
    <t>1 vez en la siembra y a los 6 meses</t>
  </si>
  <si>
    <t>INSUMOS Y HERRAMIENTAS</t>
  </si>
  <si>
    <t>1 vez a los 2 meses</t>
  </si>
  <si>
    <t>Herbicida</t>
  </si>
  <si>
    <t>Material Vegetal</t>
  </si>
  <si>
    <t>MANTENIMIENTO</t>
  </si>
  <si>
    <t>APROVECHAMIENTO</t>
  </si>
  <si>
    <t>Insecticida</t>
  </si>
  <si>
    <t>Control de hormiga</t>
  </si>
  <si>
    <t>Subsolado</t>
  </si>
  <si>
    <t>MAQUINARIA, INSUMOS Y HERRAMIENTAS</t>
  </si>
  <si>
    <t>Mecanización del suelo 1 sola vez</t>
  </si>
  <si>
    <t>ESTABLECIMIENTO (HASTA LOS 6 MESES)</t>
  </si>
  <si>
    <t>Control de maleza químico</t>
  </si>
  <si>
    <t>Control de maleza mecánico</t>
  </si>
  <si>
    <t>COSTOS MODELO 1 POR HECTÁCEA (PEQUEÑO PRODUCTOR)</t>
  </si>
  <si>
    <t>Ahoyado y siembra Botón de oro (3642 estacas)</t>
  </si>
  <si>
    <t>Ahoyado y siembra Achapo (365 plántulas)</t>
  </si>
  <si>
    <t>Ahoyado y siembra Matarratón (729 estacas)</t>
  </si>
  <si>
    <t>Plantador manual</t>
  </si>
  <si>
    <t>1 vez en área a plantar</t>
  </si>
  <si>
    <t>Alquiler/día</t>
  </si>
  <si>
    <t>Tractor (subsolador)</t>
  </si>
  <si>
    <t>Hectárea laboreada</t>
  </si>
  <si>
    <t xml:space="preserve">Encalado </t>
  </si>
  <si>
    <t>Cal</t>
  </si>
  <si>
    <t>Transporte insumos</t>
  </si>
  <si>
    <t>Viajes</t>
  </si>
  <si>
    <t>Transporte de San José a Finca</t>
  </si>
  <si>
    <t>Fertilizante (para Achapo)</t>
  </si>
  <si>
    <t>Ambas actividades mismo jornal</t>
  </si>
  <si>
    <t>Jornal</t>
  </si>
  <si>
    <t>Resiembra y Fertilización (15% de los individuos)</t>
  </si>
  <si>
    <t>Subtotal</t>
  </si>
  <si>
    <t>Kg</t>
  </si>
  <si>
    <t>Credit</t>
  </si>
  <si>
    <t>Atta-Kill</t>
  </si>
  <si>
    <t>Plantador</t>
  </si>
  <si>
    <t>Barra</t>
  </si>
  <si>
    <t>Herramienta para plantar plántulas</t>
  </si>
  <si>
    <t>Herramienta para plantar estacas</t>
  </si>
  <si>
    <t>NPK (18-18-18) (250gr/planta)</t>
  </si>
  <si>
    <t>Bulto (50Kg)</t>
  </si>
  <si>
    <t>En área a plantar (1Ton/ha)</t>
  </si>
  <si>
    <t>Estacas matarratón</t>
  </si>
  <si>
    <t>Estacas botón de oro</t>
  </si>
  <si>
    <t>Total Establecimiento 1Ha Modelo 1</t>
  </si>
  <si>
    <t>Guadaña</t>
  </si>
  <si>
    <t>Herramienta para control de maleza</t>
  </si>
  <si>
    <t>Motosierra</t>
  </si>
  <si>
    <t>Herramienta para podas</t>
  </si>
  <si>
    <t>Cercado</t>
  </si>
  <si>
    <t>Cerca eléctrica</t>
  </si>
  <si>
    <t>Cerca eléctrica (1000m lineales)</t>
  </si>
  <si>
    <t xml:space="preserve">Cerca eléctrica </t>
  </si>
  <si>
    <t xml:space="preserve">1000 m de cerca </t>
  </si>
  <si>
    <t>Fertilización Achapo</t>
  </si>
  <si>
    <t>Podas Achapo</t>
  </si>
  <si>
    <t>NPK (18-18-18) (250gr/planta) (al año 2 y 4)</t>
  </si>
  <si>
    <t>1 anual (2 jornales)</t>
  </si>
  <si>
    <t>1 anual (3 jornales)</t>
  </si>
  <si>
    <t>Total Mantenimiento 1Ha Modelo 1</t>
  </si>
  <si>
    <t>Total Aprovechamiento 1Ha Modelo 1</t>
  </si>
  <si>
    <t xml:space="preserve">TOTAL COSTOS MODELO 1 </t>
  </si>
  <si>
    <t>Viaje</t>
  </si>
  <si>
    <t>(Camión 600, capacidad máx 20m3)</t>
  </si>
  <si>
    <t>Cargue y descargue de camión</t>
  </si>
  <si>
    <t>2 operarios</t>
  </si>
  <si>
    <t>2 operarios (8 árboles / día)</t>
  </si>
  <si>
    <t>Cuadrilla tala 347 achapos (año 25)</t>
  </si>
  <si>
    <t>Estaca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</si>
  <si>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</si>
  <si>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</si>
  <si>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</si>
  <si>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</si>
  <si>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</si>
  <si>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</si>
  <si>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</si>
  <si>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</si>
  <si>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</si>
  <si>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ETAPA</t>
  </si>
  <si>
    <t>COSTOS TOTALES MODELO 1</t>
  </si>
  <si>
    <t>ACTVIDAD</t>
  </si>
  <si>
    <t>Ahoyado y siembra</t>
  </si>
  <si>
    <t>Compra de motosierra</t>
  </si>
  <si>
    <t>APROVECHAMIENTO (AÑO 25)</t>
  </si>
  <si>
    <t>AÑO 25</t>
  </si>
  <si>
    <t>Fertilizante resiembra Achapo</t>
  </si>
  <si>
    <t>IMPREVISTOS</t>
  </si>
  <si>
    <t>200,000 anual</t>
  </si>
  <si>
    <t>AÑO 10-24</t>
  </si>
  <si>
    <t>Total Imprevistos 1Ha Modelo 1 ($200.000 / año)</t>
  </si>
  <si>
    <t>TOTAL COSTOS</t>
  </si>
  <si>
    <t>BENEFICIOS TOTALES MODELO 1</t>
  </si>
  <si>
    <t>Madera de Achapo</t>
  </si>
  <si>
    <t>Leche (mayor calidad y cantidad, 21 cabezas de ganado)</t>
  </si>
  <si>
    <t>AÑO 0</t>
  </si>
  <si>
    <t>MANTENIMIENTO (AÑO 1 HASTA AÑO 5)</t>
  </si>
  <si>
    <t>1 bianual (3 jornales) hasta año 9</t>
  </si>
  <si>
    <t>Cuadrilla tala 574 achapos (año 25)</t>
  </si>
  <si>
    <t>Transporte madera al pueblo (203 m3)</t>
  </si>
  <si>
    <t>Transporte madera al pueblo (203m3)</t>
  </si>
  <si>
    <t>Ahoyado y siembra Achapo (574 plántulas)</t>
  </si>
  <si>
    <t>1 anual (5 jornales)</t>
  </si>
  <si>
    <t>1 bianual (5 jornales) hasta año 9</t>
  </si>
  <si>
    <t>Transporte madera al pueblo (318 m3)</t>
  </si>
  <si>
    <t>TOTAL</t>
  </si>
  <si>
    <t>COSTOS MODELO 3 POR HECTÁCEA (GRAN PRODUCTOR)</t>
  </si>
  <si>
    <t>COSTOS MODELO 2 POR HECTÁCEA (MEDIANO PRODUCTOR)</t>
  </si>
  <si>
    <t>1 vez, al mes de sembrado</t>
  </si>
  <si>
    <t>Ahoyado y siembra Caucho (840 plántulas)</t>
  </si>
  <si>
    <t>Ahoyado y siembra Matarratón (666 estacas)</t>
  </si>
  <si>
    <t>Ahoyado y siembra Botón de oro (3324 estacas)</t>
  </si>
  <si>
    <t>Control de plagas y enfermedades</t>
  </si>
  <si>
    <t>Fertilización Inicial Caucho</t>
  </si>
  <si>
    <t>Fertilizante (para Caucho)</t>
  </si>
  <si>
    <t>Fertilizante resiembra Caucho</t>
  </si>
  <si>
    <t>Látex</t>
  </si>
  <si>
    <t>Madera de Caucho</t>
  </si>
  <si>
    <t>AÑO 9-10</t>
  </si>
  <si>
    <t>AÑO 11-25</t>
  </si>
  <si>
    <t>AÑO 26</t>
  </si>
  <si>
    <t>Podas y deschuponadas</t>
  </si>
  <si>
    <t>ESTABLECIMIENTO (Año 0)</t>
  </si>
  <si>
    <t>Cada 15 días, durante los primeros 6 meses, despues mensual</t>
  </si>
  <si>
    <t>Fertilización Caucho</t>
  </si>
  <si>
    <t>Control de Maleza químico</t>
  </si>
  <si>
    <t>Credit (3 Kg/ha/año)</t>
  </si>
  <si>
    <t>Bomba de Espalda</t>
  </si>
  <si>
    <t>Bomba de espalda</t>
  </si>
  <si>
    <t>6 anuales (2 jornales) en el año 1 y 2</t>
  </si>
  <si>
    <t>Fungicida</t>
  </si>
  <si>
    <t>Madera</t>
  </si>
  <si>
    <t xml:space="preserve">Cuadrilla de tala </t>
  </si>
  <si>
    <t>3 jornales (12 árboles/día)</t>
  </si>
  <si>
    <t>Transporte madera al pueblo (238 m3)</t>
  </si>
  <si>
    <t>Ácido Formico (24%)</t>
  </si>
  <si>
    <t>Litro</t>
  </si>
  <si>
    <t>COSTOS TOTALES MODELO 3</t>
  </si>
  <si>
    <t>BENEFICIOS TOTALES MODELO 2</t>
  </si>
  <si>
    <t>COSTOS TOTALES MODELO 2</t>
  </si>
  <si>
    <t>TOTAL BENEFICIOS</t>
  </si>
  <si>
    <t>Total Establecimiento 1Ha Modelo 3</t>
  </si>
  <si>
    <t>Total Mantenimiento 1Ha Modelo 3</t>
  </si>
  <si>
    <t>Total Aprovechamiento 1Ha Modelo 3</t>
  </si>
  <si>
    <t>Total Imprevistos 1Ha Modelo 3 ($200.000 / año)</t>
  </si>
  <si>
    <t>TOTAL COSTOS MODELO 3</t>
  </si>
  <si>
    <t>Total Establecimiento 1Ha Modelo 2</t>
  </si>
  <si>
    <t>Total Mantenimiento 1Ha Modelo 2</t>
  </si>
  <si>
    <t>Total Aprovechamiento 1Ha Modelo 2</t>
  </si>
  <si>
    <t>Total Imprevistos 1Ha Modelo 2 ($200.000 / año)</t>
  </si>
  <si>
    <t>TOTAL COSTOS MODELO 2</t>
  </si>
  <si>
    <t>Atta-Kill (1 Kg/ha/año)</t>
  </si>
  <si>
    <t>Ridomil (3 Kg/ha/año)</t>
  </si>
  <si>
    <t>Cuadrilla tala 756 cauchos (año 26)</t>
  </si>
  <si>
    <t>Kit/árbol</t>
  </si>
  <si>
    <t>APROVECHAMIENTO (AÑO 6 HASTA EL AÑO 25)</t>
  </si>
  <si>
    <t>Apertura de Paneles y equipamiento por árbol</t>
  </si>
  <si>
    <t>1 vez en el año 6 (15 jornales)</t>
  </si>
  <si>
    <t>Insumo para dilución y coagulación (5 L/Ha/año)</t>
  </si>
  <si>
    <t>Ridomil (1,5 Kg/Ha/año)</t>
  </si>
  <si>
    <t>1 jornal/semana (36 semanas de rayado/año)</t>
  </si>
  <si>
    <t>Insumos de equipamiento por árbol de Caucho</t>
  </si>
  <si>
    <t>AÑO 9 - 10</t>
  </si>
  <si>
    <t>CONCEPTO</t>
  </si>
  <si>
    <t>VALOR</t>
  </si>
  <si>
    <t>Beneficios</t>
  </si>
  <si>
    <t>Valor presente Beneficios</t>
  </si>
  <si>
    <t>Costos</t>
  </si>
  <si>
    <t>Valor presente Costos</t>
  </si>
  <si>
    <t>Beneficio Neto</t>
  </si>
  <si>
    <t>Carne (ganancia por 57 cabezas /año)</t>
  </si>
  <si>
    <t>CONCEPTO \ AÑO</t>
  </si>
  <si>
    <t>TIR</t>
  </si>
  <si>
    <t>TIO</t>
  </si>
  <si>
    <t>RELACIÓN BENEFICIO / COSTO</t>
  </si>
  <si>
    <t>VPN</t>
  </si>
  <si>
    <t>FLUJO DE CAJA MODELO 1</t>
  </si>
  <si>
    <t>FLUJO DE CAJA MODELO 2</t>
  </si>
  <si>
    <t>FLUJO DE CAJA MODELO 3</t>
  </si>
  <si>
    <t>Transporte de Insumos</t>
  </si>
  <si>
    <t>Transporte Material Vegetal</t>
  </si>
  <si>
    <t>Asistencia Técnica</t>
  </si>
  <si>
    <t>2 visitas (Al  iniciar el laboreo y al momento de plantar)</t>
  </si>
  <si>
    <t>Visita</t>
  </si>
  <si>
    <t>Plantula</t>
  </si>
  <si>
    <t>Plantulas de Achapo (Apoyo SINCHI)</t>
  </si>
  <si>
    <t>Credit (3 Kg/Ha)</t>
  </si>
  <si>
    <t>Credit (3 Kg/Ha) (Anual)</t>
  </si>
  <si>
    <t>Cargue-Descargue</t>
  </si>
  <si>
    <t>Asistencia técnica</t>
  </si>
  <si>
    <t>Visia</t>
  </si>
  <si>
    <t>1 bianual hasta año 9</t>
  </si>
  <si>
    <t>Control de Maleza Químico</t>
  </si>
  <si>
    <t>Bomba Espalda</t>
  </si>
  <si>
    <t>Atta-Kill (3 Kg/Ha)</t>
  </si>
  <si>
    <t>Plantulas Achapo (Apoyo SINCHI)</t>
  </si>
  <si>
    <t>Transporte de Material Vegetal</t>
  </si>
  <si>
    <t>Al iniciar el laboreo y al momento del plantado</t>
  </si>
  <si>
    <t>Transporte insumos y material vegetal</t>
  </si>
  <si>
    <t>Plantulas de Caucho</t>
  </si>
  <si>
    <t>Trasporte Material Vegetal</t>
  </si>
  <si>
    <t>Aplicación de Roca Fosforica</t>
  </si>
  <si>
    <t>Roca Fosforica</t>
  </si>
  <si>
    <t>1 vez en área a plantar (350 g/planta)</t>
  </si>
  <si>
    <t>En la siembra de caucho (350 g/planta)</t>
  </si>
  <si>
    <t>Roca Fosforica para resiembra de Caucho</t>
  </si>
  <si>
    <t>Resiembra de caucho (350 g/planta)</t>
  </si>
  <si>
    <t>Al inicio del laboreo y en la siembra</t>
  </si>
  <si>
    <t>Aplicación de Roca Fosforica en la Resiembra</t>
  </si>
  <si>
    <t>2 vez en área a plantar (350 g/planta)</t>
  </si>
  <si>
    <t>2 anuales (4 jornales)</t>
  </si>
  <si>
    <t>1 anual (3 Jornales)</t>
  </si>
  <si>
    <t>Recolección y trasporte de latex</t>
  </si>
  <si>
    <t>Dilución y coagulación</t>
  </si>
  <si>
    <t xml:space="preserve">Control manual de maleza </t>
  </si>
  <si>
    <t>1 bianual, del año 6 al  12 (2 jornales)</t>
  </si>
  <si>
    <t xml:space="preserve">Rayado </t>
  </si>
  <si>
    <t>Taza de recolección, soporte de alambre, canaleta de zinc, cuchilla</t>
  </si>
  <si>
    <t xml:space="preserve">Canoas de Coagulación </t>
  </si>
  <si>
    <t>Insumo para coagulación</t>
  </si>
  <si>
    <t>unidad</t>
  </si>
  <si>
    <t>Transporte de insumos</t>
  </si>
  <si>
    <t>Aplicación Roca Fosforica en siembra y resiembra</t>
  </si>
  <si>
    <t xml:space="preserve">NPK (18-18-18) (250gr/planta) </t>
  </si>
  <si>
    <t>1 bianual hasta del año 2 al 10</t>
  </si>
  <si>
    <t>Control de malezas</t>
  </si>
  <si>
    <t>Rayado - Dilución y coagulación</t>
  </si>
  <si>
    <r>
      <rPr>
        <b/>
        <sz val="10"/>
        <color rgb="FF000000"/>
        <rFont val="Arial"/>
        <family val="2"/>
      </rPr>
      <t>EN RESUMEN:</t>
    </r>
    <r>
      <rPr>
        <sz val="10"/>
        <color rgb="FF000000"/>
        <rFont val="Arial"/>
        <family val="2"/>
      </rPr>
      <t>VPN &gt;0 , El proyecto es viable; relación B/C &gt; 1 es viable porque por cada peso invertido se ganará 1,54 pesos, TIR &gt; TIO es viable.</t>
    </r>
  </si>
  <si>
    <r>
      <rPr>
        <b/>
        <sz val="10"/>
        <color rgb="FF000000"/>
        <rFont val="Arial"/>
        <family val="2"/>
      </rPr>
      <t xml:space="preserve">EN RESUMEN: </t>
    </r>
    <r>
      <rPr>
        <sz val="10"/>
        <color rgb="FF000000"/>
        <rFont val="Arial"/>
        <family val="2"/>
      </rPr>
      <t>VPN &gt;0 , El proyecto es viable; relación B/C &gt; 1 es viable porque por cada peso invertido se ganará 1,14 pesos, TIR &gt; TIO es viable.</t>
    </r>
  </si>
  <si>
    <t>Modelo 1</t>
  </si>
  <si>
    <t>Modelo 2</t>
  </si>
  <si>
    <t>Modelo 3</t>
  </si>
  <si>
    <t>INDICADOR</t>
  </si>
  <si>
    <r>
      <rPr>
        <b/>
        <sz val="10"/>
        <color rgb="FF000000"/>
        <rFont val="Arial"/>
        <family val="2"/>
      </rPr>
      <t xml:space="preserve">EN RESUMEN: </t>
    </r>
    <r>
      <rPr>
        <sz val="10"/>
        <color rgb="FF000000"/>
        <rFont val="Arial"/>
        <family val="2"/>
      </rPr>
      <t>VPN &gt;0 , El proyecto es viable; relación B/C &gt; 1 es viable porque por cada peso invertido se ganará 1,63 pesos, TIR &gt; TIO es viable.</t>
    </r>
  </si>
  <si>
    <t>BENEFICIOS TOTALES MODELO 3</t>
  </si>
  <si>
    <t>Leche (mayor calidad y cantidad, 30 cabezas de ganado)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</si>
</sst>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&quot;$&quot;#,##0"/>
    <numFmt numFmtId="165" formatCode="_(&quot;$&quot;\ * #,##0_);_(&quot;$&quot;\ * \(#,##0\);_(&quot;$&quot;\ * &quot;-&quot;??_);_(@_)"/>
    <numFmt numFmtId="166" formatCode="_(&quot;$&quot;\ * #,##0.00_);_(&quot;$&quot;\ * \(#,##0.00\);_(&quot;$&quot;\ * &quot;-&quot;??_);_(@_)"/>
    <numFmt numFmtId="167" formatCode="&quot;$&quot;\ #,##0.00_);[Red]\(&quot;$&quot;\ #,##0.00\)"/>
    <numFmt numFmtId="168" formatCode="_-&quot;$&quot;* #,##0.00_-;\-&quot;$&quot;* #,##0.00_-;_-&quot;$&quot;* &quot;-&quot;_-;_-@_-"/>
  </numFmts>
  <fonts count="2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rgb="FF000000"/>
      <name val="Arial"/>
      <family val="2"/>
    </font>
    <font>
      <b/>
      <sz val="10"/>
      <color theme="1"/>
      <name val="Arial"/>
      <family val="2"/>
    </font>
    <font>
      <sz val="8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0070C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2" fontId="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14" fillId="0" borderId="0" applyFont="0" applyFill="0" applyBorder="0" applyAlignment="0" applyProtection="0"/>
  </cellStyleXfs>
  <cellXfs count="500">
    <xf numFmtId="0" fontId="0" fillId="0" borderId="0" xfId="0" applyFont="1" applyAlignment="1"/>
    <xf numFmtId="0" fontId="4" fillId="2" borderId="0" xfId="0" applyFont="1" applyFill="1" applyAlignment="1">
      <alignment horizontal="center"/>
    </xf>
    <xf numFmtId="0" fontId="3" fillId="0" borderId="3" xfId="0" applyFont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2" fontId="3" fillId="0" borderId="19" xfId="1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42" fontId="3" fillId="0" borderId="22" xfId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2" fontId="3" fillId="0" borderId="3" xfId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" fillId="0" borderId="21" xfId="0" applyFont="1" applyBorder="1" applyAlignment="1">
      <alignment horizontal="center"/>
    </xf>
    <xf numFmtId="42" fontId="3" fillId="0" borderId="20" xfId="1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42" fontId="3" fillId="0" borderId="29" xfId="1" applyFont="1" applyBorder="1" applyAlignment="1">
      <alignment horizontal="center"/>
    </xf>
    <xf numFmtId="42" fontId="9" fillId="0" borderId="33" xfId="1" applyFont="1" applyBorder="1" applyAlignment="1">
      <alignment horizontal="center"/>
    </xf>
    <xf numFmtId="42" fontId="7" fillId="0" borderId="30" xfId="1" applyFont="1" applyBorder="1" applyAlignment="1">
      <alignment horizontal="center"/>
    </xf>
    <xf numFmtId="42" fontId="3" fillId="0" borderId="10" xfId="0" applyNumberFormat="1" applyFont="1" applyBorder="1" applyAlignment="1">
      <alignment horizontal="center"/>
    </xf>
    <xf numFmtId="42" fontId="9" fillId="0" borderId="37" xfId="1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42" fontId="7" fillId="0" borderId="11" xfId="0" applyNumberFormat="1" applyFont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42" fontId="8" fillId="0" borderId="17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6" fillId="0" borderId="40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42" fontId="3" fillId="0" borderId="34" xfId="1" applyFont="1" applyBorder="1" applyAlignment="1">
      <alignment horizontal="center"/>
    </xf>
    <xf numFmtId="42" fontId="3" fillId="0" borderId="41" xfId="0" applyNumberFormat="1" applyFont="1" applyBorder="1" applyAlignment="1">
      <alignment horizontal="center"/>
    </xf>
    <xf numFmtId="42" fontId="3" fillId="0" borderId="29" xfId="0" applyNumberFormat="1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11" fillId="0" borderId="0" xfId="2" applyAlignment="1"/>
    <xf numFmtId="0" fontId="6" fillId="0" borderId="42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43" xfId="0" applyFont="1" applyBorder="1" applyAlignment="1">
      <alignment horizontal="center" vertical="center"/>
    </xf>
    <xf numFmtId="42" fontId="3" fillId="0" borderId="43" xfId="1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42" fontId="3" fillId="0" borderId="33" xfId="0" applyNumberFormat="1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42" fontId="0" fillId="0" borderId="19" xfId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/>
    </xf>
    <xf numFmtId="42" fontId="8" fillId="0" borderId="49" xfId="0" applyNumberFormat="1" applyFont="1" applyBorder="1" applyAlignment="1">
      <alignment horizontal="center"/>
    </xf>
    <xf numFmtId="0" fontId="13" fillId="6" borderId="44" xfId="0" applyFont="1" applyFill="1" applyBorder="1" applyAlignment="1">
      <alignment horizontal="center"/>
    </xf>
    <xf numFmtId="0" fontId="13" fillId="6" borderId="45" xfId="0" applyFont="1" applyFill="1" applyBorder="1" applyAlignment="1">
      <alignment horizontal="center"/>
    </xf>
    <xf numFmtId="0" fontId="13" fillId="6" borderId="46" xfId="0" applyFont="1" applyFill="1" applyBorder="1" applyAlignment="1">
      <alignment horizontal="center"/>
    </xf>
    <xf numFmtId="42" fontId="0" fillId="0" borderId="43" xfId="1" applyFont="1" applyBorder="1" applyAlignment="1">
      <alignment horizontal="center" vertical="center"/>
    </xf>
    <xf numFmtId="0" fontId="0" fillId="0" borderId="43" xfId="0" applyFont="1" applyBorder="1" applyAlignment="1">
      <alignment horizontal="center"/>
    </xf>
    <xf numFmtId="0" fontId="0" fillId="0" borderId="41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42" fontId="0" fillId="0" borderId="36" xfId="1" applyFont="1" applyBorder="1" applyAlignment="1">
      <alignment horizontal="center" vertical="center"/>
    </xf>
    <xf numFmtId="0" fontId="0" fillId="0" borderId="36" xfId="0" applyFont="1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12" fillId="0" borderId="36" xfId="0" applyFont="1" applyBorder="1" applyAlignment="1">
      <alignment horizontal="center"/>
    </xf>
    <xf numFmtId="42" fontId="0" fillId="0" borderId="41" xfId="0" applyNumberFormat="1" applyFont="1" applyBorder="1" applyAlignment="1">
      <alignment horizontal="center"/>
    </xf>
    <xf numFmtId="42" fontId="0" fillId="0" borderId="29" xfId="0" applyNumberFormat="1" applyFont="1" applyBorder="1" applyAlignment="1">
      <alignment horizontal="center"/>
    </xf>
    <xf numFmtId="42" fontId="0" fillId="0" borderId="30" xfId="0" applyNumberFormat="1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2" fillId="0" borderId="45" xfId="0" applyFont="1" applyBorder="1" applyAlignment="1">
      <alignment horizontal="center"/>
    </xf>
    <xf numFmtId="42" fontId="0" fillId="0" borderId="45" xfId="1" applyFont="1" applyBorder="1" applyAlignment="1">
      <alignment horizontal="center"/>
    </xf>
    <xf numFmtId="42" fontId="0" fillId="0" borderId="46" xfId="1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42" fontId="0" fillId="0" borderId="45" xfId="0" applyNumberFormat="1" applyFont="1" applyBorder="1" applyAlignment="1">
      <alignment horizontal="center"/>
    </xf>
    <xf numFmtId="42" fontId="0" fillId="0" borderId="46" xfId="0" applyNumberFormat="1" applyFont="1" applyBorder="1" applyAlignment="1">
      <alignment horizontal="center"/>
    </xf>
    <xf numFmtId="0" fontId="12" fillId="0" borderId="35" xfId="0" applyFont="1" applyBorder="1" applyAlignment="1">
      <alignment horizontal="center"/>
    </xf>
    <xf numFmtId="42" fontId="12" fillId="0" borderId="30" xfId="1" applyFont="1" applyBorder="1" applyAlignment="1">
      <alignment horizontal="center"/>
    </xf>
    <xf numFmtId="17" fontId="0" fillId="0" borderId="0" xfId="0" applyNumberFormat="1" applyFont="1" applyAlignment="1">
      <alignment horizontal="center"/>
    </xf>
    <xf numFmtId="0" fontId="6" fillId="0" borderId="19" xfId="0" applyFont="1" applyBorder="1" applyAlignment="1">
      <alignment horizontal="center" vertical="center"/>
    </xf>
    <xf numFmtId="42" fontId="0" fillId="0" borderId="19" xfId="1" applyFont="1" applyBorder="1" applyAlignment="1">
      <alignment horizontal="center"/>
    </xf>
    <xf numFmtId="42" fontId="0" fillId="0" borderId="38" xfId="1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wrapText="1"/>
    </xf>
    <xf numFmtId="6" fontId="0" fillId="0" borderId="43" xfId="0" applyNumberFormat="1" applyFont="1" applyBorder="1" applyAlignment="1">
      <alignment horizontal="center"/>
    </xf>
    <xf numFmtId="6" fontId="0" fillId="0" borderId="41" xfId="0" applyNumberFormat="1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42" fontId="12" fillId="0" borderId="33" xfId="1" applyFont="1" applyBorder="1" applyAlignment="1">
      <alignment horizontal="center"/>
    </xf>
    <xf numFmtId="0" fontId="4" fillId="0" borderId="72" xfId="0" applyFont="1" applyBorder="1" applyAlignment="1">
      <alignment horizontal="center"/>
    </xf>
    <xf numFmtId="6" fontId="5" fillId="0" borderId="44" xfId="0" applyNumberFormat="1" applyFont="1" applyBorder="1" applyAlignment="1">
      <alignment horizontal="center"/>
    </xf>
    <xf numFmtId="6" fontId="0" fillId="0" borderId="45" xfId="0" applyNumberFormat="1" applyFont="1" applyBorder="1" applyAlignment="1">
      <alignment horizontal="center"/>
    </xf>
    <xf numFmtId="6" fontId="0" fillId="0" borderId="46" xfId="0" applyNumberFormat="1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6" fontId="0" fillId="0" borderId="44" xfId="0" applyNumberFormat="1" applyFont="1" applyBorder="1" applyAlignment="1">
      <alignment horizontal="center"/>
    </xf>
    <xf numFmtId="42" fontId="0" fillId="0" borderId="34" xfId="1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 applyFont="1" applyAlignment="1">
      <alignment horizontal="center"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42" fontId="3" fillId="0" borderId="19" xfId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42" fontId="3" fillId="0" borderId="29" xfId="1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42" fontId="9" fillId="0" borderId="37" xfId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42" fontId="3" fillId="0" borderId="22" xfId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2" fontId="3" fillId="0" borderId="3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2" fontId="0" fillId="0" borderId="29" xfId="0" applyNumberFormat="1" applyFont="1" applyBorder="1" applyAlignment="1">
      <alignment horizontal="center" vertical="center"/>
    </xf>
    <xf numFmtId="42" fontId="0" fillId="0" borderId="30" xfId="0" applyNumberFormat="1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42" fontId="0" fillId="0" borderId="45" xfId="0" applyNumberFormat="1" applyFont="1" applyBorder="1" applyAlignment="1">
      <alignment horizontal="center" vertical="center"/>
    </xf>
    <xf numFmtId="42" fontId="0" fillId="0" borderId="46" xfId="0" applyNumberFormat="1" applyFont="1" applyBorder="1" applyAlignment="1">
      <alignment horizontal="center" vertical="center"/>
    </xf>
    <xf numFmtId="42" fontId="9" fillId="0" borderId="33" xfId="1" applyFont="1" applyBorder="1" applyAlignment="1">
      <alignment horizontal="center" vertical="center"/>
    </xf>
    <xf numFmtId="42" fontId="7" fillId="0" borderId="30" xfId="1" applyFont="1" applyBorder="1" applyAlignment="1">
      <alignment horizontal="center" vertical="center"/>
    </xf>
    <xf numFmtId="0" fontId="13" fillId="6" borderId="47" xfId="0" applyFont="1" applyFill="1" applyBorder="1" applyAlignment="1">
      <alignment horizontal="center" vertical="center"/>
    </xf>
    <xf numFmtId="0" fontId="13" fillId="6" borderId="48" xfId="0" applyFont="1" applyFill="1" applyBorder="1" applyAlignment="1">
      <alignment horizontal="center" vertical="center"/>
    </xf>
    <xf numFmtId="0" fontId="13" fillId="6" borderId="49" xfId="0" applyFont="1" applyFill="1" applyBorder="1" applyAlignment="1">
      <alignment horizontal="center" vertical="center"/>
    </xf>
    <xf numFmtId="6" fontId="0" fillId="0" borderId="19" xfId="0" applyNumberFormat="1" applyFont="1" applyBorder="1" applyAlignment="1">
      <alignment horizontal="center" vertical="center"/>
    </xf>
    <xf numFmtId="17" fontId="0" fillId="0" borderId="0" xfId="0" applyNumberFormat="1" applyFont="1" applyAlignment="1">
      <alignment horizontal="center" vertical="center"/>
    </xf>
    <xf numFmtId="42" fontId="3" fillId="0" borderId="37" xfId="1" applyFont="1" applyBorder="1" applyAlignment="1">
      <alignment horizontal="center" vertical="center"/>
    </xf>
    <xf numFmtId="42" fontId="3" fillId="0" borderId="75" xfId="0" applyNumberFormat="1" applyFont="1" applyBorder="1" applyAlignment="1">
      <alignment horizontal="center" vertical="center"/>
    </xf>
    <xf numFmtId="42" fontId="3" fillId="0" borderId="29" xfId="0" applyNumberFormat="1" applyFont="1" applyBorder="1" applyAlignment="1">
      <alignment horizontal="center" vertical="center"/>
    </xf>
    <xf numFmtId="42" fontId="3" fillId="0" borderId="20" xfId="0" applyNumberFormat="1" applyFont="1" applyBorder="1" applyAlignment="1">
      <alignment horizontal="center" vertical="center"/>
    </xf>
    <xf numFmtId="42" fontId="3" fillId="0" borderId="20" xfId="1" applyFont="1" applyBorder="1" applyAlignment="1">
      <alignment horizontal="center" vertical="center"/>
    </xf>
    <xf numFmtId="42" fontId="7" fillId="0" borderId="11" xfId="0" applyNumberFormat="1" applyFont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/>
    </xf>
    <xf numFmtId="0" fontId="2" fillId="3" borderId="69" xfId="0" applyFont="1" applyFill="1" applyBorder="1" applyAlignment="1">
      <alignment horizontal="center" vertical="center"/>
    </xf>
    <xf numFmtId="42" fontId="3" fillId="0" borderId="34" xfId="1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42" fontId="3" fillId="0" borderId="33" xfId="0" applyNumberFormat="1" applyFont="1" applyBorder="1" applyAlignment="1">
      <alignment horizontal="center" vertical="center"/>
    </xf>
    <xf numFmtId="42" fontId="6" fillId="0" borderId="19" xfId="1" applyFont="1" applyBorder="1" applyAlignment="1">
      <alignment horizontal="center" vertical="center"/>
    </xf>
    <xf numFmtId="42" fontId="6" fillId="0" borderId="66" xfId="0" applyNumberFormat="1" applyFont="1" applyBorder="1" applyAlignment="1">
      <alignment horizontal="center" vertical="center"/>
    </xf>
    <xf numFmtId="42" fontId="8" fillId="0" borderId="49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1" fillId="0" borderId="0" xfId="2" applyAlignment="1">
      <alignment horizontal="center" vertical="center"/>
    </xf>
    <xf numFmtId="0" fontId="6" fillId="0" borderId="28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/>
    </xf>
    <xf numFmtId="42" fontId="6" fillId="0" borderId="29" xfId="1" applyFont="1" applyBorder="1" applyAlignment="1">
      <alignment horizontal="center" vertical="center"/>
    </xf>
    <xf numFmtId="42" fontId="17" fillId="0" borderId="29" xfId="0" applyNumberFormat="1" applyFont="1" applyBorder="1" applyAlignment="1">
      <alignment horizontal="center" vertical="center"/>
    </xf>
    <xf numFmtId="42" fontId="9" fillId="0" borderId="29" xfId="1" applyFont="1" applyBorder="1" applyAlignment="1">
      <alignment horizontal="center" vertical="center"/>
    </xf>
    <xf numFmtId="42" fontId="8" fillId="0" borderId="71" xfId="1" applyFont="1" applyBorder="1" applyAlignment="1">
      <alignment horizontal="center" vertical="center"/>
    </xf>
    <xf numFmtId="42" fontId="8" fillId="0" borderId="17" xfId="1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12" fillId="0" borderId="84" xfId="0" applyFont="1" applyBorder="1" applyAlignment="1">
      <alignment horizontal="center" vertical="center"/>
    </xf>
    <xf numFmtId="42" fontId="0" fillId="0" borderId="84" xfId="1" applyFont="1" applyBorder="1" applyAlignment="1">
      <alignment horizontal="center" vertical="center"/>
    </xf>
    <xf numFmtId="42" fontId="0" fillId="0" borderId="85" xfId="1" applyFont="1" applyBorder="1" applyAlignment="1">
      <alignment horizontal="center" vertical="center"/>
    </xf>
    <xf numFmtId="6" fontId="0" fillId="0" borderId="19" xfId="1" applyNumberFormat="1" applyFont="1" applyBorder="1" applyAlignment="1">
      <alignment horizontal="center" vertical="center"/>
    </xf>
    <xf numFmtId="0" fontId="3" fillId="0" borderId="42" xfId="0" applyFont="1" applyBorder="1" applyAlignment="1">
      <alignment horizontal="left" vertical="center"/>
    </xf>
    <xf numFmtId="42" fontId="5" fillId="0" borderId="43" xfId="1" applyNumberFormat="1" applyFont="1" applyBorder="1" applyAlignment="1">
      <alignment horizontal="center" vertical="center"/>
    </xf>
    <xf numFmtId="0" fontId="4" fillId="6" borderId="45" xfId="0" applyFont="1" applyFill="1" applyBorder="1" applyAlignment="1">
      <alignment horizontal="center" vertical="center"/>
    </xf>
    <xf numFmtId="0" fontId="4" fillId="6" borderId="46" xfId="0" applyFont="1" applyFill="1" applyBorder="1" applyAlignment="1">
      <alignment horizontal="center" vertical="center"/>
    </xf>
    <xf numFmtId="42" fontId="0" fillId="0" borderId="29" xfId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42" fontId="0" fillId="0" borderId="43" xfId="1" applyFont="1" applyBorder="1" applyAlignment="1">
      <alignment horizontal="center"/>
    </xf>
    <xf numFmtId="42" fontId="0" fillId="0" borderId="41" xfId="1" applyFont="1" applyBorder="1" applyAlignment="1">
      <alignment horizontal="center"/>
    </xf>
    <xf numFmtId="42" fontId="0" fillId="0" borderId="29" xfId="1" applyFont="1" applyBorder="1" applyAlignment="1">
      <alignment horizontal="center"/>
    </xf>
    <xf numFmtId="42" fontId="0" fillId="0" borderId="36" xfId="1" applyFont="1" applyBorder="1" applyAlignment="1">
      <alignment horizontal="center"/>
    </xf>
    <xf numFmtId="42" fontId="0" fillId="0" borderId="30" xfId="1" applyFont="1" applyBorder="1" applyAlignment="1">
      <alignment horizontal="center"/>
    </xf>
    <xf numFmtId="6" fontId="0" fillId="0" borderId="45" xfId="0" applyNumberFormat="1" applyFont="1" applyBorder="1" applyAlignment="1">
      <alignment horizontal="center" vertical="center"/>
    </xf>
    <xf numFmtId="6" fontId="0" fillId="0" borderId="46" xfId="0" applyNumberFormat="1" applyFont="1" applyBorder="1" applyAlignment="1">
      <alignment horizontal="center" vertical="center"/>
    </xf>
    <xf numFmtId="6" fontId="0" fillId="0" borderId="29" xfId="0" applyNumberFormat="1" applyFont="1" applyBorder="1" applyAlignment="1">
      <alignment horizontal="center" vertical="center"/>
    </xf>
    <xf numFmtId="42" fontId="12" fillId="0" borderId="29" xfId="1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42" fontId="12" fillId="0" borderId="30" xfId="1" applyFont="1" applyBorder="1" applyAlignment="1">
      <alignment horizontal="center" vertical="center"/>
    </xf>
    <xf numFmtId="167" fontId="0" fillId="0" borderId="19" xfId="0" applyNumberFormat="1" applyBorder="1" applyAlignment="1">
      <alignment horizontal="center" vertical="center"/>
    </xf>
    <xf numFmtId="9" fontId="0" fillId="0" borderId="19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/>
    <xf numFmtId="165" fontId="5" fillId="0" borderId="19" xfId="3" applyNumberFormat="1" applyFont="1" applyFill="1" applyBorder="1" applyAlignment="1">
      <alignment horizontal="center" vertical="center"/>
    </xf>
    <xf numFmtId="165" fontId="5" fillId="0" borderId="19" xfId="0" applyNumberFormat="1" applyFont="1" applyFill="1" applyBorder="1" applyAlignment="1">
      <alignment horizontal="center" vertical="center"/>
    </xf>
    <xf numFmtId="44" fontId="5" fillId="0" borderId="19" xfId="3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18" fillId="6" borderId="44" xfId="0" applyFont="1" applyFill="1" applyBorder="1" applyAlignment="1">
      <alignment horizontal="center" vertical="center"/>
    </xf>
    <xf numFmtId="0" fontId="18" fillId="0" borderId="42" xfId="0" applyFont="1" applyFill="1" applyBorder="1" applyAlignment="1">
      <alignment horizontal="center" vertical="center" wrapText="1"/>
    </xf>
    <xf numFmtId="165" fontId="5" fillId="0" borderId="41" xfId="0" applyNumberFormat="1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 wrapText="1"/>
    </xf>
    <xf numFmtId="165" fontId="4" fillId="6" borderId="29" xfId="0" applyNumberFormat="1" applyFont="1" applyFill="1" applyBorder="1" applyAlignment="1">
      <alignment horizontal="center" vertical="center"/>
    </xf>
    <xf numFmtId="165" fontId="5" fillId="0" borderId="29" xfId="0" applyNumberFormat="1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center" vertical="center" wrapText="1"/>
    </xf>
    <xf numFmtId="165" fontId="5" fillId="0" borderId="36" xfId="3" applyNumberFormat="1" applyFont="1" applyFill="1" applyBorder="1" applyAlignment="1">
      <alignment horizontal="center" vertical="center"/>
    </xf>
    <xf numFmtId="165" fontId="4" fillId="0" borderId="30" xfId="0" applyNumberFormat="1" applyFon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/>
    </xf>
    <xf numFmtId="9" fontId="15" fillId="0" borderId="19" xfId="0" applyNumberFormat="1" applyFont="1" applyFill="1" applyBorder="1" applyAlignment="1">
      <alignment horizontal="center" vertical="center"/>
    </xf>
    <xf numFmtId="6" fontId="5" fillId="0" borderId="43" xfId="1" applyNumberFormat="1" applyFon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/>
    </xf>
    <xf numFmtId="9" fontId="15" fillId="0" borderId="38" xfId="0" applyNumberFormat="1" applyFont="1" applyFill="1" applyBorder="1" applyAlignment="1">
      <alignment horizontal="center" vertical="center"/>
    </xf>
    <xf numFmtId="166" fontId="16" fillId="0" borderId="19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0" fillId="0" borderId="0" xfId="0" applyFont="1" applyFill="1" applyAlignment="1"/>
    <xf numFmtId="167" fontId="0" fillId="0" borderId="38" xfId="0" applyNumberForma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165" fontId="5" fillId="0" borderId="0" xfId="3" applyNumberFormat="1" applyFont="1" applyFill="1" applyBorder="1" applyAlignment="1">
      <alignment horizontal="center" vertical="center"/>
    </xf>
    <xf numFmtId="165" fontId="5" fillId="8" borderId="0" xfId="3" applyNumberFormat="1" applyFont="1" applyFill="1" applyBorder="1" applyAlignment="1">
      <alignment horizontal="center" vertical="center"/>
    </xf>
    <xf numFmtId="0" fontId="5" fillId="8" borderId="0" xfId="0" applyFont="1" applyFill="1" applyAlignment="1"/>
    <xf numFmtId="0" fontId="5" fillId="8" borderId="0" xfId="0" applyFont="1" applyFill="1" applyAlignment="1">
      <alignment horizontal="center" vertical="center"/>
    </xf>
    <xf numFmtId="0" fontId="18" fillId="8" borderId="0" xfId="0" applyFont="1" applyFill="1" applyBorder="1" applyAlignment="1">
      <alignment horizontal="center" vertical="center" wrapText="1"/>
    </xf>
    <xf numFmtId="165" fontId="4" fillId="9" borderId="29" xfId="0" applyNumberFormat="1" applyFont="1" applyFill="1" applyBorder="1" applyAlignment="1">
      <alignment horizontal="center" vertical="center"/>
    </xf>
    <xf numFmtId="165" fontId="5" fillId="0" borderId="30" xfId="0" applyNumberFormat="1" applyFont="1" applyFill="1" applyBorder="1" applyAlignment="1">
      <alignment horizontal="center" vertical="center"/>
    </xf>
    <xf numFmtId="44" fontId="5" fillId="0" borderId="29" xfId="3" applyFont="1" applyFill="1" applyBorder="1" applyAlignment="1">
      <alignment horizontal="center" vertical="center"/>
    </xf>
    <xf numFmtId="165" fontId="5" fillId="0" borderId="29" xfId="3" applyNumberFormat="1" applyFont="1" applyFill="1" applyBorder="1" applyAlignment="1">
      <alignment horizontal="center" vertical="center"/>
    </xf>
    <xf numFmtId="165" fontId="5" fillId="0" borderId="30" xfId="3" applyNumberFormat="1" applyFont="1" applyFill="1" applyBorder="1" applyAlignment="1">
      <alignment horizontal="center" vertical="center"/>
    </xf>
    <xf numFmtId="0" fontId="18" fillId="6" borderId="72" xfId="0" applyFont="1" applyFill="1" applyBorder="1" applyAlignment="1">
      <alignment horizontal="center" vertical="center"/>
    </xf>
    <xf numFmtId="0" fontId="4" fillId="6" borderId="85" xfId="0" applyFont="1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/>
    </xf>
    <xf numFmtId="42" fontId="5" fillId="0" borderId="19" xfId="1" applyFont="1" applyFill="1" applyBorder="1" applyAlignment="1">
      <alignment horizontal="center" vertical="center"/>
    </xf>
    <xf numFmtId="42" fontId="5" fillId="0" borderId="19" xfId="1" applyFont="1" applyBorder="1" applyAlignment="1"/>
    <xf numFmtId="0" fontId="18" fillId="6" borderId="28" xfId="0" applyFont="1" applyFill="1" applyBorder="1" applyAlignment="1">
      <alignment horizontal="center" vertical="center"/>
    </xf>
    <xf numFmtId="0" fontId="13" fillId="6" borderId="29" xfId="0" applyFont="1" applyFill="1" applyBorder="1" applyAlignment="1">
      <alignment horizontal="center"/>
    </xf>
    <xf numFmtId="42" fontId="5" fillId="0" borderId="29" xfId="1" applyFont="1" applyBorder="1" applyAlignment="1"/>
    <xf numFmtId="0" fontId="18" fillId="0" borderId="40" xfId="0" applyFont="1" applyFill="1" applyBorder="1" applyAlignment="1">
      <alignment horizontal="center" vertical="center" wrapText="1"/>
    </xf>
    <xf numFmtId="165" fontId="5" fillId="0" borderId="34" xfId="3" applyNumberFormat="1" applyFont="1" applyFill="1" applyBorder="1" applyAlignment="1">
      <alignment horizontal="center" vertical="center"/>
    </xf>
    <xf numFmtId="165" fontId="5" fillId="0" borderId="33" xfId="3" applyNumberFormat="1" applyFont="1" applyFill="1" applyBorder="1" applyAlignment="1">
      <alignment horizontal="center" vertical="center"/>
    </xf>
    <xf numFmtId="0" fontId="18" fillId="0" borderId="87" xfId="0" applyFont="1" applyFill="1" applyBorder="1" applyAlignment="1">
      <alignment horizontal="center" vertical="center" wrapText="1"/>
    </xf>
    <xf numFmtId="6" fontId="5" fillId="0" borderId="38" xfId="1" applyNumberFormat="1" applyFont="1" applyBorder="1" applyAlignment="1"/>
    <xf numFmtId="165" fontId="5" fillId="0" borderId="37" xfId="3" applyNumberFormat="1" applyFont="1" applyFill="1" applyBorder="1" applyAlignment="1">
      <alignment horizontal="center" vertical="center"/>
    </xf>
    <xf numFmtId="6" fontId="5" fillId="0" borderId="38" xfId="1" applyNumberFormat="1" applyFont="1" applyFill="1" applyBorder="1" applyAlignment="1">
      <alignment horizontal="center" vertical="center"/>
    </xf>
    <xf numFmtId="6" fontId="5" fillId="0" borderId="37" xfId="1" applyNumberFormat="1" applyFont="1" applyBorder="1" applyAlignment="1"/>
    <xf numFmtId="6" fontId="5" fillId="0" borderId="37" xfId="1" applyNumberFormat="1" applyFont="1" applyFill="1" applyBorder="1" applyAlignment="1">
      <alignment horizontal="center" vertical="center"/>
    </xf>
    <xf numFmtId="6" fontId="5" fillId="0" borderId="88" xfId="1" applyNumberFormat="1" applyFont="1" applyFill="1" applyBorder="1" applyAlignment="1">
      <alignment horizontal="center" vertical="center"/>
    </xf>
    <xf numFmtId="44" fontId="5" fillId="0" borderId="77" xfId="3" applyFont="1" applyFill="1" applyBorder="1" applyAlignment="1">
      <alignment horizontal="center" vertical="center"/>
    </xf>
    <xf numFmtId="165" fontId="5" fillId="0" borderId="77" xfId="0" applyNumberFormat="1" applyFont="1" applyFill="1" applyBorder="1" applyAlignment="1">
      <alignment horizontal="center" vertical="center"/>
    </xf>
    <xf numFmtId="165" fontId="5" fillId="0" borderId="77" xfId="3" applyNumberFormat="1" applyFont="1" applyFill="1" applyBorder="1" applyAlignment="1">
      <alignment horizontal="center" vertical="center"/>
    </xf>
    <xf numFmtId="0" fontId="18" fillId="0" borderId="89" xfId="0" applyFont="1" applyFill="1" applyBorder="1" applyAlignment="1">
      <alignment horizontal="center" vertical="center" wrapText="1"/>
    </xf>
    <xf numFmtId="0" fontId="18" fillId="0" borderId="90" xfId="0" applyFont="1" applyFill="1" applyBorder="1" applyAlignment="1">
      <alignment horizontal="center" vertical="center" wrapText="1"/>
    </xf>
    <xf numFmtId="0" fontId="18" fillId="0" borderId="91" xfId="0" applyFont="1" applyFill="1" applyBorder="1" applyAlignment="1">
      <alignment horizontal="center" vertical="center" wrapText="1"/>
    </xf>
    <xf numFmtId="0" fontId="18" fillId="6" borderId="86" xfId="0" applyFont="1" applyFill="1" applyBorder="1" applyAlignment="1">
      <alignment horizontal="center" vertical="center"/>
    </xf>
    <xf numFmtId="0" fontId="18" fillId="0" borderId="92" xfId="0" applyFont="1" applyFill="1" applyBorder="1" applyAlignment="1">
      <alignment horizontal="center" vertical="center" wrapText="1"/>
    </xf>
    <xf numFmtId="165" fontId="5" fillId="0" borderId="78" xfId="3" applyNumberFormat="1" applyFont="1" applyFill="1" applyBorder="1" applyAlignment="1">
      <alignment horizontal="center" vertical="center"/>
    </xf>
    <xf numFmtId="0" fontId="13" fillId="6" borderId="56" xfId="0" applyFont="1" applyFill="1" applyBorder="1" applyAlignment="1">
      <alignment horizontal="center"/>
    </xf>
    <xf numFmtId="0" fontId="15" fillId="6" borderId="3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/>
    </xf>
    <xf numFmtId="42" fontId="3" fillId="0" borderId="33" xfId="1" applyFont="1" applyBorder="1" applyAlignment="1">
      <alignment horizontal="center"/>
    </xf>
    <xf numFmtId="0" fontId="3" fillId="0" borderId="93" xfId="0" applyFont="1" applyBorder="1" applyAlignment="1">
      <alignment horizontal="center"/>
    </xf>
    <xf numFmtId="42" fontId="3" fillId="0" borderId="93" xfId="1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6" fillId="0" borderId="93" xfId="0" applyFont="1" applyBorder="1" applyAlignment="1">
      <alignment horizontal="center"/>
    </xf>
    <xf numFmtId="42" fontId="3" fillId="0" borderId="0" xfId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3" xfId="0" applyFont="1" applyBorder="1" applyAlignment="1">
      <alignment horizontal="center"/>
    </xf>
    <xf numFmtId="0" fontId="3" fillId="0" borderId="95" xfId="0" applyFont="1" applyBorder="1" applyAlignment="1">
      <alignment horizontal="center"/>
    </xf>
    <xf numFmtId="0" fontId="3" fillId="0" borderId="96" xfId="0" applyFont="1" applyBorder="1" applyAlignment="1">
      <alignment horizontal="center"/>
    </xf>
    <xf numFmtId="42" fontId="3" fillId="0" borderId="38" xfId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42" fontId="3" fillId="0" borderId="37" xfId="1" applyFont="1" applyBorder="1" applyAlignment="1">
      <alignment horizontal="center"/>
    </xf>
    <xf numFmtId="42" fontId="6" fillId="0" borderId="19" xfId="1" applyFont="1" applyBorder="1" applyAlignment="1">
      <alignment horizontal="center"/>
    </xf>
    <xf numFmtId="42" fontId="3" fillId="0" borderId="20" xfId="0" applyNumberFormat="1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42" fontId="9" fillId="0" borderId="19" xfId="1" applyFont="1" applyBorder="1" applyAlignment="1">
      <alignment horizontal="center"/>
    </xf>
    <xf numFmtId="42" fontId="0" fillId="0" borderId="34" xfId="1" applyFont="1" applyBorder="1" applyAlignment="1">
      <alignment horizontal="center"/>
    </xf>
    <xf numFmtId="42" fontId="0" fillId="0" borderId="33" xfId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8" fontId="5" fillId="8" borderId="0" xfId="0" applyNumberFormat="1" applyFont="1" applyFill="1" applyAlignment="1"/>
    <xf numFmtId="6" fontId="4" fillId="8" borderId="0" xfId="0" applyNumberFormat="1" applyFont="1" applyFill="1" applyAlignment="1"/>
    <xf numFmtId="2" fontId="5" fillId="0" borderId="0" xfId="0" applyNumberFormat="1" applyFont="1" applyAlignment="1">
      <alignment horizontal="center" vertical="center"/>
    </xf>
    <xf numFmtId="0" fontId="0" fillId="0" borderId="33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19" xfId="0" applyFont="1" applyBorder="1" applyAlignment="1">
      <alignment horizontal="left" vertical="center"/>
    </xf>
    <xf numFmtId="42" fontId="9" fillId="0" borderId="19" xfId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42" fontId="3" fillId="0" borderId="33" xfId="1" applyFont="1" applyBorder="1" applyAlignment="1">
      <alignment horizontal="center" vertical="center"/>
    </xf>
    <xf numFmtId="0" fontId="3" fillId="0" borderId="83" xfId="0" applyFont="1" applyBorder="1" applyAlignment="1">
      <alignment horizontal="left" vertical="center"/>
    </xf>
    <xf numFmtId="0" fontId="6" fillId="0" borderId="98" xfId="0" applyFont="1" applyBorder="1" applyAlignment="1">
      <alignment horizontal="center" vertical="center"/>
    </xf>
    <xf numFmtId="0" fontId="3" fillId="0" borderId="98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42" fontId="3" fillId="0" borderId="93" xfId="1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42" fontId="6" fillId="0" borderId="66" xfId="1" applyFont="1" applyBorder="1" applyAlignment="1">
      <alignment horizontal="center" vertical="center"/>
    </xf>
    <xf numFmtId="42" fontId="3" fillId="0" borderId="65" xfId="1" applyFont="1" applyBorder="1" applyAlignment="1">
      <alignment horizontal="center" vertical="center"/>
    </xf>
    <xf numFmtId="42" fontId="3" fillId="0" borderId="66" xfId="0" applyNumberFormat="1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87" xfId="0" applyFont="1" applyBorder="1" applyAlignment="1">
      <alignment horizontal="left" vertical="center"/>
    </xf>
    <xf numFmtId="42" fontId="5" fillId="0" borderId="38" xfId="1" applyNumberFormat="1" applyFont="1" applyBorder="1" applyAlignment="1">
      <alignment horizontal="center" vertical="center"/>
    </xf>
    <xf numFmtId="42" fontId="0" fillId="0" borderId="33" xfId="0" applyNumberFormat="1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8" fontId="4" fillId="0" borderId="0" xfId="0" applyNumberFormat="1" applyFont="1" applyAlignment="1"/>
    <xf numFmtId="0" fontId="12" fillId="0" borderId="2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166" fontId="16" fillId="0" borderId="0" xfId="0" applyNumberFormat="1" applyFont="1" applyFill="1" applyBorder="1" applyAlignment="1">
      <alignment vertical="center"/>
    </xf>
    <xf numFmtId="8" fontId="4" fillId="0" borderId="0" xfId="0" applyNumberFormat="1" applyFont="1" applyFill="1" applyAlignment="1"/>
    <xf numFmtId="165" fontId="5" fillId="0" borderId="43" xfId="3" applyNumberFormat="1" applyFont="1" applyFill="1" applyBorder="1" applyAlignment="1">
      <alignment horizontal="center" vertical="center"/>
    </xf>
    <xf numFmtId="6" fontId="5" fillId="0" borderId="42" xfId="1" applyNumberFormat="1" applyFont="1" applyFill="1" applyBorder="1" applyAlignment="1">
      <alignment horizontal="center" vertical="center"/>
    </xf>
    <xf numFmtId="44" fontId="5" fillId="0" borderId="28" xfId="3" applyFont="1" applyFill="1" applyBorder="1" applyAlignment="1">
      <alignment horizontal="center" vertical="center"/>
    </xf>
    <xf numFmtId="165" fontId="5" fillId="0" borderId="28" xfId="0" applyNumberFormat="1" applyFont="1" applyFill="1" applyBorder="1" applyAlignment="1">
      <alignment horizontal="center" vertical="center"/>
    </xf>
    <xf numFmtId="165" fontId="5" fillId="0" borderId="28" xfId="3" applyNumberFormat="1" applyFont="1" applyFill="1" applyBorder="1" applyAlignment="1">
      <alignment horizontal="center" vertical="center"/>
    </xf>
    <xf numFmtId="165" fontId="5" fillId="0" borderId="35" xfId="3" applyNumberFormat="1" applyFont="1" applyFill="1" applyBorder="1" applyAlignment="1">
      <alignment horizontal="center" vertical="center"/>
    </xf>
    <xf numFmtId="8" fontId="4" fillId="6" borderId="20" xfId="0" applyNumberFormat="1" applyFont="1" applyFill="1" applyBorder="1" applyAlignment="1"/>
    <xf numFmtId="9" fontId="1" fillId="0" borderId="19" xfId="0" applyNumberFormat="1" applyFont="1" applyFill="1" applyBorder="1" applyAlignment="1">
      <alignment horizontal="center" vertical="center"/>
    </xf>
    <xf numFmtId="168" fontId="1" fillId="0" borderId="19" xfId="1" applyNumberFormat="1" applyFont="1" applyFill="1" applyBorder="1" applyAlignment="1">
      <alignment horizontal="center" vertical="center"/>
    </xf>
    <xf numFmtId="9" fontId="1" fillId="0" borderId="19" xfId="1" applyNumberFormat="1" applyFont="1" applyFill="1" applyBorder="1" applyAlignment="1">
      <alignment horizontal="center" vertical="center"/>
    </xf>
    <xf numFmtId="42" fontId="1" fillId="0" borderId="19" xfId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56" xfId="0" applyFont="1" applyBorder="1" applyAlignment="1">
      <alignment horizontal="center"/>
    </xf>
    <xf numFmtId="164" fontId="13" fillId="0" borderId="45" xfId="1" applyNumberFormat="1" applyFont="1" applyBorder="1" applyAlignment="1">
      <alignment horizontal="center" vertical="center"/>
    </xf>
    <xf numFmtId="164" fontId="13" fillId="0" borderId="46" xfId="1" applyNumberFormat="1" applyFont="1" applyBorder="1" applyAlignment="1">
      <alignment horizontal="center" vertical="center"/>
    </xf>
    <xf numFmtId="0" fontId="13" fillId="4" borderId="12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center"/>
    </xf>
    <xf numFmtId="0" fontId="13" fillId="4" borderId="14" xfId="0" applyFont="1" applyFill="1" applyBorder="1" applyAlignment="1">
      <alignment horizontal="center"/>
    </xf>
    <xf numFmtId="0" fontId="6" fillId="0" borderId="8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13" fillId="0" borderId="4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8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0" borderId="5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94" xfId="0" applyFont="1" applyBorder="1" applyAlignment="1">
      <alignment horizontal="center"/>
    </xf>
    <xf numFmtId="6" fontId="4" fillId="0" borderId="73" xfId="0" applyNumberFormat="1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13" fillId="0" borderId="47" xfId="0" applyFont="1" applyBorder="1" applyAlignment="1">
      <alignment horizontal="center" vertical="center"/>
    </xf>
    <xf numFmtId="0" fontId="13" fillId="0" borderId="97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7" fillId="5" borderId="12" xfId="0" applyFont="1" applyFill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8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18" fillId="4" borderId="42" xfId="0" applyFont="1" applyFill="1" applyBorder="1" applyAlignment="1">
      <alignment horizontal="center" vertical="center"/>
    </xf>
    <xf numFmtId="0" fontId="18" fillId="4" borderId="43" xfId="0" applyFont="1" applyFill="1" applyBorder="1" applyAlignment="1">
      <alignment horizontal="center" vertical="center"/>
    </xf>
    <xf numFmtId="0" fontId="18" fillId="4" borderId="4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8" fillId="4" borderId="25" xfId="0" applyFont="1" applyFill="1" applyBorder="1" applyAlignment="1">
      <alignment horizontal="center" vertical="center"/>
    </xf>
    <xf numFmtId="0" fontId="18" fillId="4" borderId="26" xfId="0" applyFont="1" applyFill="1" applyBorder="1" applyAlignment="1">
      <alignment horizontal="center" vertical="center"/>
    </xf>
    <xf numFmtId="0" fontId="18" fillId="4" borderId="27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6" fontId="4" fillId="0" borderId="74" xfId="0" applyNumberFormat="1" applyFont="1" applyBorder="1" applyAlignment="1">
      <alignment horizontal="center" vertical="center"/>
    </xf>
    <xf numFmtId="6" fontId="4" fillId="0" borderId="13" xfId="0" applyNumberFormat="1" applyFont="1" applyBorder="1" applyAlignment="1">
      <alignment horizontal="center" vertical="center"/>
    </xf>
    <xf numFmtId="6" fontId="4" fillId="0" borderId="14" xfId="0" applyNumberFormat="1" applyFont="1" applyBorder="1" applyAlignment="1">
      <alignment horizontal="center" vertical="center"/>
    </xf>
    <xf numFmtId="0" fontId="9" fillId="0" borderId="8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left" vertical="center"/>
    </xf>
    <xf numFmtId="0" fontId="4" fillId="4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/>
    </xf>
    <xf numFmtId="0" fontId="13" fillId="0" borderId="81" xfId="0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0" fontId="18" fillId="4" borderId="44" xfId="0" applyFont="1" applyFill="1" applyBorder="1" applyAlignment="1">
      <alignment horizontal="center" vertical="center"/>
    </xf>
    <xf numFmtId="0" fontId="18" fillId="4" borderId="45" xfId="0" applyFont="1" applyFill="1" applyBorder="1" applyAlignment="1">
      <alignment horizontal="center" vertical="center"/>
    </xf>
    <xf numFmtId="0" fontId="18" fillId="4" borderId="46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wrapText="1"/>
    </xf>
  </cellXfs>
  <cellStyles count="4">
    <cellStyle name="Hipervínculo" xfId="2" builtinId="8"/>
    <cellStyle name="Moneda" xfId="3" builtinId="4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60"/>
  <sheetViews>
    <sheetView zoomScale="72" zoomScaleNormal="70" workbookViewId="0">
      <selection sqref="A1:F1"/>
    </sheetView>
  </sheetViews>
  <sheetFormatPr baseColWidth="10" defaultColWidth="14.42578125" defaultRowHeight="15.75" customHeight="1" x14ac:dyDescent="0.2"/>
  <cols>
    <col min="1" max="1" width="45.7109375" style="7" customWidth="1"/>
    <col min="2" max="2" width="46.5703125" style="7" customWidth="1"/>
    <col min="3" max="3" width="18.5703125" style="7" customWidth="1"/>
    <col min="4" max="5" width="14.42578125" style="7"/>
    <col min="6" max="6" width="19.5703125" style="7" customWidth="1"/>
    <col min="7" max="7" width="14.42578125" style="7"/>
    <col min="8" max="8" width="27" style="7" bestFit="1" customWidth="1"/>
    <col min="9" max="9" width="49.7109375" style="7" customWidth="1"/>
    <col min="10" max="10" width="14.85546875" style="7" bestFit="1" customWidth="1"/>
    <col min="11" max="19" width="14" style="7" bestFit="1" customWidth="1"/>
    <col min="20" max="20" width="15.28515625" style="7" bestFit="1" customWidth="1"/>
    <col min="21" max="21" width="16" style="7" bestFit="1" customWidth="1"/>
    <col min="22" max="16384" width="14.42578125" style="7"/>
  </cols>
  <sheetData>
    <row r="1" spans="1:21" ht="15.75" customHeight="1" thickBot="1" x14ac:dyDescent="0.25">
      <c r="A1" s="369" t="s">
        <v>26</v>
      </c>
      <c r="B1" s="370"/>
      <c r="C1" s="370"/>
      <c r="D1" s="370"/>
      <c r="E1" s="370"/>
      <c r="F1" s="371"/>
      <c r="H1" s="342" t="s">
        <v>92</v>
      </c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4"/>
    </row>
    <row r="2" spans="1:21" ht="15.75" customHeight="1" thickBot="1" x14ac:dyDescent="0.25">
      <c r="A2" s="395" t="s">
        <v>23</v>
      </c>
      <c r="B2" s="366"/>
      <c r="C2" s="366"/>
      <c r="D2" s="366"/>
      <c r="E2" s="366"/>
      <c r="F2" s="367"/>
      <c r="H2" s="52" t="s">
        <v>91</v>
      </c>
      <c r="I2" s="53" t="s">
        <v>93</v>
      </c>
      <c r="J2" s="53" t="s">
        <v>107</v>
      </c>
      <c r="K2" s="53" t="s">
        <v>82</v>
      </c>
      <c r="L2" s="53" t="s">
        <v>83</v>
      </c>
      <c r="M2" s="53" t="s">
        <v>84</v>
      </c>
      <c r="N2" s="53" t="s">
        <v>85</v>
      </c>
      <c r="O2" s="53" t="s">
        <v>86</v>
      </c>
      <c r="P2" s="53" t="s">
        <v>87</v>
      </c>
      <c r="Q2" s="53" t="s">
        <v>88</v>
      </c>
      <c r="R2" s="53" t="s">
        <v>89</v>
      </c>
      <c r="S2" s="53" t="s">
        <v>90</v>
      </c>
      <c r="T2" s="53" t="s">
        <v>101</v>
      </c>
      <c r="U2" s="54" t="s">
        <v>97</v>
      </c>
    </row>
    <row r="3" spans="1:21" ht="15.75" customHeight="1" thickBot="1" x14ac:dyDescent="0.25">
      <c r="A3" s="29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4" t="s">
        <v>5</v>
      </c>
      <c r="H3" s="391" t="s">
        <v>6</v>
      </c>
      <c r="I3" s="40" t="s">
        <v>20</v>
      </c>
      <c r="J3" s="55">
        <f>F5+F20</f>
        <v>180000</v>
      </c>
      <c r="K3" s="55"/>
      <c r="L3" s="55"/>
      <c r="M3" s="55"/>
      <c r="N3" s="55"/>
      <c r="O3" s="55"/>
      <c r="P3" s="55"/>
      <c r="Q3" s="55"/>
      <c r="R3" s="55"/>
      <c r="S3" s="55"/>
      <c r="T3" s="189"/>
      <c r="U3" s="190"/>
    </row>
    <row r="4" spans="1:21" ht="15.75" customHeight="1" x14ac:dyDescent="0.2">
      <c r="A4" s="357" t="s">
        <v>7</v>
      </c>
      <c r="B4" s="358"/>
      <c r="C4" s="358"/>
      <c r="D4" s="358"/>
      <c r="E4" s="358"/>
      <c r="F4" s="359"/>
      <c r="H4" s="392"/>
      <c r="I4" s="5" t="s">
        <v>62</v>
      </c>
      <c r="J4" s="48">
        <f>F6+F21</f>
        <v>5400000</v>
      </c>
      <c r="K4" s="48"/>
      <c r="L4" s="48"/>
      <c r="M4" s="48"/>
      <c r="N4" s="48"/>
      <c r="O4" s="48"/>
      <c r="P4" s="48"/>
      <c r="Q4" s="48"/>
      <c r="R4" s="48"/>
      <c r="S4" s="48"/>
      <c r="T4" s="77"/>
      <c r="U4" s="191"/>
    </row>
    <row r="5" spans="1:21" ht="15.75" customHeight="1" x14ac:dyDescent="0.2">
      <c r="A5" s="5" t="s">
        <v>20</v>
      </c>
      <c r="B5" s="5" t="s">
        <v>22</v>
      </c>
      <c r="C5" s="356" t="s">
        <v>42</v>
      </c>
      <c r="D5" s="9">
        <v>50000</v>
      </c>
      <c r="E5" s="10">
        <v>1</v>
      </c>
      <c r="F5" s="9">
        <f>E5*D5</f>
        <v>50000</v>
      </c>
      <c r="H5" s="392"/>
      <c r="I5" s="5" t="s">
        <v>25</v>
      </c>
      <c r="J5" s="48">
        <f>F7+F22</f>
        <v>460000</v>
      </c>
      <c r="K5" s="48"/>
      <c r="L5" s="48"/>
      <c r="M5" s="48"/>
      <c r="N5" s="48"/>
      <c r="O5" s="48"/>
      <c r="P5" s="48"/>
      <c r="Q5" s="48"/>
      <c r="R5" s="48"/>
      <c r="S5" s="48"/>
      <c r="T5" s="77"/>
      <c r="U5" s="191"/>
    </row>
    <row r="6" spans="1:21" ht="15.75" customHeight="1" x14ac:dyDescent="0.2">
      <c r="A6" s="5" t="s">
        <v>62</v>
      </c>
      <c r="B6" s="5" t="s">
        <v>64</v>
      </c>
      <c r="C6" s="356"/>
      <c r="D6" s="9">
        <v>30000</v>
      </c>
      <c r="E6" s="10">
        <v>30</v>
      </c>
      <c r="F6" s="9">
        <f>E6*D6</f>
        <v>900000</v>
      </c>
      <c r="H6" s="392"/>
      <c r="I6" s="5" t="s">
        <v>24</v>
      </c>
      <c r="J6" s="48">
        <f>F8+F24+F23</f>
        <v>215000</v>
      </c>
      <c r="K6" s="48"/>
      <c r="L6" s="48"/>
      <c r="M6" s="48"/>
      <c r="N6" s="48"/>
      <c r="O6" s="48"/>
      <c r="P6" s="48"/>
      <c r="Q6" s="48"/>
      <c r="R6" s="48"/>
      <c r="S6" s="48"/>
      <c r="T6" s="77"/>
      <c r="U6" s="191"/>
    </row>
    <row r="7" spans="1:21" ht="15.75" customHeight="1" x14ac:dyDescent="0.2">
      <c r="A7" s="5" t="s">
        <v>25</v>
      </c>
      <c r="B7" s="5" t="s">
        <v>9</v>
      </c>
      <c r="C7" s="356"/>
      <c r="D7" s="9">
        <v>30000</v>
      </c>
      <c r="E7" s="10">
        <v>2</v>
      </c>
      <c r="F7" s="9">
        <f t="shared" ref="F7:F17" si="0">E7*D7</f>
        <v>60000</v>
      </c>
      <c r="H7" s="392"/>
      <c r="I7" s="10" t="s">
        <v>19</v>
      </c>
      <c r="J7" s="48">
        <f>F9+F25</f>
        <v>105000</v>
      </c>
      <c r="K7" s="48"/>
      <c r="L7" s="48"/>
      <c r="M7" s="48"/>
      <c r="N7" s="48"/>
      <c r="O7" s="48"/>
      <c r="P7" s="48"/>
      <c r="Q7" s="48"/>
      <c r="R7" s="48"/>
      <c r="S7" s="48"/>
      <c r="T7" s="77"/>
      <c r="U7" s="191"/>
    </row>
    <row r="8" spans="1:21" ht="15.75" customHeight="1" x14ac:dyDescent="0.2">
      <c r="A8" s="5" t="s">
        <v>24</v>
      </c>
      <c r="B8" s="5" t="s">
        <v>9</v>
      </c>
      <c r="C8" s="356"/>
      <c r="D8" s="9">
        <v>30000</v>
      </c>
      <c r="E8" s="10">
        <v>2</v>
      </c>
      <c r="F8" s="9">
        <f t="shared" si="0"/>
        <v>60000</v>
      </c>
      <c r="H8" s="392"/>
      <c r="I8" s="10" t="s">
        <v>8</v>
      </c>
      <c r="J8" s="48">
        <f>F10</f>
        <v>120000</v>
      </c>
      <c r="K8" s="48"/>
      <c r="L8" s="48"/>
      <c r="M8" s="48"/>
      <c r="N8" s="48"/>
      <c r="O8" s="48"/>
      <c r="P8" s="48"/>
      <c r="Q8" s="48"/>
      <c r="R8" s="48"/>
      <c r="S8" s="48"/>
      <c r="T8" s="77"/>
      <c r="U8" s="191"/>
    </row>
    <row r="9" spans="1:21" ht="15.75" customHeight="1" x14ac:dyDescent="0.2">
      <c r="A9" s="10" t="s">
        <v>19</v>
      </c>
      <c r="B9" s="5" t="s">
        <v>9</v>
      </c>
      <c r="C9" s="356"/>
      <c r="D9" s="9">
        <v>30000</v>
      </c>
      <c r="E9" s="10">
        <v>2</v>
      </c>
      <c r="F9" s="9">
        <f t="shared" si="0"/>
        <v>60000</v>
      </c>
      <c r="H9" s="392"/>
      <c r="I9" s="5" t="s">
        <v>94</v>
      </c>
      <c r="J9" s="48">
        <f>F11+F12+F13+F26+F27+F32+F33+F31</f>
        <v>4817200</v>
      </c>
      <c r="K9" s="48"/>
      <c r="L9" s="48"/>
      <c r="M9" s="48"/>
      <c r="N9" s="48"/>
      <c r="O9" s="48"/>
      <c r="P9" s="48"/>
      <c r="Q9" s="48"/>
      <c r="R9" s="48"/>
      <c r="S9" s="48"/>
      <c r="T9" s="77"/>
      <c r="U9" s="191"/>
    </row>
    <row r="10" spans="1:21" ht="15.75" customHeight="1" x14ac:dyDescent="0.2">
      <c r="A10" s="10" t="s">
        <v>8</v>
      </c>
      <c r="B10" s="10" t="s">
        <v>9</v>
      </c>
      <c r="C10" s="356"/>
      <c r="D10" s="9">
        <v>30000</v>
      </c>
      <c r="E10" s="10">
        <v>4</v>
      </c>
      <c r="F10" s="9">
        <f t="shared" si="0"/>
        <v>120000</v>
      </c>
      <c r="H10" s="392"/>
      <c r="I10" s="5" t="s">
        <v>35</v>
      </c>
      <c r="J10" s="48">
        <f>F14+F28</f>
        <v>300000</v>
      </c>
      <c r="K10" s="48"/>
      <c r="L10" s="48"/>
      <c r="M10" s="48"/>
      <c r="N10" s="48"/>
      <c r="O10" s="48"/>
      <c r="P10" s="48"/>
      <c r="Q10" s="48"/>
      <c r="R10" s="48"/>
      <c r="S10" s="48"/>
      <c r="T10" s="77"/>
      <c r="U10" s="191"/>
    </row>
    <row r="11" spans="1:21" ht="15.75" customHeight="1" x14ac:dyDescent="0.2">
      <c r="A11" s="5" t="s">
        <v>28</v>
      </c>
      <c r="B11" s="5" t="s">
        <v>41</v>
      </c>
      <c r="C11" s="356"/>
      <c r="D11" s="9">
        <v>30000</v>
      </c>
      <c r="E11" s="10">
        <v>6</v>
      </c>
      <c r="F11" s="9">
        <f t="shared" si="0"/>
        <v>180000</v>
      </c>
      <c r="H11" s="392"/>
      <c r="I11" s="10" t="s">
        <v>10</v>
      </c>
      <c r="J11" s="48">
        <f>F15+F29</f>
        <v>495000</v>
      </c>
      <c r="K11" s="48"/>
      <c r="L11" s="48"/>
      <c r="M11" s="48"/>
      <c r="N11" s="48"/>
      <c r="O11" s="48"/>
      <c r="P11" s="48"/>
      <c r="Q11" s="48"/>
      <c r="R11" s="48"/>
      <c r="S11" s="48"/>
      <c r="T11" s="77"/>
      <c r="U11" s="191"/>
    </row>
    <row r="12" spans="1:21" ht="15.75" customHeight="1" x14ac:dyDescent="0.2">
      <c r="A12" s="5" t="s">
        <v>29</v>
      </c>
      <c r="B12" s="5" t="s">
        <v>41</v>
      </c>
      <c r="C12" s="356"/>
      <c r="D12" s="9">
        <v>30000</v>
      </c>
      <c r="E12" s="10">
        <v>4</v>
      </c>
      <c r="F12" s="9">
        <f>E12*D12</f>
        <v>120000</v>
      </c>
      <c r="H12" s="392"/>
      <c r="I12" s="5" t="s">
        <v>43</v>
      </c>
      <c r="J12" s="48">
        <f>F16+F30</f>
        <v>205000</v>
      </c>
      <c r="K12" s="48"/>
      <c r="L12" s="48"/>
      <c r="M12" s="48"/>
      <c r="N12" s="48"/>
      <c r="O12" s="48"/>
      <c r="P12" s="48"/>
      <c r="Q12" s="48"/>
      <c r="R12" s="48"/>
      <c r="S12" s="48"/>
      <c r="T12" s="77"/>
      <c r="U12" s="191"/>
    </row>
    <row r="13" spans="1:21" ht="15.75" customHeight="1" x14ac:dyDescent="0.2">
      <c r="A13" s="5" t="s">
        <v>27</v>
      </c>
      <c r="B13" s="5" t="s">
        <v>41</v>
      </c>
      <c r="C13" s="356"/>
      <c r="D13" s="9">
        <v>30000</v>
      </c>
      <c r="E13" s="10">
        <v>8</v>
      </c>
      <c r="F13" s="9">
        <f t="shared" si="0"/>
        <v>240000</v>
      </c>
      <c r="H13" s="392"/>
      <c r="I13" s="44" t="s">
        <v>193</v>
      </c>
      <c r="J13" s="93">
        <f>F17</f>
        <v>2000000</v>
      </c>
      <c r="K13" s="93"/>
      <c r="L13" s="93"/>
      <c r="M13" s="93"/>
      <c r="N13" s="93"/>
      <c r="O13" s="93"/>
      <c r="P13" s="93"/>
      <c r="Q13" s="93"/>
      <c r="R13" s="93"/>
      <c r="S13" s="93"/>
      <c r="T13" s="292"/>
      <c r="U13" s="293"/>
    </row>
    <row r="14" spans="1:21" ht="15.75" customHeight="1" thickBot="1" x14ac:dyDescent="0.25">
      <c r="A14" s="5" t="s">
        <v>35</v>
      </c>
      <c r="B14" s="5" t="s">
        <v>31</v>
      </c>
      <c r="C14" s="356"/>
      <c r="D14" s="9">
        <v>30000</v>
      </c>
      <c r="E14" s="10">
        <v>2</v>
      </c>
      <c r="F14" s="9">
        <f t="shared" si="0"/>
        <v>60000</v>
      </c>
      <c r="H14" s="393"/>
      <c r="I14" s="37" t="s">
        <v>37</v>
      </c>
      <c r="J14" s="59">
        <f>F34+F35</f>
        <v>300000</v>
      </c>
      <c r="K14" s="59"/>
      <c r="L14" s="59"/>
      <c r="M14" s="59"/>
      <c r="N14" s="59"/>
      <c r="O14" s="59"/>
      <c r="P14" s="59"/>
      <c r="Q14" s="59"/>
      <c r="R14" s="59"/>
      <c r="S14" s="59"/>
      <c r="T14" s="192"/>
      <c r="U14" s="193"/>
    </row>
    <row r="15" spans="1:21" ht="15.75" customHeight="1" x14ac:dyDescent="0.2">
      <c r="A15" s="10" t="s">
        <v>10</v>
      </c>
      <c r="B15" s="10" t="s">
        <v>11</v>
      </c>
      <c r="C15" s="356"/>
      <c r="D15" s="9">
        <v>30000</v>
      </c>
      <c r="E15" s="10">
        <v>8</v>
      </c>
      <c r="F15" s="9">
        <f t="shared" si="0"/>
        <v>240000</v>
      </c>
      <c r="H15" s="391" t="s">
        <v>16</v>
      </c>
      <c r="I15" s="43" t="s">
        <v>204</v>
      </c>
      <c r="J15" s="55"/>
      <c r="K15" s="55">
        <f>60000+F48</f>
        <v>435000</v>
      </c>
      <c r="L15" s="55">
        <f>60000</f>
        <v>60000</v>
      </c>
      <c r="M15" s="55">
        <f>60000</f>
        <v>60000</v>
      </c>
      <c r="N15" s="55">
        <f>60000</f>
        <v>60000</v>
      </c>
      <c r="O15" s="55"/>
      <c r="P15" s="55"/>
      <c r="Q15" s="55"/>
      <c r="R15" s="55"/>
      <c r="S15" s="55"/>
      <c r="T15" s="189"/>
      <c r="U15" s="190"/>
    </row>
    <row r="16" spans="1:21" ht="15.75" customHeight="1" x14ac:dyDescent="0.2">
      <c r="A16" s="5" t="s">
        <v>43</v>
      </c>
      <c r="B16" s="10" t="s">
        <v>120</v>
      </c>
      <c r="C16" s="356"/>
      <c r="D16" s="9">
        <v>30000</v>
      </c>
      <c r="E16" s="10">
        <v>4</v>
      </c>
      <c r="F16" s="9">
        <f t="shared" si="0"/>
        <v>120000</v>
      </c>
      <c r="H16" s="392"/>
      <c r="I16" s="5" t="s">
        <v>95</v>
      </c>
      <c r="J16" s="48"/>
      <c r="K16" s="48">
        <f>F47</f>
        <v>500000</v>
      </c>
      <c r="L16" s="48"/>
      <c r="M16" s="48"/>
      <c r="N16" s="48"/>
      <c r="O16" s="48"/>
      <c r="P16" s="48"/>
      <c r="Q16" s="48"/>
      <c r="R16" s="48"/>
      <c r="S16" s="48"/>
      <c r="T16" s="77"/>
      <c r="U16" s="191"/>
    </row>
    <row r="17" spans="1:29" ht="15.75" customHeight="1" x14ac:dyDescent="0.2">
      <c r="A17" s="10" t="s">
        <v>193</v>
      </c>
      <c r="B17" s="10" t="s">
        <v>194</v>
      </c>
      <c r="C17" s="270" t="s">
        <v>195</v>
      </c>
      <c r="D17" s="9">
        <v>1000000</v>
      </c>
      <c r="E17" s="10">
        <v>2</v>
      </c>
      <c r="F17" s="9">
        <f t="shared" si="0"/>
        <v>2000000</v>
      </c>
      <c r="H17" s="392"/>
      <c r="I17" s="5" t="s">
        <v>68</v>
      </c>
      <c r="J17" s="48"/>
      <c r="K17" s="48">
        <v>90000</v>
      </c>
      <c r="L17" s="48"/>
      <c r="M17" s="48">
        <v>90000</v>
      </c>
      <c r="N17" s="48"/>
      <c r="O17" s="48">
        <v>90000</v>
      </c>
      <c r="P17" s="48"/>
      <c r="Q17" s="48">
        <v>90000</v>
      </c>
      <c r="R17" s="48"/>
      <c r="S17" s="48">
        <v>90000</v>
      </c>
      <c r="T17" s="77"/>
      <c r="U17" s="191"/>
    </row>
    <row r="18" spans="1:29" ht="15.75" customHeight="1" x14ac:dyDescent="0.2">
      <c r="A18" s="372" t="s">
        <v>44</v>
      </c>
      <c r="B18" s="373"/>
      <c r="C18" s="373"/>
      <c r="D18" s="373"/>
      <c r="E18" s="373"/>
      <c r="F18" s="26">
        <f>SUM(F5:F17)</f>
        <v>4210000</v>
      </c>
      <c r="H18" s="392"/>
      <c r="I18" s="46" t="s">
        <v>67</v>
      </c>
      <c r="J18" s="48"/>
      <c r="K18" s="48">
        <f>F49+90000</f>
        <v>600000</v>
      </c>
      <c r="L18" s="48">
        <v>90000</v>
      </c>
      <c r="M18" s="48">
        <v>90000</v>
      </c>
      <c r="N18" s="48">
        <v>90000</v>
      </c>
      <c r="O18" s="48"/>
      <c r="P18" s="48"/>
      <c r="Q18" s="48"/>
      <c r="R18" s="48"/>
      <c r="S18" s="48"/>
      <c r="T18" s="77"/>
      <c r="U18" s="191"/>
    </row>
    <row r="19" spans="1:29" ht="15.75" customHeight="1" x14ac:dyDescent="0.2">
      <c r="A19" s="360" t="s">
        <v>21</v>
      </c>
      <c r="B19" s="361"/>
      <c r="C19" s="361"/>
      <c r="D19" s="361"/>
      <c r="E19" s="361"/>
      <c r="F19" s="362"/>
      <c r="H19" s="392"/>
      <c r="I19" s="294" t="s">
        <v>193</v>
      </c>
      <c r="J19" s="93"/>
      <c r="K19" s="93">
        <v>1000000</v>
      </c>
      <c r="L19" s="93"/>
      <c r="M19" s="93">
        <v>1000000</v>
      </c>
      <c r="N19" s="93"/>
      <c r="O19" s="93">
        <v>1000000</v>
      </c>
      <c r="P19" s="93"/>
      <c r="Q19" s="93">
        <v>1000000</v>
      </c>
      <c r="R19" s="93"/>
      <c r="S19" s="93">
        <v>1000000</v>
      </c>
      <c r="T19" s="292"/>
      <c r="U19" s="293"/>
    </row>
    <row r="20" spans="1:29" ht="15.75" customHeight="1" thickBot="1" x14ac:dyDescent="0.25">
      <c r="A20" s="5" t="s">
        <v>33</v>
      </c>
      <c r="B20" s="5" t="s">
        <v>32</v>
      </c>
      <c r="C20" s="5" t="s">
        <v>34</v>
      </c>
      <c r="D20" s="9">
        <v>130000</v>
      </c>
      <c r="E20" s="10">
        <v>1</v>
      </c>
      <c r="F20" s="9">
        <f>E20*D20</f>
        <v>130000</v>
      </c>
      <c r="H20" s="393"/>
      <c r="I20" s="62" t="s">
        <v>37</v>
      </c>
      <c r="J20" s="59"/>
      <c r="K20" s="59">
        <f>F50</f>
        <v>80000</v>
      </c>
      <c r="L20" s="59"/>
      <c r="M20" s="59"/>
      <c r="N20" s="59"/>
      <c r="O20" s="59"/>
      <c r="P20" s="59"/>
      <c r="Q20" s="59"/>
      <c r="R20" s="59"/>
      <c r="S20" s="59"/>
      <c r="T20" s="192"/>
      <c r="U20" s="193"/>
    </row>
    <row r="21" spans="1:29" ht="15.75" customHeight="1" x14ac:dyDescent="0.2">
      <c r="A21" s="5" t="s">
        <v>63</v>
      </c>
      <c r="B21" s="5" t="s">
        <v>65</v>
      </c>
      <c r="C21" s="5" t="s">
        <v>66</v>
      </c>
      <c r="D21" s="9">
        <v>1500000</v>
      </c>
      <c r="E21" s="10">
        <v>3</v>
      </c>
      <c r="F21" s="9">
        <f>E21*D21</f>
        <v>4500000</v>
      </c>
      <c r="H21" s="347" t="s">
        <v>17</v>
      </c>
      <c r="I21" s="40" t="s">
        <v>80</v>
      </c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189"/>
      <c r="U21" s="190">
        <f>F55</f>
        <v>4300000</v>
      </c>
    </row>
    <row r="22" spans="1:29" ht="15.75" customHeight="1" x14ac:dyDescent="0.2">
      <c r="A22" s="5" t="s">
        <v>58</v>
      </c>
      <c r="B22" s="5" t="s">
        <v>59</v>
      </c>
      <c r="C22" s="5" t="s">
        <v>58</v>
      </c>
      <c r="D22" s="9">
        <v>400000</v>
      </c>
      <c r="E22" s="10">
        <v>1</v>
      </c>
      <c r="F22" s="9">
        <f t="shared" ref="F22:F24" si="1">E22*D22</f>
        <v>400000</v>
      </c>
      <c r="H22" s="348"/>
      <c r="I22" s="5" t="s">
        <v>112</v>
      </c>
      <c r="J22" s="77"/>
      <c r="K22" s="48"/>
      <c r="L22" s="48"/>
      <c r="M22" s="48"/>
      <c r="N22" s="48"/>
      <c r="O22" s="48"/>
      <c r="P22" s="48"/>
      <c r="Q22" s="48"/>
      <c r="R22" s="48"/>
      <c r="S22" s="48"/>
      <c r="T22" s="77"/>
      <c r="U22" s="191">
        <f>F56</f>
        <v>3600000</v>
      </c>
    </row>
    <row r="23" spans="1:29" ht="15.75" customHeight="1" thickBot="1" x14ac:dyDescent="0.25">
      <c r="A23" s="10" t="s">
        <v>139</v>
      </c>
      <c r="B23" s="5" t="s">
        <v>59</v>
      </c>
      <c r="C23" s="10" t="s">
        <v>140</v>
      </c>
      <c r="D23" s="9">
        <v>80000</v>
      </c>
      <c r="E23" s="10">
        <v>1</v>
      </c>
      <c r="F23" s="9">
        <f>D23*E23</f>
        <v>80000</v>
      </c>
      <c r="H23" s="349"/>
      <c r="I23" s="37" t="s">
        <v>77</v>
      </c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3">
        <f>F57</f>
        <v>4800000</v>
      </c>
    </row>
    <row r="24" spans="1:29" ht="15.75" customHeight="1" thickBot="1" x14ac:dyDescent="0.25">
      <c r="A24" s="10" t="s">
        <v>14</v>
      </c>
      <c r="B24" s="5" t="s">
        <v>46</v>
      </c>
      <c r="C24" s="5" t="s">
        <v>45</v>
      </c>
      <c r="D24" s="9">
        <v>25000</v>
      </c>
      <c r="E24" s="10">
        <v>3</v>
      </c>
      <c r="F24" s="9">
        <f t="shared" si="1"/>
        <v>75000</v>
      </c>
      <c r="H24" s="66" t="s">
        <v>99</v>
      </c>
      <c r="I24" s="67" t="s">
        <v>100</v>
      </c>
      <c r="J24" s="68">
        <v>200000</v>
      </c>
      <c r="K24" s="68">
        <v>200000</v>
      </c>
      <c r="L24" s="68">
        <v>200000</v>
      </c>
      <c r="M24" s="68">
        <v>200000</v>
      </c>
      <c r="N24" s="68">
        <v>200000</v>
      </c>
      <c r="O24" s="68">
        <v>200000</v>
      </c>
      <c r="P24" s="68">
        <v>200000</v>
      </c>
      <c r="Q24" s="68">
        <v>200000</v>
      </c>
      <c r="R24" s="68">
        <v>200000</v>
      </c>
      <c r="S24" s="68">
        <v>200000</v>
      </c>
      <c r="T24" s="68">
        <f>200000*15</f>
        <v>3000000</v>
      </c>
      <c r="U24" s="69">
        <v>200000</v>
      </c>
    </row>
    <row r="25" spans="1:29" ht="15.75" customHeight="1" thickBot="1" x14ac:dyDescent="0.25">
      <c r="A25" s="10" t="s">
        <v>18</v>
      </c>
      <c r="B25" s="5" t="s">
        <v>47</v>
      </c>
      <c r="C25" s="5" t="s">
        <v>45</v>
      </c>
      <c r="D25" s="9">
        <v>15000</v>
      </c>
      <c r="E25" s="10">
        <v>3</v>
      </c>
      <c r="F25" s="9">
        <f t="shared" ref="F25:F33" si="2">E25*D25</f>
        <v>45000</v>
      </c>
      <c r="H25" s="389" t="s">
        <v>44</v>
      </c>
      <c r="I25" s="390"/>
      <c r="J25" s="68">
        <f t="shared" ref="J25:U25" si="3">SUM(J3:J24)</f>
        <v>14797200</v>
      </c>
      <c r="K25" s="68">
        <f t="shared" si="3"/>
        <v>2905000</v>
      </c>
      <c r="L25" s="68">
        <f t="shared" si="3"/>
        <v>350000</v>
      </c>
      <c r="M25" s="68">
        <f t="shared" si="3"/>
        <v>1440000</v>
      </c>
      <c r="N25" s="68">
        <f t="shared" si="3"/>
        <v>350000</v>
      </c>
      <c r="O25" s="68">
        <f t="shared" si="3"/>
        <v>1290000</v>
      </c>
      <c r="P25" s="68">
        <f t="shared" si="3"/>
        <v>200000</v>
      </c>
      <c r="Q25" s="68">
        <f t="shared" si="3"/>
        <v>1290000</v>
      </c>
      <c r="R25" s="68">
        <f t="shared" si="3"/>
        <v>200000</v>
      </c>
      <c r="S25" s="68">
        <f t="shared" si="3"/>
        <v>1290000</v>
      </c>
      <c r="T25" s="68">
        <f t="shared" si="3"/>
        <v>3000000</v>
      </c>
      <c r="U25" s="69">
        <f t="shared" si="3"/>
        <v>12900000</v>
      </c>
    </row>
    <row r="26" spans="1:29" ht="15.75" customHeight="1" thickBot="1" x14ac:dyDescent="0.25">
      <c r="A26" s="5" t="s">
        <v>30</v>
      </c>
      <c r="B26" s="5" t="s">
        <v>50</v>
      </c>
      <c r="C26" s="5" t="s">
        <v>48</v>
      </c>
      <c r="D26" s="9">
        <v>120000</v>
      </c>
      <c r="E26" s="10">
        <v>1</v>
      </c>
      <c r="F26" s="9">
        <f t="shared" si="2"/>
        <v>120000</v>
      </c>
      <c r="H26" s="338" t="s">
        <v>103</v>
      </c>
      <c r="I26" s="339"/>
      <c r="J26" s="340">
        <f>SUM(J25:U25)</f>
        <v>40012200</v>
      </c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1"/>
      <c r="Y26" s="335"/>
      <c r="Z26" s="335"/>
      <c r="AA26" s="335"/>
      <c r="AB26" s="335"/>
      <c r="AC26" s="335"/>
    </row>
    <row r="27" spans="1:29" ht="15.75" customHeight="1" x14ac:dyDescent="0.2">
      <c r="A27" s="5" t="s">
        <v>49</v>
      </c>
      <c r="B27" s="5" t="s">
        <v>51</v>
      </c>
      <c r="C27" s="5" t="s">
        <v>49</v>
      </c>
      <c r="D27" s="9">
        <v>70000</v>
      </c>
      <c r="E27" s="10">
        <v>1</v>
      </c>
      <c r="F27" s="9">
        <f t="shared" si="2"/>
        <v>70000</v>
      </c>
      <c r="Y27" s="1"/>
      <c r="Z27" s="1"/>
      <c r="AA27" s="1"/>
      <c r="AB27" s="1"/>
      <c r="AC27" s="1"/>
    </row>
    <row r="28" spans="1:29" s="17" customFormat="1" ht="15.75" customHeight="1" thickBot="1" x14ac:dyDescent="0.25">
      <c r="A28" s="5" t="s">
        <v>36</v>
      </c>
      <c r="B28" s="5" t="s">
        <v>54</v>
      </c>
      <c r="C28" s="5" t="s">
        <v>53</v>
      </c>
      <c r="D28" s="9">
        <v>12000</v>
      </c>
      <c r="E28" s="10">
        <v>20</v>
      </c>
      <c r="F28" s="9">
        <f>E28*D28</f>
        <v>240000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Y28" s="7"/>
      <c r="Z28" s="7"/>
      <c r="AA28" s="7"/>
      <c r="AB28" s="7"/>
      <c r="AC28" s="7"/>
    </row>
    <row r="29" spans="1:29" ht="13.5" thickBot="1" x14ac:dyDescent="0.25">
      <c r="A29" s="5" t="s">
        <v>40</v>
      </c>
      <c r="B29" s="5" t="s">
        <v>52</v>
      </c>
      <c r="C29" s="5" t="s">
        <v>53</v>
      </c>
      <c r="D29" s="9">
        <v>85000</v>
      </c>
      <c r="E29" s="10">
        <v>3</v>
      </c>
      <c r="F29" s="9">
        <f t="shared" si="2"/>
        <v>255000</v>
      </c>
      <c r="I29" s="342" t="s">
        <v>104</v>
      </c>
      <c r="J29" s="343"/>
      <c r="K29" s="343"/>
      <c r="L29" s="343"/>
      <c r="M29" s="343"/>
      <c r="N29" s="343"/>
      <c r="O29" s="343"/>
      <c r="P29" s="343"/>
      <c r="Q29" s="343"/>
      <c r="R29" s="343"/>
      <c r="S29" s="343"/>
      <c r="T29" s="343"/>
      <c r="U29" s="344"/>
      <c r="Y29" s="8"/>
      <c r="Z29" s="8"/>
      <c r="AA29" s="8"/>
      <c r="AB29" s="8"/>
    </row>
    <row r="30" spans="1:29" ht="15.75" customHeight="1" thickBot="1" x14ac:dyDescent="0.25">
      <c r="A30" s="5" t="s">
        <v>98</v>
      </c>
      <c r="B30" s="5" t="s">
        <v>52</v>
      </c>
      <c r="C30" s="5" t="s">
        <v>53</v>
      </c>
      <c r="D30" s="9">
        <v>85000</v>
      </c>
      <c r="E30" s="10">
        <v>1</v>
      </c>
      <c r="F30" s="9">
        <f t="shared" ref="F30" si="4">E30*D30</f>
        <v>85000</v>
      </c>
      <c r="H30" s="17"/>
      <c r="I30" s="52" t="s">
        <v>93</v>
      </c>
      <c r="J30" s="53" t="s">
        <v>107</v>
      </c>
      <c r="K30" s="53" t="s">
        <v>82</v>
      </c>
      <c r="L30" s="53" t="s">
        <v>83</v>
      </c>
      <c r="M30" s="53" t="s">
        <v>84</v>
      </c>
      <c r="N30" s="53" t="s">
        <v>85</v>
      </c>
      <c r="O30" s="53" t="s">
        <v>86</v>
      </c>
      <c r="P30" s="53" t="s">
        <v>87</v>
      </c>
      <c r="Q30" s="53" t="s">
        <v>88</v>
      </c>
      <c r="R30" s="53" t="s">
        <v>89</v>
      </c>
      <c r="S30" s="53" t="s">
        <v>90</v>
      </c>
      <c r="T30" s="53" t="s">
        <v>101</v>
      </c>
      <c r="U30" s="54" t="s">
        <v>97</v>
      </c>
      <c r="Y30" s="336"/>
      <c r="Z30" s="337"/>
      <c r="AA30" s="337"/>
      <c r="AB30" s="337"/>
      <c r="AC30" s="337"/>
    </row>
    <row r="31" spans="1:29" ht="30" customHeight="1" x14ac:dyDescent="0.2">
      <c r="A31" s="394" t="s">
        <v>15</v>
      </c>
      <c r="B31" s="10" t="s">
        <v>197</v>
      </c>
      <c r="C31" s="10" t="s">
        <v>196</v>
      </c>
      <c r="D31" s="288">
        <v>4000</v>
      </c>
      <c r="E31" s="5">
        <v>420</v>
      </c>
      <c r="F31" s="9">
        <f>E31*D31</f>
        <v>1680000</v>
      </c>
      <c r="I31" s="80" t="s">
        <v>106</v>
      </c>
      <c r="J31" s="56"/>
      <c r="K31" s="189">
        <f>950*4562</f>
        <v>4333900</v>
      </c>
      <c r="L31" s="189">
        <f t="shared" ref="L31:U31" si="5">950*4562</f>
        <v>4333900</v>
      </c>
      <c r="M31" s="189">
        <f t="shared" si="5"/>
        <v>4333900</v>
      </c>
      <c r="N31" s="189">
        <f t="shared" si="5"/>
        <v>4333900</v>
      </c>
      <c r="O31" s="189">
        <f t="shared" si="5"/>
        <v>4333900</v>
      </c>
      <c r="P31" s="189">
        <f t="shared" si="5"/>
        <v>4333900</v>
      </c>
      <c r="Q31" s="189">
        <f t="shared" si="5"/>
        <v>4333900</v>
      </c>
      <c r="R31" s="189">
        <f t="shared" si="5"/>
        <v>4333900</v>
      </c>
      <c r="S31" s="189">
        <f t="shared" si="5"/>
        <v>4333900</v>
      </c>
      <c r="T31" s="189">
        <f>950*4562*15</f>
        <v>65008500</v>
      </c>
      <c r="U31" s="190">
        <f t="shared" si="5"/>
        <v>4333900</v>
      </c>
      <c r="Y31" s="337"/>
      <c r="Z31" s="337"/>
      <c r="AA31" s="337"/>
      <c r="AB31" s="337"/>
      <c r="AC31" s="337"/>
    </row>
    <row r="32" spans="1:29" ht="15.75" customHeight="1" thickBot="1" x14ac:dyDescent="0.25">
      <c r="A32" s="394"/>
      <c r="B32" s="5" t="s">
        <v>55</v>
      </c>
      <c r="C32" s="5" t="s">
        <v>81</v>
      </c>
      <c r="D32" s="288">
        <v>800</v>
      </c>
      <c r="E32" s="5">
        <v>729</v>
      </c>
      <c r="F32" s="9">
        <f>E32*D32</f>
        <v>583200</v>
      </c>
      <c r="I32" s="73" t="s">
        <v>105</v>
      </c>
      <c r="J32" s="60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74">
        <f>16000*6766</f>
        <v>108256000</v>
      </c>
      <c r="Y32" s="337"/>
      <c r="Z32" s="337"/>
      <c r="AA32" s="337"/>
      <c r="AB32" s="337"/>
      <c r="AC32" s="337"/>
    </row>
    <row r="33" spans="1:21" ht="15.75" customHeight="1" thickBot="1" x14ac:dyDescent="0.25">
      <c r="A33" s="394"/>
      <c r="B33" s="5" t="s">
        <v>56</v>
      </c>
      <c r="C33" s="5" t="s">
        <v>81</v>
      </c>
      <c r="D33" s="288">
        <v>500</v>
      </c>
      <c r="E33" s="5">
        <v>3648</v>
      </c>
      <c r="F33" s="9">
        <f t="shared" si="2"/>
        <v>1824000</v>
      </c>
      <c r="I33" s="90" t="s">
        <v>44</v>
      </c>
      <c r="J33" s="92"/>
      <c r="K33" s="68">
        <f t="shared" ref="K33:T33" si="6">SUM(K31:K32)</f>
        <v>4333900</v>
      </c>
      <c r="L33" s="68">
        <f t="shared" si="6"/>
        <v>4333900</v>
      </c>
      <c r="M33" s="68">
        <f t="shared" si="6"/>
        <v>4333900</v>
      </c>
      <c r="N33" s="68">
        <f t="shared" si="6"/>
        <v>4333900</v>
      </c>
      <c r="O33" s="68">
        <f t="shared" si="6"/>
        <v>4333900</v>
      </c>
      <c r="P33" s="68">
        <f t="shared" si="6"/>
        <v>4333900</v>
      </c>
      <c r="Q33" s="68">
        <f t="shared" si="6"/>
        <v>4333900</v>
      </c>
      <c r="R33" s="68">
        <f t="shared" si="6"/>
        <v>4333900</v>
      </c>
      <c r="S33" s="68">
        <f t="shared" si="6"/>
        <v>4333900</v>
      </c>
      <c r="T33" s="68">
        <f t="shared" si="6"/>
        <v>65008500</v>
      </c>
      <c r="U33" s="69">
        <f>SUM(U31:U32)</f>
        <v>112589900</v>
      </c>
    </row>
    <row r="34" spans="1:21" ht="15.75" customHeight="1" thickBot="1" x14ac:dyDescent="0.25">
      <c r="A34" s="345" t="s">
        <v>37</v>
      </c>
      <c r="B34" s="283" t="s">
        <v>191</v>
      </c>
      <c r="C34" s="284" t="s">
        <v>75</v>
      </c>
      <c r="D34" s="285">
        <v>20000</v>
      </c>
      <c r="E34" s="286">
        <v>5</v>
      </c>
      <c r="F34" s="287">
        <f t="shared" ref="F34:F35" si="7">E34*D34</f>
        <v>100000</v>
      </c>
      <c r="I34" s="91" t="s">
        <v>152</v>
      </c>
      <c r="J34" s="377">
        <f>SUM(J33:U33)</f>
        <v>216603500</v>
      </c>
      <c r="K34" s="378"/>
      <c r="L34" s="378"/>
      <c r="M34" s="378"/>
      <c r="N34" s="378"/>
      <c r="O34" s="378"/>
      <c r="P34" s="378"/>
      <c r="Q34" s="378"/>
      <c r="R34" s="378"/>
      <c r="S34" s="378"/>
      <c r="T34" s="378"/>
      <c r="U34" s="379"/>
    </row>
    <row r="35" spans="1:21" ht="15.75" customHeight="1" x14ac:dyDescent="0.2">
      <c r="A35" s="346"/>
      <c r="B35" s="10" t="s">
        <v>192</v>
      </c>
      <c r="C35" s="278" t="s">
        <v>75</v>
      </c>
      <c r="D35" s="9">
        <v>200000</v>
      </c>
      <c r="E35" s="10">
        <v>1</v>
      </c>
      <c r="F35" s="275">
        <f t="shared" si="7"/>
        <v>200000</v>
      </c>
      <c r="T35" s="75"/>
    </row>
    <row r="36" spans="1:21" ht="15.75" customHeight="1" x14ac:dyDescent="0.2">
      <c r="A36" s="374" t="s">
        <v>44</v>
      </c>
      <c r="B36" s="375"/>
      <c r="C36" s="375"/>
      <c r="D36" s="375"/>
      <c r="E36" s="376"/>
      <c r="F36" s="23">
        <f>SUM(F20:F35)</f>
        <v>10387200</v>
      </c>
    </row>
    <row r="37" spans="1:21" ht="15.75" customHeight="1" thickBot="1" x14ac:dyDescent="0.25">
      <c r="A37" s="363" t="s">
        <v>57</v>
      </c>
      <c r="B37" s="364"/>
      <c r="C37" s="364"/>
      <c r="D37" s="364"/>
      <c r="E37" s="364"/>
      <c r="F37" s="24">
        <f>F36+F18</f>
        <v>14597200</v>
      </c>
    </row>
    <row r="38" spans="1:21" ht="15.75" customHeight="1" thickBot="1" x14ac:dyDescent="0.25">
      <c r="A38" s="365" t="s">
        <v>108</v>
      </c>
      <c r="B38" s="366"/>
      <c r="C38" s="366"/>
      <c r="D38" s="366"/>
      <c r="E38" s="366"/>
      <c r="F38" s="367"/>
    </row>
    <row r="39" spans="1:21" ht="15.75" customHeight="1" thickBot="1" x14ac:dyDescent="0.25">
      <c r="A39" s="29" t="s">
        <v>0</v>
      </c>
      <c r="B39" s="3" t="s">
        <v>1</v>
      </c>
      <c r="C39" s="3" t="s">
        <v>2</v>
      </c>
      <c r="D39" s="3" t="s">
        <v>3</v>
      </c>
      <c r="E39" s="3" t="s">
        <v>4</v>
      </c>
      <c r="F39" s="4" t="s">
        <v>5</v>
      </c>
    </row>
    <row r="40" spans="1:21" ht="12.75" x14ac:dyDescent="0.2">
      <c r="A40" s="368" t="s">
        <v>7</v>
      </c>
      <c r="B40" s="358"/>
      <c r="C40" s="358"/>
      <c r="D40" s="358"/>
      <c r="E40" s="358"/>
      <c r="F40" s="359"/>
    </row>
    <row r="41" spans="1:21" ht="12.75" x14ac:dyDescent="0.2">
      <c r="A41" s="10" t="s">
        <v>24</v>
      </c>
      <c r="B41" s="5" t="s">
        <v>70</v>
      </c>
      <c r="C41" s="356" t="s">
        <v>42</v>
      </c>
      <c r="D41" s="9">
        <v>30000</v>
      </c>
      <c r="E41" s="10">
        <v>8</v>
      </c>
      <c r="F41" s="9">
        <f>E41*D41</f>
        <v>240000</v>
      </c>
    </row>
    <row r="42" spans="1:21" ht="12.75" x14ac:dyDescent="0.2">
      <c r="A42" s="5" t="s">
        <v>67</v>
      </c>
      <c r="B42" s="5" t="s">
        <v>71</v>
      </c>
      <c r="C42" s="356"/>
      <c r="D42" s="9">
        <v>30000</v>
      </c>
      <c r="E42" s="10">
        <v>12</v>
      </c>
      <c r="F42" s="9">
        <f t="shared" ref="F42" si="8">E42*D42</f>
        <v>360000</v>
      </c>
    </row>
    <row r="43" spans="1:21" ht="12.75" x14ac:dyDescent="0.2">
      <c r="A43" s="5" t="s">
        <v>68</v>
      </c>
      <c r="B43" s="5" t="s">
        <v>109</v>
      </c>
      <c r="C43" s="356"/>
      <c r="D43" s="9">
        <v>30000</v>
      </c>
      <c r="E43" s="10">
        <v>15</v>
      </c>
      <c r="F43" s="9">
        <f>E43*D43</f>
        <v>450000</v>
      </c>
    </row>
    <row r="44" spans="1:21" ht="12.75" x14ac:dyDescent="0.2">
      <c r="A44" s="10" t="s">
        <v>201</v>
      </c>
      <c r="B44" s="10" t="s">
        <v>203</v>
      </c>
      <c r="C44" s="270" t="s">
        <v>202</v>
      </c>
      <c r="D44" s="9">
        <v>1000000</v>
      </c>
      <c r="E44" s="10">
        <v>5</v>
      </c>
      <c r="F44" s="9">
        <f>E44*D44</f>
        <v>5000000</v>
      </c>
    </row>
    <row r="45" spans="1:21" ht="12.75" x14ac:dyDescent="0.2">
      <c r="A45" s="385" t="s">
        <v>44</v>
      </c>
      <c r="B45" s="386"/>
      <c r="C45" s="386"/>
      <c r="D45" s="386"/>
      <c r="E45" s="386"/>
      <c r="F45" s="291">
        <f>SUM(F41:F44)</f>
        <v>6050000</v>
      </c>
    </row>
    <row r="46" spans="1:21" ht="12.75" x14ac:dyDescent="0.2">
      <c r="A46" s="353" t="s">
        <v>12</v>
      </c>
      <c r="B46" s="354"/>
      <c r="C46" s="354"/>
      <c r="D46" s="354"/>
      <c r="E46" s="354"/>
      <c r="F46" s="355"/>
    </row>
    <row r="47" spans="1:21" ht="12.75" x14ac:dyDescent="0.2">
      <c r="A47" s="16" t="s">
        <v>60</v>
      </c>
      <c r="B47" s="11" t="s">
        <v>61</v>
      </c>
      <c r="C47" s="11" t="s">
        <v>60</v>
      </c>
      <c r="D47" s="15">
        <v>500000</v>
      </c>
      <c r="E47" s="2">
        <v>1</v>
      </c>
      <c r="F47" s="25">
        <f>D47*E47</f>
        <v>500000</v>
      </c>
    </row>
    <row r="48" spans="1:21" ht="12.75" x14ac:dyDescent="0.2">
      <c r="A48" s="14" t="s">
        <v>14</v>
      </c>
      <c r="B48" s="2" t="s">
        <v>199</v>
      </c>
      <c r="C48" s="2" t="s">
        <v>45</v>
      </c>
      <c r="D48" s="15">
        <v>25000</v>
      </c>
      <c r="E48" s="2">
        <v>15</v>
      </c>
      <c r="F48" s="289">
        <f>E48*D48</f>
        <v>375000</v>
      </c>
    </row>
    <row r="49" spans="1:21" ht="12.75" x14ac:dyDescent="0.2">
      <c r="A49" s="16" t="s">
        <v>40</v>
      </c>
      <c r="B49" s="2" t="s">
        <v>69</v>
      </c>
      <c r="C49" s="11" t="s">
        <v>53</v>
      </c>
      <c r="D49" s="15">
        <v>85000</v>
      </c>
      <c r="E49" s="2">
        <v>6</v>
      </c>
      <c r="F49" s="22">
        <f t="shared" ref="F49:F50" si="9">E49*D49</f>
        <v>510000</v>
      </c>
    </row>
    <row r="50" spans="1:21" ht="12.75" x14ac:dyDescent="0.2">
      <c r="A50" s="16" t="s">
        <v>37</v>
      </c>
      <c r="B50" s="11" t="s">
        <v>39</v>
      </c>
      <c r="C50" s="11" t="s">
        <v>75</v>
      </c>
      <c r="D50" s="15">
        <v>20000</v>
      </c>
      <c r="E50" s="2">
        <v>4</v>
      </c>
      <c r="F50" s="22">
        <f t="shared" si="9"/>
        <v>80000</v>
      </c>
    </row>
    <row r="51" spans="1:21" ht="12.75" x14ac:dyDescent="0.2">
      <c r="A51" s="374" t="s">
        <v>44</v>
      </c>
      <c r="B51" s="387"/>
      <c r="C51" s="387"/>
      <c r="D51" s="387"/>
      <c r="E51" s="388"/>
      <c r="F51" s="19">
        <f>SUM(F47:F50)</f>
        <v>1465000</v>
      </c>
    </row>
    <row r="52" spans="1:21" s="17" customFormat="1" ht="13.5" thickBot="1" x14ac:dyDescent="0.25">
      <c r="A52" s="363" t="s">
        <v>72</v>
      </c>
      <c r="B52" s="364"/>
      <c r="C52" s="364"/>
      <c r="D52" s="364"/>
      <c r="E52" s="364"/>
      <c r="F52" s="28">
        <f>SUM(F45,F51)</f>
        <v>7515000</v>
      </c>
      <c r="H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</row>
    <row r="53" spans="1:21" ht="13.5" thickBot="1" x14ac:dyDescent="0.25">
      <c r="A53" s="350" t="s">
        <v>96</v>
      </c>
      <c r="B53" s="351"/>
      <c r="C53" s="351"/>
      <c r="D53" s="351"/>
      <c r="E53" s="351"/>
      <c r="F53" s="352"/>
      <c r="H53" s="38"/>
      <c r="J53" s="17"/>
    </row>
    <row r="54" spans="1:21" s="17" customFormat="1" ht="13.5" thickBot="1" x14ac:dyDescent="0.25">
      <c r="A54" s="29" t="s">
        <v>0</v>
      </c>
      <c r="B54" s="3" t="s">
        <v>1</v>
      </c>
      <c r="C54" s="3" t="s">
        <v>2</v>
      </c>
      <c r="D54" s="3" t="s">
        <v>3</v>
      </c>
      <c r="E54" s="3" t="s">
        <v>4</v>
      </c>
      <c r="F54" s="4" t="s">
        <v>5</v>
      </c>
      <c r="H54" s="38"/>
      <c r="I54" s="7"/>
      <c r="J54" s="7"/>
    </row>
    <row r="55" spans="1:21" ht="15.75" customHeight="1" x14ac:dyDescent="0.2">
      <c r="A55" s="39" t="s">
        <v>80</v>
      </c>
      <c r="B55" s="40" t="s">
        <v>79</v>
      </c>
      <c r="C55" s="41" t="s">
        <v>42</v>
      </c>
      <c r="D55" s="42">
        <v>50000</v>
      </c>
      <c r="E55" s="43">
        <v>86</v>
      </c>
      <c r="F55" s="35">
        <f>D55*E55</f>
        <v>4300000</v>
      </c>
    </row>
    <row r="56" spans="1:21" ht="15.75" customHeight="1" x14ac:dyDescent="0.2">
      <c r="A56" s="21" t="s">
        <v>111</v>
      </c>
      <c r="B56" s="5" t="s">
        <v>76</v>
      </c>
      <c r="C56" s="27" t="s">
        <v>75</v>
      </c>
      <c r="D56" s="9">
        <v>300000</v>
      </c>
      <c r="E56" s="10">
        <v>12</v>
      </c>
      <c r="F56" s="36">
        <f t="shared" ref="F56" si="10">D56*E56</f>
        <v>3600000</v>
      </c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</row>
    <row r="57" spans="1:21" ht="15.75" customHeight="1" thickBot="1" x14ac:dyDescent="0.25">
      <c r="A57" s="32" t="s">
        <v>77</v>
      </c>
      <c r="B57" s="33" t="s">
        <v>78</v>
      </c>
      <c r="C57" s="156" t="s">
        <v>200</v>
      </c>
      <c r="D57" s="34">
        <v>400000</v>
      </c>
      <c r="E57" s="44">
        <v>12</v>
      </c>
      <c r="F57" s="45">
        <f t="shared" ref="F57" si="11">D57*E57</f>
        <v>4800000</v>
      </c>
    </row>
    <row r="58" spans="1:21" ht="15.75" customHeight="1" thickBot="1" x14ac:dyDescent="0.25">
      <c r="A58" s="380" t="s">
        <v>73</v>
      </c>
      <c r="B58" s="381"/>
      <c r="C58" s="381"/>
      <c r="D58" s="381"/>
      <c r="E58" s="381"/>
      <c r="F58" s="51">
        <f>SUM(F55:F57)</f>
        <v>12700000</v>
      </c>
    </row>
    <row r="59" spans="1:21" ht="15.75" customHeight="1" thickBot="1" x14ac:dyDescent="0.25">
      <c r="A59" s="380" t="s">
        <v>102</v>
      </c>
      <c r="B59" s="381"/>
      <c r="C59" s="381"/>
      <c r="D59" s="381"/>
      <c r="E59" s="381"/>
      <c r="F59" s="51">
        <f>200000*26</f>
        <v>5200000</v>
      </c>
    </row>
    <row r="60" spans="1:21" ht="15.75" customHeight="1" thickBot="1" x14ac:dyDescent="0.25">
      <c r="A60" s="382" t="s">
        <v>74</v>
      </c>
      <c r="B60" s="383"/>
      <c r="C60" s="383"/>
      <c r="D60" s="383"/>
      <c r="E60" s="384"/>
      <c r="F60" s="30">
        <f>F58+F52+F37+F59</f>
        <v>40012200</v>
      </c>
    </row>
  </sheetData>
  <mergeCells count="32">
    <mergeCell ref="H25:I25"/>
    <mergeCell ref="H3:H14"/>
    <mergeCell ref="H15:H20"/>
    <mergeCell ref="A31:A33"/>
    <mergeCell ref="A2:F2"/>
    <mergeCell ref="A58:E58"/>
    <mergeCell ref="A60:E60"/>
    <mergeCell ref="A59:E59"/>
    <mergeCell ref="A45:E45"/>
    <mergeCell ref="A52:E52"/>
    <mergeCell ref="A51:E51"/>
    <mergeCell ref="A34:A35"/>
    <mergeCell ref="H21:H23"/>
    <mergeCell ref="H1:U1"/>
    <mergeCell ref="A53:F53"/>
    <mergeCell ref="A46:F46"/>
    <mergeCell ref="C41:C43"/>
    <mergeCell ref="A4:F4"/>
    <mergeCell ref="A19:F19"/>
    <mergeCell ref="A37:E37"/>
    <mergeCell ref="A38:F38"/>
    <mergeCell ref="A40:F40"/>
    <mergeCell ref="A1:F1"/>
    <mergeCell ref="C5:C16"/>
    <mergeCell ref="A18:E18"/>
    <mergeCell ref="A36:E36"/>
    <mergeCell ref="J34:U34"/>
    <mergeCell ref="Y26:AC26"/>
    <mergeCell ref="Y30:AC32"/>
    <mergeCell ref="H26:I26"/>
    <mergeCell ref="J26:U26"/>
    <mergeCell ref="I29:U29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7"/>
  <sheetViews>
    <sheetView topLeftCell="A8" zoomScale="72" zoomScaleNormal="90" workbookViewId="0">
      <selection activeCell="C24" sqref="C24"/>
    </sheetView>
  </sheetViews>
  <sheetFormatPr baseColWidth="10" defaultRowHeight="12.75" x14ac:dyDescent="0.2"/>
  <cols>
    <col min="1" max="1" width="11.42578125" style="203"/>
    <col min="2" max="2" width="23.5703125" style="203" customWidth="1"/>
    <col min="3" max="3" width="19.28515625" style="203" bestFit="1" customWidth="1"/>
    <col min="4" max="4" width="19.5703125" style="203" bestFit="1" customWidth="1"/>
    <col min="5" max="7" width="16.5703125" style="203" bestFit="1" customWidth="1"/>
    <col min="8" max="8" width="16.28515625" style="203" bestFit="1" customWidth="1"/>
    <col min="9" max="9" width="18.85546875" style="203" bestFit="1" customWidth="1"/>
    <col min="10" max="10" width="17" style="203" bestFit="1" customWidth="1"/>
    <col min="11" max="13" width="16.5703125" style="203" bestFit="1" customWidth="1"/>
    <col min="14" max="14" width="15.85546875" style="203" bestFit="1" customWidth="1"/>
    <col min="15" max="15" width="17" style="203" bestFit="1" customWidth="1"/>
    <col min="16" max="16" width="11.42578125" style="203" customWidth="1"/>
    <col min="17" max="17" width="11.42578125" style="203"/>
    <col min="18" max="18" width="11.42578125" style="203" customWidth="1"/>
    <col min="19" max="16384" width="11.42578125" style="203"/>
  </cols>
  <sheetData>
    <row r="1" spans="1:16" ht="13.5" thickBot="1" x14ac:dyDescent="0.25">
      <c r="A1" s="232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2"/>
      <c r="N1" s="232"/>
      <c r="O1" s="232"/>
      <c r="P1" s="232"/>
    </row>
    <row r="2" spans="1:16" x14ac:dyDescent="0.2">
      <c r="A2" s="232"/>
      <c r="B2" s="405" t="s">
        <v>188</v>
      </c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7"/>
      <c r="P2" s="232"/>
    </row>
    <row r="3" spans="1:16" x14ac:dyDescent="0.2">
      <c r="A3" s="232"/>
      <c r="B3" s="245" t="s">
        <v>183</v>
      </c>
      <c r="C3" s="242">
        <v>0</v>
      </c>
      <c r="D3" s="242">
        <v>1</v>
      </c>
      <c r="E3" s="242">
        <v>2</v>
      </c>
      <c r="F3" s="242">
        <v>3</v>
      </c>
      <c r="G3" s="242">
        <v>4</v>
      </c>
      <c r="H3" s="242">
        <v>5</v>
      </c>
      <c r="I3" s="242">
        <v>6</v>
      </c>
      <c r="J3" s="242">
        <v>7</v>
      </c>
      <c r="K3" s="242">
        <v>8</v>
      </c>
      <c r="L3" s="242">
        <v>9</v>
      </c>
      <c r="M3" s="242">
        <v>10</v>
      </c>
      <c r="N3" s="242">
        <v>11</v>
      </c>
      <c r="O3" s="246">
        <v>12</v>
      </c>
      <c r="P3" s="232"/>
    </row>
    <row r="4" spans="1:16" x14ac:dyDescent="0.2">
      <c r="A4" s="232"/>
      <c r="B4" s="211" t="s">
        <v>177</v>
      </c>
      <c r="C4" s="243">
        <f>'Modelo 1'!J33</f>
        <v>0</v>
      </c>
      <c r="D4" s="204">
        <f>'Modelo 1'!K33</f>
        <v>4333900</v>
      </c>
      <c r="E4" s="204">
        <f>'Modelo 1'!L33</f>
        <v>4333900</v>
      </c>
      <c r="F4" s="204">
        <f>'Modelo 1'!M33</f>
        <v>4333900</v>
      </c>
      <c r="G4" s="204">
        <f>'Modelo 1'!N33</f>
        <v>4333900</v>
      </c>
      <c r="H4" s="204">
        <f>'Modelo 1'!O33</f>
        <v>4333900</v>
      </c>
      <c r="I4" s="204">
        <f>'Modelo 1'!P33</f>
        <v>4333900</v>
      </c>
      <c r="J4" s="204">
        <f>'Modelo 1'!Q33</f>
        <v>4333900</v>
      </c>
      <c r="K4" s="204">
        <f>'Modelo 1'!R33</f>
        <v>4333900</v>
      </c>
      <c r="L4" s="204">
        <f>'Modelo 1'!S33</f>
        <v>4333900</v>
      </c>
      <c r="M4" s="244">
        <f>'Modelo 1'!$S$33</f>
        <v>4333900</v>
      </c>
      <c r="N4" s="244">
        <f>'Modelo 1'!$S$33</f>
        <v>4333900</v>
      </c>
      <c r="O4" s="247">
        <f>'Modelo 1'!$S$33</f>
        <v>4333900</v>
      </c>
      <c r="P4" s="232"/>
    </row>
    <row r="5" spans="1:16" ht="32.25" customHeight="1" x14ac:dyDescent="0.2">
      <c r="A5" s="232"/>
      <c r="B5" s="211" t="s">
        <v>178</v>
      </c>
      <c r="C5" s="206">
        <f>C4/((1+$C$24)^C3)</f>
        <v>0</v>
      </c>
      <c r="D5" s="206">
        <f>D4/((1+$C$24)^D3)</f>
        <v>3939909.0909090904</v>
      </c>
      <c r="E5" s="206">
        <f t="shared" ref="E5:L5" si="0">E4/((1+$C$24)^E3)</f>
        <v>3581735.537190082</v>
      </c>
      <c r="F5" s="206">
        <f t="shared" si="0"/>
        <v>3256123.2156273467</v>
      </c>
      <c r="G5" s="206">
        <f t="shared" si="0"/>
        <v>2960112.0142066791</v>
      </c>
      <c r="H5" s="206">
        <f t="shared" si="0"/>
        <v>2691010.9220060715</v>
      </c>
      <c r="I5" s="206">
        <f t="shared" si="0"/>
        <v>2446373.5654600649</v>
      </c>
      <c r="J5" s="206">
        <f t="shared" si="0"/>
        <v>2223975.9686000585</v>
      </c>
      <c r="K5" s="206">
        <f t="shared" si="0"/>
        <v>2021796.3350909625</v>
      </c>
      <c r="L5" s="206">
        <f t="shared" si="0"/>
        <v>1837996.6682645113</v>
      </c>
      <c r="M5" s="206">
        <f>M4/((1+$C$24)^M3)</f>
        <v>1670906.0620586465</v>
      </c>
      <c r="N5" s="206">
        <f>N4/((1+$C$24)^N3)</f>
        <v>1519005.5109624057</v>
      </c>
      <c r="O5" s="237">
        <f>O4/((1+$C$24)^O3)</f>
        <v>1380914.1008749143</v>
      </c>
      <c r="P5" s="232"/>
    </row>
    <row r="6" spans="1:16" x14ac:dyDescent="0.2">
      <c r="A6" s="232"/>
      <c r="B6" s="211" t="s">
        <v>179</v>
      </c>
      <c r="C6" s="205">
        <f>'Modelo 1'!J25</f>
        <v>14797200</v>
      </c>
      <c r="D6" s="205">
        <f>'Modelo 1'!K25</f>
        <v>2905000</v>
      </c>
      <c r="E6" s="205">
        <f>'Modelo 1'!L25</f>
        <v>350000</v>
      </c>
      <c r="F6" s="205">
        <f>'Modelo 1'!M25</f>
        <v>1440000</v>
      </c>
      <c r="G6" s="205">
        <f>'Modelo 1'!N25</f>
        <v>350000</v>
      </c>
      <c r="H6" s="205">
        <f>'Modelo 1'!O25</f>
        <v>1290000</v>
      </c>
      <c r="I6" s="205">
        <f>'Modelo 1'!P25</f>
        <v>200000</v>
      </c>
      <c r="J6" s="205">
        <f>'Modelo 1'!Q25</f>
        <v>1290000</v>
      </c>
      <c r="K6" s="205">
        <f>'Modelo 1'!R25</f>
        <v>200000</v>
      </c>
      <c r="L6" s="205">
        <f>'Modelo 1'!$S$25</f>
        <v>1290000</v>
      </c>
      <c r="M6" s="204">
        <f>'Modelo 1'!$R$25</f>
        <v>200000</v>
      </c>
      <c r="N6" s="204">
        <f>'Modelo 1'!$R$25</f>
        <v>200000</v>
      </c>
      <c r="O6" s="238">
        <f>'Modelo 1'!$R$25</f>
        <v>200000</v>
      </c>
      <c r="P6" s="232"/>
    </row>
    <row r="7" spans="1:16" ht="28.5" customHeight="1" x14ac:dyDescent="0.2">
      <c r="A7" s="232"/>
      <c r="B7" s="211" t="s">
        <v>180</v>
      </c>
      <c r="C7" s="204">
        <f>(C6/((1+$C$24)^C3))</f>
        <v>14797200</v>
      </c>
      <c r="D7" s="204">
        <f t="shared" ref="D7:L7" si="1">(D6/((1+$C$24)^D3))</f>
        <v>2640909.0909090908</v>
      </c>
      <c r="E7" s="204">
        <f t="shared" si="1"/>
        <v>289256.19834710739</v>
      </c>
      <c r="F7" s="204">
        <f t="shared" si="1"/>
        <v>1081893.3132982717</v>
      </c>
      <c r="G7" s="204">
        <f t="shared" si="1"/>
        <v>239054.70937777468</v>
      </c>
      <c r="H7" s="204">
        <f t="shared" si="1"/>
        <v>800988.50674630993</v>
      </c>
      <c r="I7" s="204">
        <f t="shared" si="1"/>
        <v>112894.78601075543</v>
      </c>
      <c r="J7" s="204">
        <f t="shared" si="1"/>
        <v>661973.97251761134</v>
      </c>
      <c r="K7" s="204">
        <f t="shared" si="1"/>
        <v>93301.476041946633</v>
      </c>
      <c r="L7" s="204">
        <f t="shared" si="1"/>
        <v>547085.92770050524</v>
      </c>
      <c r="M7" s="204">
        <f>(M6/((1+$C$24)^M3))</f>
        <v>77108.657885906301</v>
      </c>
      <c r="N7" s="204">
        <f>(N6/((1+$C$24)^N3))</f>
        <v>70098.779896278444</v>
      </c>
      <c r="O7" s="238">
        <f>(O6/((1+$C$24)^O3))</f>
        <v>63726.163542071314</v>
      </c>
      <c r="P7" s="232"/>
    </row>
    <row r="8" spans="1:16" ht="18" customHeight="1" x14ac:dyDescent="0.2">
      <c r="A8" s="232"/>
      <c r="B8" s="211" t="s">
        <v>181</v>
      </c>
      <c r="C8" s="204">
        <f>C4-C6</f>
        <v>-14797200</v>
      </c>
      <c r="D8" s="204">
        <f t="shared" ref="D8:L8" si="2">D4-D6</f>
        <v>1428900</v>
      </c>
      <c r="E8" s="204">
        <f t="shared" si="2"/>
        <v>3983900</v>
      </c>
      <c r="F8" s="204">
        <f t="shared" si="2"/>
        <v>2893900</v>
      </c>
      <c r="G8" s="204">
        <f t="shared" si="2"/>
        <v>3983900</v>
      </c>
      <c r="H8" s="204">
        <f t="shared" si="2"/>
        <v>3043900</v>
      </c>
      <c r="I8" s="204">
        <f t="shared" si="2"/>
        <v>4133900</v>
      </c>
      <c r="J8" s="204">
        <f t="shared" si="2"/>
        <v>3043900</v>
      </c>
      <c r="K8" s="204">
        <f t="shared" si="2"/>
        <v>4133900</v>
      </c>
      <c r="L8" s="204">
        <f t="shared" si="2"/>
        <v>3043900</v>
      </c>
      <c r="M8" s="204">
        <f>M4-M6</f>
        <v>4133900</v>
      </c>
      <c r="N8" s="204">
        <f>N4-N6</f>
        <v>4133900</v>
      </c>
      <c r="O8" s="238">
        <f>O4-O6</f>
        <v>4133900</v>
      </c>
      <c r="P8" s="232"/>
    </row>
    <row r="9" spans="1:16" ht="18" customHeight="1" x14ac:dyDescent="0.2">
      <c r="A9" s="232"/>
      <c r="B9" s="245" t="s">
        <v>183</v>
      </c>
      <c r="C9" s="242">
        <v>13</v>
      </c>
      <c r="D9" s="242">
        <v>14</v>
      </c>
      <c r="E9" s="242">
        <v>15</v>
      </c>
      <c r="F9" s="242">
        <v>16</v>
      </c>
      <c r="G9" s="242">
        <v>17</v>
      </c>
      <c r="H9" s="242">
        <v>18</v>
      </c>
      <c r="I9" s="242">
        <v>19</v>
      </c>
      <c r="J9" s="242">
        <v>20</v>
      </c>
      <c r="K9" s="242">
        <v>21</v>
      </c>
      <c r="L9" s="242">
        <v>22</v>
      </c>
      <c r="M9" s="242">
        <v>23</v>
      </c>
      <c r="N9" s="242">
        <v>24</v>
      </c>
      <c r="O9" s="246">
        <v>25</v>
      </c>
      <c r="P9" s="232"/>
    </row>
    <row r="10" spans="1:16" ht="18" customHeight="1" x14ac:dyDescent="0.2">
      <c r="A10" s="232"/>
      <c r="B10" s="211" t="s">
        <v>177</v>
      </c>
      <c r="C10" s="244">
        <f>'Modelo 1'!$S$33</f>
        <v>4333900</v>
      </c>
      <c r="D10" s="244">
        <f>'Modelo 1'!$S$33</f>
        <v>4333900</v>
      </c>
      <c r="E10" s="244">
        <f>'Modelo 1'!$S$33</f>
        <v>4333900</v>
      </c>
      <c r="F10" s="244">
        <f>'Modelo 1'!$S$33</f>
        <v>4333900</v>
      </c>
      <c r="G10" s="244">
        <f>'Modelo 1'!$S$33</f>
        <v>4333900</v>
      </c>
      <c r="H10" s="244">
        <f>'Modelo 1'!$S$33</f>
        <v>4333900</v>
      </c>
      <c r="I10" s="244">
        <f>'Modelo 1'!$S$33</f>
        <v>4333900</v>
      </c>
      <c r="J10" s="244">
        <f>'Modelo 1'!$S$33</f>
        <v>4333900</v>
      </c>
      <c r="K10" s="244">
        <f>'Modelo 1'!$S$33</f>
        <v>4333900</v>
      </c>
      <c r="L10" s="244">
        <f>'Modelo 1'!$S$33</f>
        <v>4333900</v>
      </c>
      <c r="M10" s="244">
        <f>'Modelo 1'!$S$33</f>
        <v>4333900</v>
      </c>
      <c r="N10" s="244">
        <f>'Modelo 1'!$S$33</f>
        <v>4333900</v>
      </c>
      <c r="O10" s="238">
        <f>'Modelo 1'!U33</f>
        <v>112589900</v>
      </c>
      <c r="P10" s="232"/>
    </row>
    <row r="11" spans="1:16" ht="30" customHeight="1" x14ac:dyDescent="0.2">
      <c r="A11" s="232"/>
      <c r="B11" s="211" t="s">
        <v>178</v>
      </c>
      <c r="C11" s="206">
        <f>C10/((1+$C$24)^C9)</f>
        <v>1255376.4553408311</v>
      </c>
      <c r="D11" s="206">
        <f t="shared" ref="D11:O11" si="3">D10/((1+$C$24)^D9)</f>
        <v>1141251.3230371189</v>
      </c>
      <c r="E11" s="206">
        <f t="shared" si="3"/>
        <v>1037501.2027610173</v>
      </c>
      <c r="F11" s="206">
        <f t="shared" si="3"/>
        <v>943182.9116009248</v>
      </c>
      <c r="G11" s="206">
        <f t="shared" si="3"/>
        <v>857439.01054629521</v>
      </c>
      <c r="H11" s="206">
        <f t="shared" si="3"/>
        <v>779490.00958754099</v>
      </c>
      <c r="I11" s="206">
        <f t="shared" si="3"/>
        <v>708627.28144321893</v>
      </c>
      <c r="J11" s="206">
        <f t="shared" si="3"/>
        <v>644206.61949383549</v>
      </c>
      <c r="K11" s="206">
        <f t="shared" si="3"/>
        <v>585642.38135803211</v>
      </c>
      <c r="L11" s="206">
        <f t="shared" si="3"/>
        <v>532402.16487093829</v>
      </c>
      <c r="M11" s="206">
        <f t="shared" si="3"/>
        <v>484001.96806448931</v>
      </c>
      <c r="N11" s="206">
        <f t="shared" si="3"/>
        <v>440001.78914953576</v>
      </c>
      <c r="O11" s="237">
        <f t="shared" si="3"/>
        <v>10391597.205155823</v>
      </c>
      <c r="P11" s="232"/>
    </row>
    <row r="12" spans="1:16" ht="18" customHeight="1" x14ac:dyDescent="0.2">
      <c r="A12" s="232"/>
      <c r="B12" s="211" t="s">
        <v>179</v>
      </c>
      <c r="C12" s="204">
        <f>'Modelo 1'!$R$25</f>
        <v>200000</v>
      </c>
      <c r="D12" s="204">
        <f>'Modelo 1'!$R$25</f>
        <v>200000</v>
      </c>
      <c r="E12" s="204">
        <f>'Modelo 1'!$R$25</f>
        <v>200000</v>
      </c>
      <c r="F12" s="204">
        <f>'Modelo 1'!$R$25</f>
        <v>200000</v>
      </c>
      <c r="G12" s="204">
        <f>'Modelo 1'!$R$25</f>
        <v>200000</v>
      </c>
      <c r="H12" s="204">
        <f>'Modelo 1'!$R$25</f>
        <v>200000</v>
      </c>
      <c r="I12" s="204">
        <f>'Modelo 1'!$R$25</f>
        <v>200000</v>
      </c>
      <c r="J12" s="204">
        <f>'Modelo 1'!$R$25</f>
        <v>200000</v>
      </c>
      <c r="K12" s="204">
        <f>'Modelo 1'!$R$25</f>
        <v>200000</v>
      </c>
      <c r="L12" s="204">
        <f>'Modelo 1'!$R$25</f>
        <v>200000</v>
      </c>
      <c r="M12" s="204">
        <f>'Modelo 1'!$R$25</f>
        <v>200000</v>
      </c>
      <c r="N12" s="204">
        <f>'Modelo 1'!$R$25</f>
        <v>200000</v>
      </c>
      <c r="O12" s="213">
        <f>'Modelo 1'!U25</f>
        <v>12900000</v>
      </c>
      <c r="P12" s="232"/>
    </row>
    <row r="13" spans="1:16" ht="27.75" customHeight="1" x14ac:dyDescent="0.2">
      <c r="A13" s="232"/>
      <c r="B13" s="211" t="s">
        <v>180</v>
      </c>
      <c r="C13" s="204">
        <f>(C12/((1+$C$24)^C9))</f>
        <v>57932.875947337554</v>
      </c>
      <c r="D13" s="204">
        <f t="shared" ref="D13:O13" si="4">(D12/((1+$C$24)^D9))</f>
        <v>52666.250861215951</v>
      </c>
      <c r="E13" s="204">
        <f t="shared" si="4"/>
        <v>47878.409873832679</v>
      </c>
      <c r="F13" s="204">
        <f t="shared" si="4"/>
        <v>43525.827158029708</v>
      </c>
      <c r="G13" s="204">
        <f t="shared" si="4"/>
        <v>39568.933780027008</v>
      </c>
      <c r="H13" s="204">
        <f t="shared" si="4"/>
        <v>35971.757981842733</v>
      </c>
      <c r="I13" s="204">
        <f t="shared" si="4"/>
        <v>32701.598165311563</v>
      </c>
      <c r="J13" s="204">
        <f t="shared" si="4"/>
        <v>29728.725604828698</v>
      </c>
      <c r="K13" s="204">
        <f t="shared" si="4"/>
        <v>27026.114186207902</v>
      </c>
      <c r="L13" s="204">
        <f t="shared" si="4"/>
        <v>24569.194714734454</v>
      </c>
      <c r="M13" s="204">
        <f t="shared" si="4"/>
        <v>22335.631558849502</v>
      </c>
      <c r="N13" s="204">
        <f t="shared" si="4"/>
        <v>20305.119598954097</v>
      </c>
      <c r="O13" s="238">
        <f t="shared" si="4"/>
        <v>1190618.3764841263</v>
      </c>
      <c r="P13" s="232"/>
    </row>
    <row r="14" spans="1:16" ht="18" customHeight="1" thickBot="1" x14ac:dyDescent="0.25">
      <c r="A14" s="232"/>
      <c r="B14" s="214" t="s">
        <v>181</v>
      </c>
      <c r="C14" s="215">
        <f t="shared" ref="C14:O14" si="5">C10-C12</f>
        <v>4133900</v>
      </c>
      <c r="D14" s="215">
        <f t="shared" si="5"/>
        <v>4133900</v>
      </c>
      <c r="E14" s="215">
        <f t="shared" si="5"/>
        <v>4133900</v>
      </c>
      <c r="F14" s="215">
        <f t="shared" si="5"/>
        <v>4133900</v>
      </c>
      <c r="G14" s="215">
        <f t="shared" si="5"/>
        <v>4133900</v>
      </c>
      <c r="H14" s="215">
        <f t="shared" si="5"/>
        <v>4133900</v>
      </c>
      <c r="I14" s="215">
        <f t="shared" si="5"/>
        <v>4133900</v>
      </c>
      <c r="J14" s="215">
        <f t="shared" si="5"/>
        <v>4133900</v>
      </c>
      <c r="K14" s="215">
        <f t="shared" si="5"/>
        <v>4133900</v>
      </c>
      <c r="L14" s="215">
        <f t="shared" si="5"/>
        <v>4133900</v>
      </c>
      <c r="M14" s="215">
        <f t="shared" si="5"/>
        <v>4133900</v>
      </c>
      <c r="N14" s="215">
        <f t="shared" si="5"/>
        <v>4133900</v>
      </c>
      <c r="O14" s="239">
        <f t="shared" si="5"/>
        <v>99689900</v>
      </c>
      <c r="P14" s="232"/>
    </row>
    <row r="15" spans="1:16" ht="18" customHeight="1" thickBot="1" x14ac:dyDescent="0.25">
      <c r="A15" s="232"/>
      <c r="B15" s="240" t="s">
        <v>183</v>
      </c>
      <c r="C15" s="241" t="s">
        <v>117</v>
      </c>
      <c r="D15" s="232"/>
      <c r="E15" s="232"/>
      <c r="F15" s="232"/>
      <c r="G15" s="232"/>
      <c r="H15" s="232"/>
      <c r="I15" s="232"/>
      <c r="J15" s="231"/>
      <c r="K15" s="231"/>
      <c r="L15" s="231"/>
      <c r="M15" s="232"/>
      <c r="N15" s="232"/>
      <c r="O15" s="232"/>
      <c r="P15" s="232"/>
    </row>
    <row r="16" spans="1:16" ht="18" customHeight="1" x14ac:dyDescent="0.2">
      <c r="A16" s="232"/>
      <c r="B16" s="209" t="s">
        <v>177</v>
      </c>
      <c r="C16" s="210">
        <f>SUM(C4:O4,C10:O10)</f>
        <v>216603500</v>
      </c>
      <c r="D16" s="232"/>
      <c r="E16" s="232"/>
      <c r="F16" s="232"/>
      <c r="G16" s="232"/>
      <c r="H16" s="232"/>
      <c r="I16" s="232"/>
      <c r="J16" s="231"/>
      <c r="K16" s="231"/>
      <c r="L16" s="231"/>
      <c r="M16" s="232"/>
      <c r="N16" s="232"/>
      <c r="O16" s="232"/>
      <c r="P16" s="232"/>
    </row>
    <row r="17" spans="1:16" ht="29.25" customHeight="1" x14ac:dyDescent="0.2">
      <c r="A17" s="232"/>
      <c r="B17" s="211" t="s">
        <v>178</v>
      </c>
      <c r="C17" s="212">
        <f>NPV(C24,D4:O4,C10:O10)+C4</f>
        <v>49330579.313660428</v>
      </c>
      <c r="D17" s="296"/>
      <c r="E17" s="232"/>
      <c r="F17" s="232"/>
      <c r="G17" s="232"/>
      <c r="H17" s="232"/>
      <c r="I17" s="232"/>
      <c r="J17" s="231"/>
      <c r="K17" s="231"/>
      <c r="L17" s="231"/>
      <c r="M17" s="232"/>
      <c r="N17" s="232"/>
      <c r="O17" s="232"/>
      <c r="P17" s="232"/>
    </row>
    <row r="18" spans="1:16" ht="18" customHeight="1" x14ac:dyDescent="0.2">
      <c r="A18" s="232"/>
      <c r="B18" s="211" t="s">
        <v>179</v>
      </c>
      <c r="C18" s="213">
        <f>SUM(C6:O6,C12:O12)</f>
        <v>40012200</v>
      </c>
      <c r="D18" s="232"/>
      <c r="E18" s="232"/>
      <c r="F18" s="232"/>
      <c r="G18" s="232"/>
      <c r="H18" s="232"/>
      <c r="I18" s="232"/>
      <c r="J18" s="231"/>
      <c r="K18" s="231"/>
      <c r="L18" s="231"/>
      <c r="M18" s="232"/>
      <c r="N18" s="232"/>
      <c r="O18" s="232"/>
      <c r="P18" s="232"/>
    </row>
    <row r="19" spans="1:16" ht="28.5" customHeight="1" x14ac:dyDescent="0.2">
      <c r="A19" s="232"/>
      <c r="B19" s="211" t="s">
        <v>180</v>
      </c>
      <c r="C19" s="212">
        <f>NPV(C24,D6:O6,C12:O12)+C6</f>
        <v>23100320.398188926</v>
      </c>
      <c r="D19" s="296"/>
      <c r="E19" s="232"/>
      <c r="F19" s="232"/>
      <c r="G19" s="232"/>
      <c r="H19" s="232"/>
      <c r="I19" s="232"/>
      <c r="J19" s="231"/>
      <c r="K19" s="231"/>
      <c r="L19" s="231"/>
      <c r="M19" s="232"/>
      <c r="N19" s="232"/>
      <c r="O19" s="232"/>
      <c r="P19" s="232"/>
    </row>
    <row r="20" spans="1:16" ht="18" customHeight="1" thickBot="1" x14ac:dyDescent="0.25">
      <c r="A20" s="232"/>
      <c r="B20" s="214" t="s">
        <v>181</v>
      </c>
      <c r="C20" s="216">
        <f>SUM(C8:O8,C14:O14)</f>
        <v>176591300</v>
      </c>
      <c r="D20" s="232"/>
      <c r="E20" s="232"/>
      <c r="F20" s="232"/>
      <c r="G20" s="232"/>
      <c r="H20" s="232"/>
      <c r="I20" s="232"/>
      <c r="J20" s="231"/>
      <c r="K20" s="231"/>
      <c r="L20" s="231"/>
      <c r="M20" s="232"/>
      <c r="N20" s="232"/>
      <c r="O20" s="232"/>
      <c r="P20" s="232"/>
    </row>
    <row r="21" spans="1:16" ht="18" customHeight="1" x14ac:dyDescent="0.2">
      <c r="A21" s="232"/>
      <c r="B21" s="234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2"/>
      <c r="N21" s="232"/>
      <c r="O21" s="232"/>
      <c r="P21" s="232"/>
    </row>
    <row r="22" spans="1:16" ht="18" customHeight="1" thickBot="1" x14ac:dyDescent="0.25">
      <c r="B22" s="229"/>
      <c r="C22" s="230"/>
      <c r="D22" s="230"/>
      <c r="E22" s="230"/>
      <c r="F22" s="230"/>
      <c r="G22" s="230"/>
      <c r="H22" s="230"/>
      <c r="I22" s="230"/>
      <c r="J22" s="230"/>
      <c r="K22" s="230"/>
      <c r="L22" s="230"/>
    </row>
    <row r="23" spans="1:16" ht="15" x14ac:dyDescent="0.2">
      <c r="B23" s="217" t="s">
        <v>175</v>
      </c>
      <c r="C23" s="217" t="s">
        <v>176</v>
      </c>
      <c r="E23" s="396" t="s">
        <v>240</v>
      </c>
      <c r="F23" s="397"/>
      <c r="G23" s="397"/>
      <c r="H23" s="397"/>
      <c r="I23" s="398"/>
    </row>
    <row r="24" spans="1:16" ht="15" x14ac:dyDescent="0.2">
      <c r="B24" s="218" t="s">
        <v>185</v>
      </c>
      <c r="C24" s="219">
        <v>0.1</v>
      </c>
      <c r="E24" s="399"/>
      <c r="F24" s="400"/>
      <c r="G24" s="400"/>
      <c r="H24" s="400"/>
      <c r="I24" s="401"/>
    </row>
    <row r="25" spans="1:16" ht="50.25" customHeight="1" x14ac:dyDescent="0.2">
      <c r="B25" s="221" t="s">
        <v>186</v>
      </c>
      <c r="C25" s="223">
        <f>(C17/(C19)-1)</f>
        <v>1.1354932946093665</v>
      </c>
      <c r="D25" s="297"/>
      <c r="E25" s="399"/>
      <c r="F25" s="400"/>
      <c r="G25" s="400"/>
      <c r="H25" s="400"/>
      <c r="I25" s="401"/>
    </row>
    <row r="26" spans="1:16" ht="34.5" customHeight="1" x14ac:dyDescent="0.2">
      <c r="B26" s="221" t="s">
        <v>187</v>
      </c>
      <c r="C26" s="200">
        <f>NPV(C24,(D8:O8,C14:O14))+C8</f>
        <v>26230258.915471494</v>
      </c>
      <c r="E26" s="399"/>
      <c r="F26" s="400"/>
      <c r="G26" s="400"/>
      <c r="H26" s="400"/>
      <c r="I26" s="401"/>
    </row>
    <row r="27" spans="1:16" ht="27" customHeight="1" thickBot="1" x14ac:dyDescent="0.25">
      <c r="B27" s="221" t="s">
        <v>184</v>
      </c>
      <c r="C27" s="201">
        <f>IRR(C8:O8,C14:O14)</f>
        <v>0.1910356629735237</v>
      </c>
      <c r="E27" s="402"/>
      <c r="F27" s="403"/>
      <c r="G27" s="403"/>
      <c r="H27" s="403"/>
      <c r="I27" s="404"/>
    </row>
  </sheetData>
  <mergeCells count="2">
    <mergeCell ref="E23:I27"/>
    <mergeCell ref="B2:O2"/>
  </mergeCells>
  <phoneticPr fontId="1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B1:AF60"/>
  <sheetViews>
    <sheetView tabSelected="1" topLeftCell="G8" zoomScale="70" zoomScaleNormal="70" workbookViewId="0">
      <selection activeCell="M28" sqref="M28"/>
    </sheetView>
  </sheetViews>
  <sheetFormatPr baseColWidth="10" defaultColWidth="14.42578125" defaultRowHeight="15.75" customHeight="1" x14ac:dyDescent="0.2"/>
  <cols>
    <col min="1" max="1" width="14.42578125" style="31"/>
    <col min="2" max="2" width="45.7109375" style="31" customWidth="1"/>
    <col min="3" max="3" width="45.28515625" style="31" customWidth="1"/>
    <col min="4" max="4" width="18.5703125" style="31" customWidth="1"/>
    <col min="5" max="6" width="14.42578125" style="31"/>
    <col min="7" max="7" width="20" style="31" bestFit="1" customWidth="1"/>
    <col min="8" max="8" width="14.42578125" style="31"/>
    <col min="9" max="9" width="25" style="31" customWidth="1"/>
    <col min="10" max="10" width="44.7109375" style="31" customWidth="1"/>
    <col min="11" max="11" width="13.85546875" style="31" bestFit="1" customWidth="1"/>
    <col min="12" max="12" width="13.42578125" style="31" customWidth="1"/>
    <col min="13" max="13" width="12.140625" style="31" bestFit="1" customWidth="1"/>
    <col min="14" max="14" width="12.28515625" style="31" bestFit="1" customWidth="1"/>
    <col min="15" max="15" width="11.85546875" style="31" bestFit="1" customWidth="1"/>
    <col min="16" max="16" width="12.28515625" style="31" bestFit="1" customWidth="1"/>
    <col min="17" max="17" width="11.85546875" style="31" bestFit="1" customWidth="1"/>
    <col min="18" max="18" width="12.28515625" style="31" bestFit="1" customWidth="1"/>
    <col min="19" max="19" width="11.85546875" style="31" bestFit="1" customWidth="1"/>
    <col min="20" max="20" width="12.28515625" style="31" bestFit="1" customWidth="1"/>
    <col min="21" max="16384" width="14.42578125" style="31"/>
  </cols>
  <sheetData>
    <row r="1" spans="2:22" ht="15.75" customHeight="1" thickBot="1" x14ac:dyDescent="0.25">
      <c r="B1" s="369" t="s">
        <v>119</v>
      </c>
      <c r="C1" s="370"/>
      <c r="D1" s="370"/>
      <c r="E1" s="370"/>
      <c r="F1" s="370"/>
      <c r="G1" s="371"/>
      <c r="I1" s="408" t="s">
        <v>151</v>
      </c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4"/>
    </row>
    <row r="2" spans="2:22" ht="15.75" customHeight="1" thickBot="1" x14ac:dyDescent="0.25">
      <c r="B2" s="395" t="s">
        <v>23</v>
      </c>
      <c r="C2" s="366"/>
      <c r="D2" s="366"/>
      <c r="E2" s="366"/>
      <c r="F2" s="366"/>
      <c r="G2" s="367"/>
      <c r="I2" s="52" t="s">
        <v>91</v>
      </c>
      <c r="J2" s="53" t="s">
        <v>93</v>
      </c>
      <c r="K2" s="53" t="s">
        <v>107</v>
      </c>
      <c r="L2" s="53" t="s">
        <v>82</v>
      </c>
      <c r="M2" s="53" t="s">
        <v>83</v>
      </c>
      <c r="N2" s="53" t="s">
        <v>84</v>
      </c>
      <c r="O2" s="53" t="s">
        <v>85</v>
      </c>
      <c r="P2" s="53" t="s">
        <v>86</v>
      </c>
      <c r="Q2" s="53" t="s">
        <v>87</v>
      </c>
      <c r="R2" s="53" t="s">
        <v>88</v>
      </c>
      <c r="S2" s="53" t="s">
        <v>89</v>
      </c>
      <c r="T2" s="53" t="s">
        <v>90</v>
      </c>
      <c r="U2" s="53" t="s">
        <v>101</v>
      </c>
      <c r="V2" s="54" t="s">
        <v>97</v>
      </c>
    </row>
    <row r="3" spans="2:22" ht="15.75" customHeight="1" thickBot="1" x14ac:dyDescent="0.25">
      <c r="B3" s="29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4" t="s">
        <v>5</v>
      </c>
      <c r="I3" s="391" t="s">
        <v>6</v>
      </c>
      <c r="J3" s="40" t="s">
        <v>20</v>
      </c>
      <c r="K3" s="55">
        <f>G5+G20</f>
        <v>180000</v>
      </c>
      <c r="L3" s="55"/>
      <c r="M3" s="55"/>
      <c r="N3" s="55"/>
      <c r="O3" s="55"/>
      <c r="P3" s="55"/>
      <c r="Q3" s="55"/>
      <c r="R3" s="55"/>
      <c r="S3" s="55"/>
      <c r="T3" s="55"/>
      <c r="U3" s="56"/>
      <c r="V3" s="57"/>
    </row>
    <row r="4" spans="2:22" ht="15.75" customHeight="1" x14ac:dyDescent="0.2">
      <c r="B4" s="357" t="s">
        <v>7</v>
      </c>
      <c r="C4" s="358"/>
      <c r="D4" s="358"/>
      <c r="E4" s="358"/>
      <c r="F4" s="358"/>
      <c r="G4" s="359"/>
      <c r="I4" s="392"/>
      <c r="J4" s="5" t="s">
        <v>62</v>
      </c>
      <c r="K4" s="48">
        <f>G6+G21</f>
        <v>5400000</v>
      </c>
      <c r="L4" s="48"/>
      <c r="M4" s="48"/>
      <c r="N4" s="48"/>
      <c r="O4" s="48"/>
      <c r="P4" s="48"/>
      <c r="Q4" s="48"/>
      <c r="R4" s="48"/>
      <c r="S4" s="48"/>
      <c r="T4" s="48"/>
      <c r="U4" s="47"/>
      <c r="V4" s="58"/>
    </row>
    <row r="5" spans="2:22" ht="15.75" customHeight="1" x14ac:dyDescent="0.2">
      <c r="B5" s="5" t="s">
        <v>20</v>
      </c>
      <c r="C5" s="5" t="s">
        <v>22</v>
      </c>
      <c r="D5" s="356" t="s">
        <v>42</v>
      </c>
      <c r="E5" s="9">
        <v>50000</v>
      </c>
      <c r="F5" s="10">
        <v>1</v>
      </c>
      <c r="G5" s="9">
        <f>F5*E5</f>
        <v>50000</v>
      </c>
      <c r="I5" s="392"/>
      <c r="J5" s="5" t="s">
        <v>25</v>
      </c>
      <c r="K5" s="48">
        <f>G7+G22</f>
        <v>460000</v>
      </c>
      <c r="L5" s="48"/>
      <c r="M5" s="48"/>
      <c r="N5" s="48"/>
      <c r="O5" s="48"/>
      <c r="P5" s="48"/>
      <c r="Q5" s="48"/>
      <c r="R5" s="48"/>
      <c r="S5" s="48"/>
      <c r="T5" s="48"/>
      <c r="U5" s="47"/>
      <c r="V5" s="58"/>
    </row>
    <row r="6" spans="2:22" ht="15.75" customHeight="1" x14ac:dyDescent="0.2">
      <c r="B6" s="5" t="s">
        <v>62</v>
      </c>
      <c r="C6" s="5" t="s">
        <v>64</v>
      </c>
      <c r="D6" s="356"/>
      <c r="E6" s="9">
        <v>30000</v>
      </c>
      <c r="F6" s="10">
        <v>30</v>
      </c>
      <c r="G6" s="9">
        <f>F6*E6</f>
        <v>900000</v>
      </c>
      <c r="I6" s="392"/>
      <c r="J6" s="5" t="s">
        <v>24</v>
      </c>
      <c r="K6" s="48">
        <f>G8+G24+G23</f>
        <v>215000</v>
      </c>
      <c r="L6" s="48"/>
      <c r="M6" s="48"/>
      <c r="N6" s="48"/>
      <c r="O6" s="48"/>
      <c r="P6" s="48"/>
      <c r="Q6" s="48"/>
      <c r="R6" s="48"/>
      <c r="S6" s="48"/>
      <c r="T6" s="48"/>
      <c r="U6" s="47"/>
      <c r="V6" s="58"/>
    </row>
    <row r="7" spans="2:22" ht="15.75" customHeight="1" x14ac:dyDescent="0.2">
      <c r="B7" s="5" t="s">
        <v>25</v>
      </c>
      <c r="C7" s="5" t="s">
        <v>9</v>
      </c>
      <c r="D7" s="356"/>
      <c r="E7" s="9">
        <v>30000</v>
      </c>
      <c r="F7" s="10">
        <v>2</v>
      </c>
      <c r="G7" s="9">
        <f t="shared" ref="G7:G17" si="0">F7*E7</f>
        <v>60000</v>
      </c>
      <c r="I7" s="392"/>
      <c r="J7" s="10" t="s">
        <v>19</v>
      </c>
      <c r="K7" s="48">
        <f>G9+G25</f>
        <v>105000</v>
      </c>
      <c r="L7" s="48"/>
      <c r="M7" s="48"/>
      <c r="N7" s="48"/>
      <c r="O7" s="48"/>
      <c r="P7" s="48"/>
      <c r="Q7" s="48"/>
      <c r="R7" s="48"/>
      <c r="S7" s="48"/>
      <c r="T7" s="48"/>
      <c r="U7" s="47"/>
      <c r="V7" s="58"/>
    </row>
    <row r="8" spans="2:22" ht="15.75" customHeight="1" x14ac:dyDescent="0.2">
      <c r="B8" s="5" t="s">
        <v>24</v>
      </c>
      <c r="C8" s="5" t="s">
        <v>9</v>
      </c>
      <c r="D8" s="356"/>
      <c r="E8" s="9">
        <v>30000</v>
      </c>
      <c r="F8" s="10">
        <v>2</v>
      </c>
      <c r="G8" s="9">
        <f t="shared" si="0"/>
        <v>60000</v>
      </c>
      <c r="I8" s="392"/>
      <c r="J8" s="10" t="s">
        <v>8</v>
      </c>
      <c r="K8" s="48">
        <f>G10</f>
        <v>120000</v>
      </c>
      <c r="L8" s="48"/>
      <c r="M8" s="48"/>
      <c r="N8" s="48"/>
      <c r="O8" s="48"/>
      <c r="P8" s="48"/>
      <c r="Q8" s="48"/>
      <c r="R8" s="48"/>
      <c r="S8" s="48"/>
      <c r="T8" s="48"/>
      <c r="U8" s="47"/>
      <c r="V8" s="58"/>
    </row>
    <row r="9" spans="2:22" ht="15.75" customHeight="1" x14ac:dyDescent="0.2">
      <c r="B9" s="10" t="s">
        <v>19</v>
      </c>
      <c r="C9" s="5" t="s">
        <v>9</v>
      </c>
      <c r="D9" s="356"/>
      <c r="E9" s="9">
        <v>30000</v>
      </c>
      <c r="F9" s="10">
        <v>2</v>
      </c>
      <c r="G9" s="9">
        <f t="shared" si="0"/>
        <v>60000</v>
      </c>
      <c r="I9" s="392"/>
      <c r="J9" s="5" t="s">
        <v>94</v>
      </c>
      <c r="K9" s="48">
        <f>G11+G12+G13+G26+G27+G32+G33+G31</f>
        <v>5897200</v>
      </c>
      <c r="L9" s="48"/>
      <c r="M9" s="48"/>
      <c r="N9" s="48"/>
      <c r="O9" s="48"/>
      <c r="P9" s="48"/>
      <c r="Q9" s="48"/>
      <c r="R9" s="48"/>
      <c r="S9" s="48"/>
      <c r="T9" s="48"/>
      <c r="U9" s="47"/>
      <c r="V9" s="58"/>
    </row>
    <row r="10" spans="2:22" ht="15.75" customHeight="1" x14ac:dyDescent="0.2">
      <c r="B10" s="10" t="s">
        <v>8</v>
      </c>
      <c r="C10" s="10" t="s">
        <v>9</v>
      </c>
      <c r="D10" s="356"/>
      <c r="E10" s="9">
        <v>30000</v>
      </c>
      <c r="F10" s="10">
        <v>4</v>
      </c>
      <c r="G10" s="9">
        <f t="shared" si="0"/>
        <v>120000</v>
      </c>
      <c r="I10" s="392"/>
      <c r="J10" s="5" t="s">
        <v>35</v>
      </c>
      <c r="K10" s="48">
        <f>G14+G28</f>
        <v>300000</v>
      </c>
      <c r="L10" s="48"/>
      <c r="M10" s="48"/>
      <c r="N10" s="48"/>
      <c r="O10" s="48"/>
      <c r="P10" s="48"/>
      <c r="Q10" s="48"/>
      <c r="R10" s="48"/>
      <c r="S10" s="48"/>
      <c r="T10" s="48"/>
      <c r="U10" s="47"/>
      <c r="V10" s="58"/>
    </row>
    <row r="11" spans="2:22" ht="15.75" customHeight="1" x14ac:dyDescent="0.2">
      <c r="B11" s="5" t="s">
        <v>113</v>
      </c>
      <c r="C11" s="5" t="s">
        <v>41</v>
      </c>
      <c r="D11" s="356"/>
      <c r="E11" s="9">
        <v>30000</v>
      </c>
      <c r="F11" s="10">
        <v>7</v>
      </c>
      <c r="G11" s="9">
        <f t="shared" si="0"/>
        <v>210000</v>
      </c>
      <c r="I11" s="392"/>
      <c r="J11" s="10" t="s">
        <v>10</v>
      </c>
      <c r="K11" s="48">
        <f>G15+G29</f>
        <v>555000</v>
      </c>
      <c r="L11" s="48"/>
      <c r="M11" s="48"/>
      <c r="N11" s="48"/>
      <c r="O11" s="48"/>
      <c r="P11" s="48"/>
      <c r="Q11" s="48"/>
      <c r="R11" s="48"/>
      <c r="S11" s="48"/>
      <c r="T11" s="48"/>
      <c r="U11" s="47"/>
      <c r="V11" s="58"/>
    </row>
    <row r="12" spans="2:22" ht="15.75" customHeight="1" x14ac:dyDescent="0.2">
      <c r="B12" s="5" t="s">
        <v>29</v>
      </c>
      <c r="C12" s="5" t="s">
        <v>41</v>
      </c>
      <c r="D12" s="356"/>
      <c r="E12" s="9">
        <v>30000</v>
      </c>
      <c r="F12" s="10">
        <v>5</v>
      </c>
      <c r="G12" s="9">
        <f>F12*E12</f>
        <v>150000</v>
      </c>
      <c r="I12" s="392"/>
      <c r="J12" s="5" t="s">
        <v>43</v>
      </c>
      <c r="K12" s="48">
        <f>G16+G30</f>
        <v>205000</v>
      </c>
      <c r="L12" s="48"/>
      <c r="M12" s="48"/>
      <c r="N12" s="48"/>
      <c r="O12" s="48"/>
      <c r="P12" s="48"/>
      <c r="Q12" s="48"/>
      <c r="R12" s="48"/>
      <c r="S12" s="48"/>
      <c r="T12" s="48"/>
      <c r="U12" s="47"/>
      <c r="V12" s="58"/>
    </row>
    <row r="13" spans="2:22" ht="15.75" customHeight="1" x14ac:dyDescent="0.2">
      <c r="B13" s="5" t="s">
        <v>27</v>
      </c>
      <c r="C13" s="5" t="s">
        <v>41</v>
      </c>
      <c r="D13" s="356"/>
      <c r="E13" s="9">
        <v>30000</v>
      </c>
      <c r="F13" s="10">
        <v>10</v>
      </c>
      <c r="G13" s="9">
        <f t="shared" si="0"/>
        <v>300000</v>
      </c>
      <c r="I13" s="392"/>
      <c r="J13" s="44" t="s">
        <v>193</v>
      </c>
      <c r="K13" s="93">
        <v>2000000</v>
      </c>
      <c r="L13" s="93"/>
      <c r="M13" s="93"/>
      <c r="N13" s="93"/>
      <c r="O13" s="93"/>
      <c r="P13" s="93"/>
      <c r="Q13" s="93"/>
      <c r="R13" s="93"/>
      <c r="S13" s="93"/>
      <c r="T13" s="93"/>
      <c r="U13" s="84"/>
      <c r="V13" s="298"/>
    </row>
    <row r="14" spans="2:22" ht="15.75" customHeight="1" thickBot="1" x14ac:dyDescent="0.25">
      <c r="B14" s="5" t="s">
        <v>35</v>
      </c>
      <c r="C14" s="5" t="s">
        <v>31</v>
      </c>
      <c r="D14" s="356"/>
      <c r="E14" s="9">
        <v>30000</v>
      </c>
      <c r="F14" s="10">
        <v>2</v>
      </c>
      <c r="G14" s="9">
        <f t="shared" si="0"/>
        <v>60000</v>
      </c>
      <c r="I14" s="393"/>
      <c r="J14" s="299" t="s">
        <v>210</v>
      </c>
      <c r="K14" s="59">
        <f>G34+G35</f>
        <v>300000</v>
      </c>
      <c r="L14" s="59"/>
      <c r="M14" s="59"/>
      <c r="N14" s="59"/>
      <c r="O14" s="59"/>
      <c r="P14" s="59"/>
      <c r="Q14" s="59"/>
      <c r="R14" s="59"/>
      <c r="S14" s="59"/>
      <c r="T14" s="59"/>
      <c r="U14" s="60"/>
      <c r="V14" s="61"/>
    </row>
    <row r="15" spans="2:22" ht="15.75" customHeight="1" x14ac:dyDescent="0.2">
      <c r="B15" s="10" t="s">
        <v>10</v>
      </c>
      <c r="C15" s="10" t="s">
        <v>11</v>
      </c>
      <c r="D15" s="356"/>
      <c r="E15" s="9">
        <v>30000</v>
      </c>
      <c r="F15" s="10">
        <v>10</v>
      </c>
      <c r="G15" s="9">
        <f t="shared" si="0"/>
        <v>300000</v>
      </c>
      <c r="I15" s="391" t="s">
        <v>16</v>
      </c>
      <c r="J15" s="43" t="s">
        <v>137</v>
      </c>
      <c r="K15" s="55"/>
      <c r="L15" s="55">
        <f>60000+G48</f>
        <v>435000</v>
      </c>
      <c r="M15" s="55">
        <f>60000</f>
        <v>60000</v>
      </c>
      <c r="N15" s="55">
        <f>60000</f>
        <v>60000</v>
      </c>
      <c r="O15" s="55">
        <f>60000</f>
        <v>60000</v>
      </c>
      <c r="P15" s="55"/>
      <c r="Q15" s="55"/>
      <c r="R15" s="55"/>
      <c r="S15" s="55"/>
      <c r="T15" s="55"/>
      <c r="U15" s="56"/>
      <c r="V15" s="57"/>
    </row>
    <row r="16" spans="2:22" ht="15.75" customHeight="1" x14ac:dyDescent="0.2">
      <c r="B16" s="5" t="s">
        <v>43</v>
      </c>
      <c r="C16" s="10" t="s">
        <v>120</v>
      </c>
      <c r="D16" s="356"/>
      <c r="E16" s="9">
        <v>30000</v>
      </c>
      <c r="F16" s="10">
        <v>4</v>
      </c>
      <c r="G16" s="9">
        <f t="shared" si="0"/>
        <v>120000</v>
      </c>
      <c r="I16" s="392"/>
      <c r="J16" s="5" t="s">
        <v>95</v>
      </c>
      <c r="K16" s="48"/>
      <c r="L16" s="48">
        <f>G47</f>
        <v>500000</v>
      </c>
      <c r="M16" s="48"/>
      <c r="N16" s="48"/>
      <c r="O16" s="48"/>
      <c r="P16" s="48"/>
      <c r="Q16" s="48"/>
      <c r="R16" s="48"/>
      <c r="S16" s="48"/>
      <c r="T16" s="48"/>
      <c r="U16" s="47"/>
      <c r="V16" s="58"/>
    </row>
    <row r="17" spans="2:32" ht="15.75" customHeight="1" x14ac:dyDescent="0.2">
      <c r="B17" s="10" t="s">
        <v>201</v>
      </c>
      <c r="C17" s="10" t="s">
        <v>209</v>
      </c>
      <c r="D17" s="270" t="s">
        <v>195</v>
      </c>
      <c r="E17" s="9">
        <v>1000000</v>
      </c>
      <c r="F17" s="10">
        <v>2</v>
      </c>
      <c r="G17" s="9">
        <f t="shared" si="0"/>
        <v>2000000</v>
      </c>
      <c r="I17" s="392"/>
      <c r="J17" s="5" t="s">
        <v>68</v>
      </c>
      <c r="K17" s="48"/>
      <c r="L17" s="48">
        <v>150000</v>
      </c>
      <c r="M17" s="48"/>
      <c r="N17" s="48">
        <v>150000</v>
      </c>
      <c r="O17" s="48"/>
      <c r="P17" s="48">
        <v>150000</v>
      </c>
      <c r="Q17" s="48"/>
      <c r="R17" s="48">
        <v>150000</v>
      </c>
      <c r="S17" s="48"/>
      <c r="T17" s="48">
        <v>150000</v>
      </c>
      <c r="U17" s="47"/>
      <c r="V17" s="58"/>
    </row>
    <row r="18" spans="2:32" ht="15.75" customHeight="1" x14ac:dyDescent="0.2">
      <c r="B18" s="372" t="s">
        <v>44</v>
      </c>
      <c r="C18" s="373"/>
      <c r="D18" s="373"/>
      <c r="E18" s="373"/>
      <c r="F18" s="373"/>
      <c r="G18" s="26">
        <f>SUM(G5:G17)</f>
        <v>4390000</v>
      </c>
      <c r="I18" s="392"/>
      <c r="J18" s="46" t="s">
        <v>67</v>
      </c>
      <c r="K18" s="48"/>
      <c r="L18" s="48">
        <f>G49+150000</f>
        <v>660000</v>
      </c>
      <c r="M18" s="48">
        <v>150000</v>
      </c>
      <c r="N18" s="48">
        <v>150000</v>
      </c>
      <c r="O18" s="48">
        <v>150000</v>
      </c>
      <c r="P18" s="48"/>
      <c r="Q18" s="48"/>
      <c r="R18" s="48"/>
      <c r="S18" s="48"/>
      <c r="T18" s="48"/>
      <c r="U18" s="47"/>
      <c r="V18" s="58"/>
    </row>
    <row r="19" spans="2:32" ht="15.75" customHeight="1" x14ac:dyDescent="0.2">
      <c r="B19" s="360" t="s">
        <v>21</v>
      </c>
      <c r="C19" s="361"/>
      <c r="D19" s="361"/>
      <c r="E19" s="361"/>
      <c r="F19" s="361"/>
      <c r="G19" s="362"/>
      <c r="I19" s="392"/>
      <c r="J19" s="294" t="s">
        <v>193</v>
      </c>
      <c r="K19" s="93"/>
      <c r="L19" s="93">
        <v>1000000</v>
      </c>
      <c r="M19" s="93"/>
      <c r="N19" s="93">
        <v>1000000</v>
      </c>
      <c r="O19" s="93"/>
      <c r="P19" s="93">
        <v>1000000</v>
      </c>
      <c r="Q19" s="93"/>
      <c r="R19" s="93">
        <v>1000000</v>
      </c>
      <c r="S19" s="93"/>
      <c r="T19" s="93">
        <v>1000000</v>
      </c>
      <c r="U19" s="84"/>
      <c r="V19" s="298"/>
    </row>
    <row r="20" spans="2:32" ht="15.75" customHeight="1" thickBot="1" x14ac:dyDescent="0.25">
      <c r="B20" s="21" t="s">
        <v>33</v>
      </c>
      <c r="C20" s="5" t="s">
        <v>32</v>
      </c>
      <c r="D20" s="5" t="s">
        <v>34</v>
      </c>
      <c r="E20" s="9">
        <v>130000</v>
      </c>
      <c r="F20" s="10">
        <v>1</v>
      </c>
      <c r="G20" s="22">
        <f>F20*E20</f>
        <v>130000</v>
      </c>
      <c r="I20" s="393"/>
      <c r="J20" s="62" t="s">
        <v>37</v>
      </c>
      <c r="K20" s="59"/>
      <c r="L20" s="59">
        <f>G50</f>
        <v>80000</v>
      </c>
      <c r="M20" s="59"/>
      <c r="N20" s="59"/>
      <c r="O20" s="59"/>
      <c r="P20" s="59"/>
      <c r="Q20" s="59"/>
      <c r="R20" s="59"/>
      <c r="S20" s="59"/>
      <c r="T20" s="59"/>
      <c r="U20" s="60"/>
      <c r="V20" s="61"/>
    </row>
    <row r="21" spans="2:32" ht="15.75" customHeight="1" x14ac:dyDescent="0.2">
      <c r="B21" s="21" t="s">
        <v>63</v>
      </c>
      <c r="C21" s="5" t="s">
        <v>65</v>
      </c>
      <c r="D21" s="5" t="s">
        <v>66</v>
      </c>
      <c r="E21" s="9">
        <v>1500000</v>
      </c>
      <c r="F21" s="10">
        <v>3</v>
      </c>
      <c r="G21" s="22">
        <f>F21*E21</f>
        <v>4500000</v>
      </c>
      <c r="I21" s="347" t="s">
        <v>17</v>
      </c>
      <c r="J21" s="40" t="s">
        <v>80</v>
      </c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6"/>
      <c r="V21" s="63">
        <f>G55</f>
        <v>7200000</v>
      </c>
    </row>
    <row r="22" spans="2:32" ht="15.75" customHeight="1" x14ac:dyDescent="0.2">
      <c r="B22" s="21" t="s">
        <v>58</v>
      </c>
      <c r="C22" s="5" t="s">
        <v>59</v>
      </c>
      <c r="D22" s="5" t="s">
        <v>58</v>
      </c>
      <c r="E22" s="9">
        <v>400000</v>
      </c>
      <c r="F22" s="10">
        <v>1</v>
      </c>
      <c r="G22" s="22">
        <f t="shared" ref="G22:G35" si="1">F22*E22</f>
        <v>400000</v>
      </c>
      <c r="I22" s="348"/>
      <c r="J22" s="5" t="s">
        <v>112</v>
      </c>
      <c r="K22" s="47"/>
      <c r="L22" s="48"/>
      <c r="M22" s="48"/>
      <c r="N22" s="48"/>
      <c r="O22" s="48"/>
      <c r="P22" s="48"/>
      <c r="Q22" s="48"/>
      <c r="R22" s="48"/>
      <c r="S22" s="48"/>
      <c r="T22" s="48"/>
      <c r="U22" s="47"/>
      <c r="V22" s="64">
        <f>G56</f>
        <v>4800000</v>
      </c>
    </row>
    <row r="23" spans="2:32" ht="15.75" customHeight="1" thickBot="1" x14ac:dyDescent="0.25">
      <c r="B23" s="282" t="s">
        <v>139</v>
      </c>
      <c r="C23" s="5" t="s">
        <v>59</v>
      </c>
      <c r="D23" s="281" t="s">
        <v>205</v>
      </c>
      <c r="E23" s="280">
        <v>80000</v>
      </c>
      <c r="F23" s="281">
        <v>1</v>
      </c>
      <c r="G23" s="22">
        <f>F23*E23</f>
        <v>80000</v>
      </c>
      <c r="I23" s="349"/>
      <c r="J23" s="37" t="s">
        <v>77</v>
      </c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5">
        <f>G57</f>
        <v>6400000</v>
      </c>
      <c r="Z23" s="224"/>
      <c r="AA23" s="224"/>
      <c r="AB23" s="224"/>
      <c r="AC23" s="224"/>
      <c r="AD23" s="224"/>
      <c r="AE23" s="224"/>
      <c r="AF23" s="224"/>
    </row>
    <row r="24" spans="2:32" ht="15.75" customHeight="1" thickBot="1" x14ac:dyDescent="0.25">
      <c r="B24" s="18" t="s">
        <v>14</v>
      </c>
      <c r="C24" s="12" t="s">
        <v>198</v>
      </c>
      <c r="D24" s="20" t="s">
        <v>45</v>
      </c>
      <c r="E24" s="13">
        <v>25000</v>
      </c>
      <c r="F24" s="12">
        <v>3</v>
      </c>
      <c r="G24" s="22">
        <f t="shared" si="1"/>
        <v>75000</v>
      </c>
      <c r="I24" s="70" t="s">
        <v>99</v>
      </c>
      <c r="J24" s="67" t="s">
        <v>100</v>
      </c>
      <c r="K24" s="68">
        <v>200000</v>
      </c>
      <c r="L24" s="68">
        <v>200000</v>
      </c>
      <c r="M24" s="68">
        <v>200000</v>
      </c>
      <c r="N24" s="68">
        <v>200000</v>
      </c>
      <c r="O24" s="68">
        <v>200000</v>
      </c>
      <c r="P24" s="68">
        <v>200000</v>
      </c>
      <c r="Q24" s="68">
        <v>200000</v>
      </c>
      <c r="R24" s="68">
        <v>200000</v>
      </c>
      <c r="S24" s="68">
        <v>200000</v>
      </c>
      <c r="T24" s="68">
        <v>200000</v>
      </c>
      <c r="U24" s="68">
        <f>200000*15</f>
        <v>3000000</v>
      </c>
      <c r="V24" s="69">
        <v>200000</v>
      </c>
      <c r="Z24" s="224"/>
      <c r="AA24" s="224"/>
      <c r="AB24" s="224"/>
      <c r="AC24" s="224"/>
      <c r="AD24" s="224"/>
      <c r="AE24" s="224"/>
      <c r="AF24" s="224"/>
    </row>
    <row r="25" spans="2:32" ht="15.75" customHeight="1" thickBot="1" x14ac:dyDescent="0.25">
      <c r="B25" s="14" t="s">
        <v>18</v>
      </c>
      <c r="C25" s="2" t="s">
        <v>206</v>
      </c>
      <c r="D25" s="11" t="s">
        <v>45</v>
      </c>
      <c r="E25" s="15">
        <v>15000</v>
      </c>
      <c r="F25" s="2">
        <v>3</v>
      </c>
      <c r="G25" s="22">
        <f t="shared" si="1"/>
        <v>45000</v>
      </c>
      <c r="I25" s="409" t="s">
        <v>44</v>
      </c>
      <c r="J25" s="410"/>
      <c r="K25" s="71">
        <f t="shared" ref="K25:V25" si="2">SUM(K3:K24)</f>
        <v>15937200</v>
      </c>
      <c r="L25" s="71">
        <f t="shared" si="2"/>
        <v>3025000</v>
      </c>
      <c r="M25" s="71">
        <f t="shared" si="2"/>
        <v>410000</v>
      </c>
      <c r="N25" s="71">
        <f t="shared" si="2"/>
        <v>1560000</v>
      </c>
      <c r="O25" s="71">
        <f t="shared" si="2"/>
        <v>410000</v>
      </c>
      <c r="P25" s="71">
        <f t="shared" si="2"/>
        <v>1350000</v>
      </c>
      <c r="Q25" s="71">
        <f t="shared" si="2"/>
        <v>200000</v>
      </c>
      <c r="R25" s="71">
        <f t="shared" si="2"/>
        <v>1350000</v>
      </c>
      <c r="S25" s="71">
        <f t="shared" si="2"/>
        <v>200000</v>
      </c>
      <c r="T25" s="71">
        <f t="shared" si="2"/>
        <v>1350000</v>
      </c>
      <c r="U25" s="71">
        <f t="shared" si="2"/>
        <v>3000000</v>
      </c>
      <c r="V25" s="72">
        <f t="shared" si="2"/>
        <v>18600000</v>
      </c>
      <c r="Z25" s="224"/>
      <c r="AA25" s="224"/>
      <c r="AB25" s="224"/>
      <c r="AC25" s="224"/>
      <c r="AD25" s="224"/>
      <c r="AE25" s="224"/>
      <c r="AF25" s="224"/>
    </row>
    <row r="26" spans="2:32" ht="15.75" customHeight="1" thickBot="1" x14ac:dyDescent="0.25">
      <c r="B26" s="16" t="s">
        <v>30</v>
      </c>
      <c r="C26" s="11" t="s">
        <v>50</v>
      </c>
      <c r="D26" s="11" t="s">
        <v>48</v>
      </c>
      <c r="E26" s="15">
        <v>120000</v>
      </c>
      <c r="F26" s="2">
        <v>1</v>
      </c>
      <c r="G26" s="22">
        <f t="shared" si="1"/>
        <v>120000</v>
      </c>
      <c r="I26" s="411" t="s">
        <v>103</v>
      </c>
      <c r="J26" s="412"/>
      <c r="K26" s="340">
        <f>SUM(K25:V25)</f>
        <v>47392200</v>
      </c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1"/>
      <c r="Z26" s="95"/>
      <c r="AA26" s="95"/>
      <c r="AB26" s="95"/>
      <c r="AC26" s="95"/>
      <c r="AD26" s="95"/>
      <c r="AE26" s="224"/>
      <c r="AF26" s="224"/>
    </row>
    <row r="27" spans="2:32" ht="15.75" customHeight="1" x14ac:dyDescent="0.2">
      <c r="B27" s="16" t="s">
        <v>49</v>
      </c>
      <c r="C27" s="11" t="s">
        <v>51</v>
      </c>
      <c r="D27" s="11" t="s">
        <v>49</v>
      </c>
      <c r="E27" s="15">
        <v>70000</v>
      </c>
      <c r="F27" s="2">
        <v>1</v>
      </c>
      <c r="G27" s="22">
        <f t="shared" si="1"/>
        <v>70000</v>
      </c>
      <c r="Z27" s="94"/>
      <c r="AA27" s="94"/>
      <c r="AB27" s="94"/>
      <c r="AC27" s="94"/>
      <c r="AD27" s="94"/>
      <c r="AE27" s="224"/>
      <c r="AF27" s="224"/>
    </row>
    <row r="28" spans="2:32" ht="15.75" customHeight="1" thickBot="1" x14ac:dyDescent="0.25">
      <c r="B28" s="16" t="s">
        <v>36</v>
      </c>
      <c r="C28" s="11" t="s">
        <v>54</v>
      </c>
      <c r="D28" s="11" t="s">
        <v>53</v>
      </c>
      <c r="E28" s="15">
        <v>12000</v>
      </c>
      <c r="F28" s="2">
        <v>20</v>
      </c>
      <c r="G28" s="22">
        <f>F28*E28</f>
        <v>240000</v>
      </c>
      <c r="Z28" s="224"/>
      <c r="AA28" s="224"/>
      <c r="AB28" s="224"/>
      <c r="AC28" s="224"/>
      <c r="AD28" s="224"/>
      <c r="AE28" s="224"/>
      <c r="AF28" s="224"/>
    </row>
    <row r="29" spans="2:32" ht="13.5" thickBot="1" x14ac:dyDescent="0.25">
      <c r="B29" s="50" t="s">
        <v>40</v>
      </c>
      <c r="C29" s="279" t="s">
        <v>52</v>
      </c>
      <c r="D29" s="279" t="s">
        <v>53</v>
      </c>
      <c r="E29" s="277">
        <v>85000</v>
      </c>
      <c r="F29" s="276">
        <v>3</v>
      </c>
      <c r="G29" s="22">
        <f t="shared" si="1"/>
        <v>255000</v>
      </c>
      <c r="J29" s="408" t="s">
        <v>150</v>
      </c>
      <c r="K29" s="343"/>
      <c r="L29" s="343"/>
      <c r="M29" s="343"/>
      <c r="N29" s="343"/>
      <c r="O29" s="343"/>
      <c r="P29" s="343"/>
      <c r="Q29" s="343"/>
      <c r="R29" s="343"/>
      <c r="S29" s="343"/>
      <c r="T29" s="343"/>
      <c r="U29" s="343"/>
      <c r="V29" s="344"/>
      <c r="Z29" s="225"/>
      <c r="AA29" s="225"/>
      <c r="AB29" s="225"/>
      <c r="AC29" s="225"/>
      <c r="AD29" s="224"/>
      <c r="AE29" s="224"/>
      <c r="AF29" s="224"/>
    </row>
    <row r="30" spans="2:32" ht="15.75" customHeight="1" thickBot="1" x14ac:dyDescent="0.25">
      <c r="B30" s="5" t="s">
        <v>98</v>
      </c>
      <c r="C30" s="5" t="s">
        <v>52</v>
      </c>
      <c r="D30" s="5" t="s">
        <v>53</v>
      </c>
      <c r="E30" s="9">
        <v>85000</v>
      </c>
      <c r="F30" s="10">
        <v>1</v>
      </c>
      <c r="G30" s="22">
        <f t="shared" si="1"/>
        <v>85000</v>
      </c>
      <c r="J30" s="52" t="s">
        <v>93</v>
      </c>
      <c r="K30" s="53" t="s">
        <v>107</v>
      </c>
      <c r="L30" s="53" t="s">
        <v>82</v>
      </c>
      <c r="M30" s="53" t="s">
        <v>83</v>
      </c>
      <c r="N30" s="53" t="s">
        <v>84</v>
      </c>
      <c r="O30" s="53" t="s">
        <v>85</v>
      </c>
      <c r="P30" s="53" t="s">
        <v>86</v>
      </c>
      <c r="Q30" s="53" t="s">
        <v>87</v>
      </c>
      <c r="R30" s="53" t="s">
        <v>88</v>
      </c>
      <c r="S30" s="53" t="s">
        <v>89</v>
      </c>
      <c r="T30" s="53" t="s">
        <v>90</v>
      </c>
      <c r="U30" s="53" t="s">
        <v>101</v>
      </c>
      <c r="V30" s="54" t="s">
        <v>97</v>
      </c>
      <c r="Z30" s="226"/>
      <c r="AA30" s="227"/>
      <c r="AB30" s="227"/>
      <c r="AC30" s="227"/>
      <c r="AD30" s="227"/>
      <c r="AE30" s="224"/>
      <c r="AF30" s="224"/>
    </row>
    <row r="31" spans="2:32" ht="26.25" customHeight="1" x14ac:dyDescent="0.2">
      <c r="B31" s="394" t="s">
        <v>15</v>
      </c>
      <c r="C31" s="10" t="s">
        <v>207</v>
      </c>
      <c r="D31" s="10" t="s">
        <v>196</v>
      </c>
      <c r="E31" s="288">
        <v>4000</v>
      </c>
      <c r="F31" s="5">
        <v>660</v>
      </c>
      <c r="G31" s="22">
        <f>F31*E31</f>
        <v>2640000</v>
      </c>
      <c r="J31" s="499" t="s">
        <v>247</v>
      </c>
      <c r="K31" s="56"/>
      <c r="L31" s="81">
        <f>950*6750</f>
        <v>6412500</v>
      </c>
      <c r="M31" s="81">
        <f t="shared" ref="M31:V31" si="3">950*6750</f>
        <v>6412500</v>
      </c>
      <c r="N31" s="81">
        <f t="shared" si="3"/>
        <v>6412500</v>
      </c>
      <c r="O31" s="81">
        <f t="shared" si="3"/>
        <v>6412500</v>
      </c>
      <c r="P31" s="81">
        <f t="shared" si="3"/>
        <v>6412500</v>
      </c>
      <c r="Q31" s="81">
        <f t="shared" si="3"/>
        <v>6412500</v>
      </c>
      <c r="R31" s="81">
        <f t="shared" si="3"/>
        <v>6412500</v>
      </c>
      <c r="S31" s="81">
        <f t="shared" si="3"/>
        <v>6412500</v>
      </c>
      <c r="T31" s="81">
        <f t="shared" si="3"/>
        <v>6412500</v>
      </c>
      <c r="U31" s="81">
        <f>950*6750*15</f>
        <v>96187500</v>
      </c>
      <c r="V31" s="82">
        <f t="shared" si="3"/>
        <v>6412500</v>
      </c>
      <c r="Z31" s="227"/>
      <c r="AA31" s="227"/>
      <c r="AB31" s="227"/>
      <c r="AC31" s="227"/>
      <c r="AD31" s="227"/>
      <c r="AE31" s="224"/>
      <c r="AF31" s="224"/>
    </row>
    <row r="32" spans="2:32" ht="15.75" customHeight="1" thickBot="1" x14ac:dyDescent="0.25">
      <c r="B32" s="394"/>
      <c r="C32" s="5" t="s">
        <v>55</v>
      </c>
      <c r="D32" s="5" t="s">
        <v>81</v>
      </c>
      <c r="E32" s="288">
        <v>800</v>
      </c>
      <c r="F32" s="5">
        <v>729</v>
      </c>
      <c r="G32" s="22">
        <f t="shared" si="1"/>
        <v>583200</v>
      </c>
      <c r="J32" s="83" t="s">
        <v>105</v>
      </c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5">
        <f>17000*10627</f>
        <v>180659000</v>
      </c>
      <c r="Z32" s="227"/>
      <c r="AA32" s="227"/>
      <c r="AB32" s="227"/>
      <c r="AC32" s="227"/>
      <c r="AD32" s="227"/>
      <c r="AE32" s="224"/>
      <c r="AF32" s="224"/>
    </row>
    <row r="33" spans="2:32" ht="15.75" customHeight="1" thickBot="1" x14ac:dyDescent="0.25">
      <c r="B33" s="394"/>
      <c r="C33" s="5" t="s">
        <v>56</v>
      </c>
      <c r="D33" s="5" t="s">
        <v>81</v>
      </c>
      <c r="E33" s="288">
        <v>500</v>
      </c>
      <c r="F33" s="5">
        <v>3648</v>
      </c>
      <c r="G33" s="22">
        <f t="shared" si="1"/>
        <v>1824000</v>
      </c>
      <c r="J33" s="87" t="s">
        <v>44</v>
      </c>
      <c r="K33" s="88"/>
      <c r="L33" s="88">
        <f t="shared" ref="L33:U33" si="4">SUM(L31:L32)</f>
        <v>6412500</v>
      </c>
      <c r="M33" s="88">
        <f t="shared" si="4"/>
        <v>6412500</v>
      </c>
      <c r="N33" s="88">
        <f t="shared" si="4"/>
        <v>6412500</v>
      </c>
      <c r="O33" s="88">
        <f t="shared" si="4"/>
        <v>6412500</v>
      </c>
      <c r="P33" s="88">
        <f t="shared" si="4"/>
        <v>6412500</v>
      </c>
      <c r="Q33" s="88">
        <f t="shared" si="4"/>
        <v>6412500</v>
      </c>
      <c r="R33" s="88">
        <f t="shared" si="4"/>
        <v>6412500</v>
      </c>
      <c r="S33" s="88">
        <f t="shared" si="4"/>
        <v>6412500</v>
      </c>
      <c r="T33" s="88">
        <f t="shared" si="4"/>
        <v>6412500</v>
      </c>
      <c r="U33" s="88">
        <f t="shared" si="4"/>
        <v>96187500</v>
      </c>
      <c r="V33" s="89">
        <f>SUM(V31:V32)</f>
        <v>187071500</v>
      </c>
      <c r="Z33" s="224"/>
      <c r="AA33" s="224"/>
      <c r="AB33" s="224"/>
      <c r="AC33" s="224"/>
      <c r="AD33" s="224"/>
      <c r="AE33" s="224"/>
      <c r="AF33" s="224"/>
    </row>
    <row r="34" spans="2:32" ht="15.75" customHeight="1" thickBot="1" x14ac:dyDescent="0.25">
      <c r="B34" s="414" t="s">
        <v>37</v>
      </c>
      <c r="C34" s="5" t="s">
        <v>39</v>
      </c>
      <c r="D34" s="5" t="s">
        <v>38</v>
      </c>
      <c r="E34" s="9">
        <v>20000</v>
      </c>
      <c r="F34" s="10">
        <v>5</v>
      </c>
      <c r="G34" s="22">
        <f t="shared" si="1"/>
        <v>100000</v>
      </c>
      <c r="J34" s="86" t="s">
        <v>152</v>
      </c>
      <c r="K34" s="377">
        <f>SUM(K33:V33)</f>
        <v>340971500</v>
      </c>
      <c r="L34" s="378"/>
      <c r="M34" s="378"/>
      <c r="N34" s="378"/>
      <c r="O34" s="378"/>
      <c r="P34" s="378"/>
      <c r="Q34" s="378"/>
      <c r="R34" s="378"/>
      <c r="S34" s="378"/>
      <c r="T34" s="378"/>
      <c r="U34" s="378"/>
      <c r="V34" s="379"/>
      <c r="Z34" s="224"/>
      <c r="AA34" s="224"/>
      <c r="AB34" s="224"/>
      <c r="AC34" s="224"/>
      <c r="AD34" s="224"/>
      <c r="AE34" s="224"/>
      <c r="AF34" s="224"/>
    </row>
    <row r="35" spans="2:32" ht="15.75" customHeight="1" x14ac:dyDescent="0.2">
      <c r="B35" s="414"/>
      <c r="C35" s="10" t="s">
        <v>208</v>
      </c>
      <c r="D35" s="10" t="s">
        <v>38</v>
      </c>
      <c r="E35" s="9">
        <v>200000</v>
      </c>
      <c r="F35" s="10">
        <v>1</v>
      </c>
      <c r="G35" s="275">
        <f t="shared" si="1"/>
        <v>200000</v>
      </c>
      <c r="U35" s="75"/>
      <c r="Z35" s="224"/>
      <c r="AA35" s="224"/>
      <c r="AB35" s="224"/>
      <c r="AC35" s="224"/>
      <c r="AD35" s="224"/>
      <c r="AE35" s="224"/>
      <c r="AF35" s="224"/>
    </row>
    <row r="36" spans="2:32" ht="15.75" customHeight="1" x14ac:dyDescent="0.2">
      <c r="B36" s="385" t="s">
        <v>44</v>
      </c>
      <c r="C36" s="385"/>
      <c r="D36" s="385"/>
      <c r="E36" s="385"/>
      <c r="F36" s="385"/>
      <c r="G36" s="23">
        <f>SUM(G20:G35)</f>
        <v>11347200</v>
      </c>
      <c r="Z36" s="224"/>
      <c r="AA36" s="224"/>
      <c r="AB36" s="224"/>
      <c r="AC36" s="224"/>
      <c r="AD36" s="224"/>
      <c r="AE36" s="224"/>
      <c r="AF36" s="224"/>
    </row>
    <row r="37" spans="2:32" ht="15.75" customHeight="1" thickBot="1" x14ac:dyDescent="0.25">
      <c r="B37" s="363" t="s">
        <v>158</v>
      </c>
      <c r="C37" s="364"/>
      <c r="D37" s="364"/>
      <c r="E37" s="364"/>
      <c r="F37" s="364"/>
      <c r="G37" s="24">
        <f>G36+G18</f>
        <v>15737200</v>
      </c>
      <c r="Z37" s="224"/>
      <c r="AA37" s="224"/>
      <c r="AB37" s="224"/>
      <c r="AC37" s="224"/>
      <c r="AD37" s="224"/>
      <c r="AE37" s="224"/>
      <c r="AF37" s="224"/>
    </row>
    <row r="38" spans="2:32" ht="15.75" customHeight="1" thickBot="1" x14ac:dyDescent="0.25">
      <c r="B38" s="365" t="s">
        <v>108</v>
      </c>
      <c r="C38" s="366"/>
      <c r="D38" s="366"/>
      <c r="E38" s="366"/>
      <c r="F38" s="366"/>
      <c r="G38" s="367"/>
      <c r="Z38" s="224"/>
      <c r="AA38" s="224"/>
      <c r="AB38" s="224"/>
      <c r="AC38" s="224"/>
      <c r="AD38" s="224"/>
      <c r="AE38" s="224"/>
      <c r="AF38" s="224"/>
    </row>
    <row r="39" spans="2:32" ht="15.75" customHeight="1" thickBot="1" x14ac:dyDescent="0.25">
      <c r="B39" s="29" t="s">
        <v>0</v>
      </c>
      <c r="C39" s="3" t="s">
        <v>1</v>
      </c>
      <c r="D39" s="3" t="s">
        <v>2</v>
      </c>
      <c r="E39" s="3" t="s">
        <v>3</v>
      </c>
      <c r="F39" s="3" t="s">
        <v>4</v>
      </c>
      <c r="G39" s="4" t="s">
        <v>5</v>
      </c>
    </row>
    <row r="40" spans="2:32" ht="12.75" x14ac:dyDescent="0.2">
      <c r="B40" s="413" t="s">
        <v>7</v>
      </c>
      <c r="C40" s="358"/>
      <c r="D40" s="358"/>
      <c r="E40" s="358"/>
      <c r="F40" s="358"/>
      <c r="G40" s="359"/>
    </row>
    <row r="41" spans="2:32" ht="12.75" x14ac:dyDescent="0.2">
      <c r="B41" s="269" t="s">
        <v>24</v>
      </c>
      <c r="C41" s="5" t="s">
        <v>70</v>
      </c>
      <c r="D41" s="356" t="s">
        <v>42</v>
      </c>
      <c r="E41" s="9">
        <v>30000</v>
      </c>
      <c r="F41" s="10">
        <v>8</v>
      </c>
      <c r="G41" s="22">
        <f t="shared" ref="G41:G43" si="5">F41*E41</f>
        <v>240000</v>
      </c>
    </row>
    <row r="42" spans="2:32" ht="12.75" x14ac:dyDescent="0.2">
      <c r="B42" s="6" t="s">
        <v>67</v>
      </c>
      <c r="C42" s="5" t="s">
        <v>114</v>
      </c>
      <c r="D42" s="356"/>
      <c r="E42" s="9">
        <v>30000</v>
      </c>
      <c r="F42" s="10">
        <v>20</v>
      </c>
      <c r="G42" s="22">
        <f t="shared" si="5"/>
        <v>600000</v>
      </c>
    </row>
    <row r="43" spans="2:32" ht="12.75" x14ac:dyDescent="0.2">
      <c r="B43" s="6" t="s">
        <v>68</v>
      </c>
      <c r="C43" s="5" t="s">
        <v>115</v>
      </c>
      <c r="D43" s="356"/>
      <c r="E43" s="9">
        <v>30000</v>
      </c>
      <c r="F43" s="10">
        <v>25</v>
      </c>
      <c r="G43" s="22">
        <f t="shared" si="5"/>
        <v>750000</v>
      </c>
    </row>
    <row r="44" spans="2:32" ht="12.75" x14ac:dyDescent="0.2">
      <c r="B44" s="10" t="s">
        <v>201</v>
      </c>
      <c r="C44" s="10" t="s">
        <v>203</v>
      </c>
      <c r="D44" s="270" t="s">
        <v>195</v>
      </c>
      <c r="E44" s="9">
        <v>1000000</v>
      </c>
      <c r="F44" s="10">
        <v>5</v>
      </c>
      <c r="G44" s="9">
        <f>F44*E44</f>
        <v>5000000</v>
      </c>
    </row>
    <row r="45" spans="2:32" ht="12.75" x14ac:dyDescent="0.2">
      <c r="B45" s="416" t="s">
        <v>44</v>
      </c>
      <c r="C45" s="354"/>
      <c r="D45" s="354"/>
      <c r="E45" s="354"/>
      <c r="F45" s="354"/>
      <c r="G45" s="26">
        <f>SUM(G41:G44)</f>
        <v>6590000</v>
      </c>
    </row>
    <row r="46" spans="2:32" ht="12.75" x14ac:dyDescent="0.2">
      <c r="B46" s="417" t="s">
        <v>12</v>
      </c>
      <c r="C46" s="418"/>
      <c r="D46" s="418"/>
      <c r="E46" s="418"/>
      <c r="F46" s="418"/>
      <c r="G46" s="355"/>
    </row>
    <row r="47" spans="2:32" ht="12.75" x14ac:dyDescent="0.2">
      <c r="B47" s="16" t="s">
        <v>60</v>
      </c>
      <c r="C47" s="11" t="s">
        <v>61</v>
      </c>
      <c r="D47" s="11" t="s">
        <v>60</v>
      </c>
      <c r="E47" s="15">
        <v>500000</v>
      </c>
      <c r="F47" s="2">
        <v>1</v>
      </c>
      <c r="G47" s="25">
        <f>E47*F47</f>
        <v>500000</v>
      </c>
    </row>
    <row r="48" spans="2:32" ht="12.75" x14ac:dyDescent="0.2">
      <c r="B48" s="14" t="s">
        <v>14</v>
      </c>
      <c r="C48" s="2" t="s">
        <v>199</v>
      </c>
      <c r="D48" s="2" t="s">
        <v>45</v>
      </c>
      <c r="E48" s="15">
        <v>25000</v>
      </c>
      <c r="F48" s="2">
        <v>15</v>
      </c>
      <c r="G48" s="289">
        <f>F48*E48</f>
        <v>375000</v>
      </c>
    </row>
    <row r="49" spans="2:9" ht="12.75" x14ac:dyDescent="0.2">
      <c r="B49" s="16" t="s">
        <v>40</v>
      </c>
      <c r="C49" s="11" t="s">
        <v>69</v>
      </c>
      <c r="D49" s="11" t="s">
        <v>53</v>
      </c>
      <c r="E49" s="15">
        <v>85000</v>
      </c>
      <c r="F49" s="2">
        <v>6</v>
      </c>
      <c r="G49" s="22">
        <f t="shared" ref="G49:G50" si="6">F49*E49</f>
        <v>510000</v>
      </c>
    </row>
    <row r="50" spans="2:9" ht="12.75" x14ac:dyDescent="0.2">
      <c r="B50" s="16" t="s">
        <v>37</v>
      </c>
      <c r="C50" s="11" t="s">
        <v>39</v>
      </c>
      <c r="D50" s="11" t="s">
        <v>75</v>
      </c>
      <c r="E50" s="15">
        <v>20000</v>
      </c>
      <c r="F50" s="2">
        <v>4</v>
      </c>
      <c r="G50" s="22">
        <f t="shared" si="6"/>
        <v>80000</v>
      </c>
    </row>
    <row r="51" spans="2:9" ht="12.75" x14ac:dyDescent="0.2">
      <c r="B51" s="374" t="s">
        <v>44</v>
      </c>
      <c r="C51" s="387"/>
      <c r="D51" s="387"/>
      <c r="E51" s="387"/>
      <c r="F51" s="388"/>
      <c r="G51" s="19">
        <f>SUM(G47:G50)</f>
        <v>1465000</v>
      </c>
    </row>
    <row r="52" spans="2:9" ht="13.5" thickBot="1" x14ac:dyDescent="0.25">
      <c r="B52" s="363" t="s">
        <v>159</v>
      </c>
      <c r="C52" s="364"/>
      <c r="D52" s="364"/>
      <c r="E52" s="364"/>
      <c r="F52" s="364"/>
      <c r="G52" s="28">
        <f>SUM(G45,G51)</f>
        <v>8055000</v>
      </c>
    </row>
    <row r="53" spans="2:9" ht="13.5" thickBot="1" x14ac:dyDescent="0.25">
      <c r="B53" s="350" t="s">
        <v>96</v>
      </c>
      <c r="C53" s="351"/>
      <c r="D53" s="351"/>
      <c r="E53" s="351"/>
      <c r="F53" s="351"/>
      <c r="G53" s="352"/>
      <c r="I53" s="38"/>
    </row>
    <row r="54" spans="2:9" ht="13.5" thickBot="1" x14ac:dyDescent="0.25">
      <c r="B54" s="29" t="s">
        <v>0</v>
      </c>
      <c r="C54" s="3" t="s">
        <v>1</v>
      </c>
      <c r="D54" s="3" t="s">
        <v>2</v>
      </c>
      <c r="E54" s="3" t="s">
        <v>3</v>
      </c>
      <c r="F54" s="3" t="s">
        <v>4</v>
      </c>
      <c r="G54" s="4" t="s">
        <v>5</v>
      </c>
      <c r="I54" s="38"/>
    </row>
    <row r="55" spans="2:9" ht="12.75" x14ac:dyDescent="0.2">
      <c r="B55" s="39" t="s">
        <v>110</v>
      </c>
      <c r="C55" s="40" t="s">
        <v>79</v>
      </c>
      <c r="D55" s="41" t="s">
        <v>42</v>
      </c>
      <c r="E55" s="42">
        <v>50000</v>
      </c>
      <c r="F55" s="43">
        <v>144</v>
      </c>
      <c r="G55" s="35">
        <f>E55*F55</f>
        <v>7200000</v>
      </c>
    </row>
    <row r="56" spans="2:9" ht="15.75" customHeight="1" x14ac:dyDescent="0.2">
      <c r="B56" s="21" t="s">
        <v>116</v>
      </c>
      <c r="C56" s="5" t="s">
        <v>76</v>
      </c>
      <c r="D56" s="49" t="s">
        <v>75</v>
      </c>
      <c r="E56" s="9">
        <v>300000</v>
      </c>
      <c r="F56" s="10">
        <v>16</v>
      </c>
      <c r="G56" s="36">
        <f t="shared" ref="G56" si="7">E56*F56</f>
        <v>4800000</v>
      </c>
    </row>
    <row r="57" spans="2:9" ht="15.75" customHeight="1" thickBot="1" x14ac:dyDescent="0.25">
      <c r="B57" s="32" t="s">
        <v>77</v>
      </c>
      <c r="C57" s="33" t="s">
        <v>78</v>
      </c>
      <c r="D57" s="156" t="s">
        <v>200</v>
      </c>
      <c r="E57" s="34">
        <v>400000</v>
      </c>
      <c r="F57" s="44">
        <v>16</v>
      </c>
      <c r="G57" s="45">
        <f>E57*F57</f>
        <v>6400000</v>
      </c>
    </row>
    <row r="58" spans="2:9" ht="15.75" customHeight="1" thickBot="1" x14ac:dyDescent="0.25">
      <c r="B58" s="380" t="s">
        <v>160</v>
      </c>
      <c r="C58" s="381"/>
      <c r="D58" s="381"/>
      <c r="E58" s="381"/>
      <c r="F58" s="381"/>
      <c r="G58" s="51">
        <f>SUM(G55:G57)</f>
        <v>18400000</v>
      </c>
    </row>
    <row r="59" spans="2:9" ht="15.75" customHeight="1" thickBot="1" x14ac:dyDescent="0.25">
      <c r="B59" s="380" t="s">
        <v>161</v>
      </c>
      <c r="C59" s="381"/>
      <c r="D59" s="381"/>
      <c r="E59" s="381"/>
      <c r="F59" s="381"/>
      <c r="G59" s="51">
        <f>200000*26</f>
        <v>5200000</v>
      </c>
    </row>
    <row r="60" spans="2:9" ht="15.75" customHeight="1" thickBot="1" x14ac:dyDescent="0.25">
      <c r="B60" s="415" t="s">
        <v>162</v>
      </c>
      <c r="C60" s="383"/>
      <c r="D60" s="383"/>
      <c r="E60" s="383"/>
      <c r="F60" s="384"/>
      <c r="G60" s="30">
        <f>G58+G52+G37+G59</f>
        <v>47392200</v>
      </c>
    </row>
  </sheetData>
  <mergeCells count="30">
    <mergeCell ref="B59:F59"/>
    <mergeCell ref="B60:F60"/>
    <mergeCell ref="D41:D43"/>
    <mergeCell ref="B45:F45"/>
    <mergeCell ref="B46:G46"/>
    <mergeCell ref="B51:F51"/>
    <mergeCell ref="B52:F52"/>
    <mergeCell ref="B53:G53"/>
    <mergeCell ref="B36:F36"/>
    <mergeCell ref="B37:F37"/>
    <mergeCell ref="B38:G38"/>
    <mergeCell ref="B58:F58"/>
    <mergeCell ref="K34:V34"/>
    <mergeCell ref="B40:G40"/>
    <mergeCell ref="B34:B35"/>
    <mergeCell ref="I21:I23"/>
    <mergeCell ref="I25:J25"/>
    <mergeCell ref="I26:J26"/>
    <mergeCell ref="K26:V26"/>
    <mergeCell ref="B31:B33"/>
    <mergeCell ref="J29:V29"/>
    <mergeCell ref="B18:F18"/>
    <mergeCell ref="B19:G19"/>
    <mergeCell ref="I3:I14"/>
    <mergeCell ref="I15:I20"/>
    <mergeCell ref="B1:G1"/>
    <mergeCell ref="I1:V1"/>
    <mergeCell ref="B2:G2"/>
    <mergeCell ref="B4:G4"/>
    <mergeCell ref="D5:D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8"/>
  <sheetViews>
    <sheetView topLeftCell="A3" zoomScale="62" zoomScaleNormal="62" workbookViewId="0">
      <selection activeCell="C25" sqref="C25"/>
    </sheetView>
  </sheetViews>
  <sheetFormatPr baseColWidth="10" defaultRowHeight="12.75" x14ac:dyDescent="0.2"/>
  <cols>
    <col min="1" max="1" width="11.42578125" style="203"/>
    <col min="2" max="2" width="23.5703125" style="203" customWidth="1"/>
    <col min="3" max="3" width="17.42578125" style="203" bestFit="1" customWidth="1"/>
    <col min="4" max="4" width="15.5703125" style="203" bestFit="1" customWidth="1"/>
    <col min="5" max="5" width="14.7109375" style="203" bestFit="1" customWidth="1"/>
    <col min="6" max="6" width="14.42578125" style="203" bestFit="1" customWidth="1"/>
    <col min="7" max="7" width="15.140625" style="203" bestFit="1" customWidth="1"/>
    <col min="8" max="8" width="15.5703125" style="203" bestFit="1" customWidth="1"/>
    <col min="9" max="9" width="17.85546875" style="203" bestFit="1" customWidth="1"/>
    <col min="10" max="10" width="15.140625" style="203" bestFit="1" customWidth="1"/>
    <col min="11" max="11" width="14.42578125" style="203" bestFit="1" customWidth="1"/>
    <col min="12" max="12" width="15.140625" style="203" bestFit="1" customWidth="1"/>
    <col min="13" max="13" width="15.28515625" style="203" bestFit="1" customWidth="1"/>
    <col min="14" max="14" width="14.7109375" style="203" bestFit="1" customWidth="1"/>
    <col min="15" max="15" width="15.5703125" style="203" bestFit="1" customWidth="1"/>
    <col min="16" max="16384" width="11.42578125" style="203"/>
  </cols>
  <sheetData>
    <row r="1" spans="1:16" ht="13.5" thickBot="1" x14ac:dyDescent="0.25">
      <c r="A1" s="232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2"/>
      <c r="P1" s="232"/>
    </row>
    <row r="2" spans="1:16" ht="13.5" thickBot="1" x14ac:dyDescent="0.25">
      <c r="A2" s="232"/>
      <c r="B2" s="419" t="s">
        <v>189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1"/>
      <c r="P2" s="232"/>
    </row>
    <row r="3" spans="1:16" ht="13.5" thickBot="1" x14ac:dyDescent="0.25">
      <c r="A3" s="232"/>
      <c r="B3" s="208" t="s">
        <v>183</v>
      </c>
      <c r="C3" s="53">
        <v>0</v>
      </c>
      <c r="D3" s="53">
        <v>1</v>
      </c>
      <c r="E3" s="53">
        <v>2</v>
      </c>
      <c r="F3" s="53">
        <v>3</v>
      </c>
      <c r="G3" s="53">
        <v>4</v>
      </c>
      <c r="H3" s="53">
        <v>5</v>
      </c>
      <c r="I3" s="53">
        <v>6</v>
      </c>
      <c r="J3" s="53">
        <v>7</v>
      </c>
      <c r="K3" s="53">
        <v>8</v>
      </c>
      <c r="L3" s="53">
        <v>9</v>
      </c>
      <c r="M3" s="53">
        <v>10</v>
      </c>
      <c r="N3" s="53">
        <v>11</v>
      </c>
      <c r="O3" s="54">
        <v>12</v>
      </c>
      <c r="P3" s="232"/>
    </row>
    <row r="4" spans="1:16" x14ac:dyDescent="0.2">
      <c r="A4" s="232"/>
      <c r="B4" s="251" t="s">
        <v>177</v>
      </c>
      <c r="C4" s="254">
        <f>'Modelo 2'!K33</f>
        <v>0</v>
      </c>
      <c r="D4" s="254">
        <f>'Modelo 2'!L33</f>
        <v>6412500</v>
      </c>
      <c r="E4" s="254">
        <f>'Modelo 2'!M33</f>
        <v>6412500</v>
      </c>
      <c r="F4" s="254">
        <f>'Modelo 2'!N33</f>
        <v>6412500</v>
      </c>
      <c r="G4" s="254">
        <f>'Modelo 2'!O33</f>
        <v>6412500</v>
      </c>
      <c r="H4" s="254">
        <f>'Modelo 2'!P33</f>
        <v>6412500</v>
      </c>
      <c r="I4" s="254">
        <f>'Modelo 2'!Q33</f>
        <v>6412500</v>
      </c>
      <c r="J4" s="254">
        <f>'Modelo 2'!R33</f>
        <v>6412500</v>
      </c>
      <c r="K4" s="254">
        <f>'Modelo 2'!S33</f>
        <v>6412500</v>
      </c>
      <c r="L4" s="254">
        <f>'Modelo 2'!T33</f>
        <v>6412500</v>
      </c>
      <c r="M4" s="252">
        <f>'Modelo 2'!$T$33</f>
        <v>6412500</v>
      </c>
      <c r="N4" s="252">
        <f>'Modelo 2'!$T$33</f>
        <v>6412500</v>
      </c>
      <c r="O4" s="255">
        <f>'Modelo 2'!$T$33</f>
        <v>6412500</v>
      </c>
      <c r="P4" s="232"/>
    </row>
    <row r="5" spans="1:16" ht="32.25" customHeight="1" x14ac:dyDescent="0.2">
      <c r="A5" s="232"/>
      <c r="B5" s="211" t="s">
        <v>178</v>
      </c>
      <c r="C5" s="206">
        <f t="shared" ref="C5:L5" si="0">C4/((1+$C$24)^C3)</f>
        <v>0</v>
      </c>
      <c r="D5" s="206">
        <f>D4/((1+$C$24)^D3)</f>
        <v>5725446.4285714282</v>
      </c>
      <c r="E5" s="206">
        <f t="shared" si="0"/>
        <v>5112005.7397959176</v>
      </c>
      <c r="F5" s="206">
        <f t="shared" si="0"/>
        <v>4564290.8391034976</v>
      </c>
      <c r="G5" s="206">
        <f t="shared" si="0"/>
        <v>4075259.6777709797</v>
      </c>
      <c r="H5" s="206">
        <f t="shared" si="0"/>
        <v>3638624.7122955178</v>
      </c>
      <c r="I5" s="206">
        <f t="shared" si="0"/>
        <v>3248772.064549569</v>
      </c>
      <c r="J5" s="206">
        <f t="shared" si="0"/>
        <v>2900689.3433478293</v>
      </c>
      <c r="K5" s="206">
        <f t="shared" si="0"/>
        <v>2589901.1994177043</v>
      </c>
      <c r="L5" s="206">
        <f t="shared" si="0"/>
        <v>2312411.7851943788</v>
      </c>
      <c r="M5" s="206">
        <f>M4/((1+$C$24)^M3)</f>
        <v>2064653.3796378381</v>
      </c>
      <c r="N5" s="206">
        <f>N4/((1+$C$24)^N3)</f>
        <v>1843440.5175337838</v>
      </c>
      <c r="O5" s="237">
        <f>O4/((1+$C$24)^O3)</f>
        <v>1645929.0335123071</v>
      </c>
      <c r="P5" s="232"/>
    </row>
    <row r="6" spans="1:16" x14ac:dyDescent="0.2">
      <c r="A6" s="232"/>
      <c r="B6" s="211" t="s">
        <v>179</v>
      </c>
      <c r="C6" s="205">
        <f>'Modelo 2'!K25</f>
        <v>15937200</v>
      </c>
      <c r="D6" s="205">
        <f>'Modelo 2'!L25</f>
        <v>3025000</v>
      </c>
      <c r="E6" s="205">
        <f>'Modelo 2'!M25</f>
        <v>410000</v>
      </c>
      <c r="F6" s="205">
        <f>'Modelo 2'!N25</f>
        <v>1560000</v>
      </c>
      <c r="G6" s="205">
        <f>'Modelo 2'!O25</f>
        <v>410000</v>
      </c>
      <c r="H6" s="205">
        <f>'Modelo 2'!P25</f>
        <v>1350000</v>
      </c>
      <c r="I6" s="205">
        <f>'Modelo 2'!Q25</f>
        <v>200000</v>
      </c>
      <c r="J6" s="205">
        <f>'Modelo 2'!R25</f>
        <v>1350000</v>
      </c>
      <c r="K6" s="205">
        <f>'Modelo 2'!S25</f>
        <v>200000</v>
      </c>
      <c r="L6" s="205">
        <f>'Modelo 2'!T25</f>
        <v>1350000</v>
      </c>
      <c r="M6" s="204">
        <f>'Modelo 2'!$S$25</f>
        <v>200000</v>
      </c>
      <c r="N6" s="204">
        <f>'Modelo 2'!$S$25</f>
        <v>200000</v>
      </c>
      <c r="O6" s="238">
        <f>'Modelo 2'!$S$25</f>
        <v>200000</v>
      </c>
      <c r="P6" s="232"/>
    </row>
    <row r="7" spans="1:16" ht="28.5" customHeight="1" x14ac:dyDescent="0.2">
      <c r="A7" s="232"/>
      <c r="B7" s="211" t="s">
        <v>180</v>
      </c>
      <c r="C7" s="204">
        <f t="shared" ref="C7:L7" si="1">(C6/((1+$C$24)^C3))</f>
        <v>15937200</v>
      </c>
      <c r="D7" s="204">
        <f t="shared" si="1"/>
        <v>2700892.8571428568</v>
      </c>
      <c r="E7" s="204">
        <f t="shared" si="1"/>
        <v>326849.48979591834</v>
      </c>
      <c r="F7" s="204">
        <f t="shared" si="1"/>
        <v>1110377.1865889209</v>
      </c>
      <c r="G7" s="204">
        <f t="shared" si="1"/>
        <v>260562.41214598078</v>
      </c>
      <c r="H7" s="204">
        <f t="shared" si="1"/>
        <v>766026.25522010901</v>
      </c>
      <c r="I7" s="204">
        <f t="shared" si="1"/>
        <v>101326.22423546413</v>
      </c>
      <c r="J7" s="204">
        <f t="shared" si="1"/>
        <v>610671.44070480613</v>
      </c>
      <c r="K7" s="204">
        <f t="shared" si="1"/>
        <v>80776.645595873822</v>
      </c>
      <c r="L7" s="204">
        <f t="shared" si="1"/>
        <v>486823.53372513241</v>
      </c>
      <c r="M7" s="204">
        <f>(M6/((1+$C$24)^M3))</f>
        <v>64394.647318139199</v>
      </c>
      <c r="N7" s="204">
        <f>(N6/((1+$C$24)^N3))</f>
        <v>57495.220819767135</v>
      </c>
      <c r="O7" s="238">
        <f>(O6/((1+$C$24)^O3))</f>
        <v>51335.018589077801</v>
      </c>
      <c r="P7" s="232"/>
    </row>
    <row r="8" spans="1:16" ht="18" customHeight="1" thickBot="1" x14ac:dyDescent="0.25">
      <c r="A8" s="232"/>
      <c r="B8" s="248" t="s">
        <v>181</v>
      </c>
      <c r="C8" s="249">
        <f>C4-C6</f>
        <v>-15937200</v>
      </c>
      <c r="D8" s="249">
        <f t="shared" ref="D8:L8" si="2">D4-D6</f>
        <v>3387500</v>
      </c>
      <c r="E8" s="249">
        <f t="shared" si="2"/>
        <v>6002500</v>
      </c>
      <c r="F8" s="249">
        <f t="shared" si="2"/>
        <v>4852500</v>
      </c>
      <c r="G8" s="249">
        <f t="shared" si="2"/>
        <v>6002500</v>
      </c>
      <c r="H8" s="249">
        <f t="shared" si="2"/>
        <v>5062500</v>
      </c>
      <c r="I8" s="249">
        <f t="shared" si="2"/>
        <v>6212500</v>
      </c>
      <c r="J8" s="249">
        <f t="shared" si="2"/>
        <v>5062500</v>
      </c>
      <c r="K8" s="249">
        <f t="shared" si="2"/>
        <v>6212500</v>
      </c>
      <c r="L8" s="249">
        <f t="shared" si="2"/>
        <v>5062500</v>
      </c>
      <c r="M8" s="249">
        <f>M4-M6</f>
        <v>6212500</v>
      </c>
      <c r="N8" s="249">
        <f>N4-N6</f>
        <v>6212500</v>
      </c>
      <c r="O8" s="250">
        <f>O4-O6</f>
        <v>6212500</v>
      </c>
      <c r="P8" s="232"/>
    </row>
    <row r="9" spans="1:16" ht="13.5" thickBot="1" x14ac:dyDescent="0.25">
      <c r="A9" s="232"/>
      <c r="B9" s="208" t="s">
        <v>183</v>
      </c>
      <c r="C9" s="53">
        <v>13</v>
      </c>
      <c r="D9" s="53">
        <v>14</v>
      </c>
      <c r="E9" s="53">
        <v>15</v>
      </c>
      <c r="F9" s="53">
        <v>16</v>
      </c>
      <c r="G9" s="53">
        <v>17</v>
      </c>
      <c r="H9" s="53">
        <v>18</v>
      </c>
      <c r="I9" s="53">
        <v>19</v>
      </c>
      <c r="J9" s="53">
        <v>20</v>
      </c>
      <c r="K9" s="53">
        <v>21</v>
      </c>
      <c r="L9" s="53">
        <v>22</v>
      </c>
      <c r="M9" s="53">
        <v>23</v>
      </c>
      <c r="N9" s="53">
        <v>24</v>
      </c>
      <c r="O9" s="54">
        <v>25</v>
      </c>
      <c r="P9" s="232"/>
    </row>
    <row r="10" spans="1:16" x14ac:dyDescent="0.2">
      <c r="A10" s="232"/>
      <c r="B10" s="251" t="s">
        <v>177</v>
      </c>
      <c r="C10" s="252">
        <f>'Modelo 2'!$T$33</f>
        <v>6412500</v>
      </c>
      <c r="D10" s="252">
        <f>'Modelo 2'!$T$33</f>
        <v>6412500</v>
      </c>
      <c r="E10" s="252">
        <f>'Modelo 2'!$T$33</f>
        <v>6412500</v>
      </c>
      <c r="F10" s="252">
        <f>'Modelo 2'!$T$33</f>
        <v>6412500</v>
      </c>
      <c r="G10" s="252">
        <f>'Modelo 2'!$T$33</f>
        <v>6412500</v>
      </c>
      <c r="H10" s="252">
        <f>'Modelo 2'!$T$33</f>
        <v>6412500</v>
      </c>
      <c r="I10" s="252">
        <f>'Modelo 2'!$T$33</f>
        <v>6412500</v>
      </c>
      <c r="J10" s="252">
        <f>'Modelo 2'!$T$33</f>
        <v>6412500</v>
      </c>
      <c r="K10" s="252">
        <f>'Modelo 2'!$T$33</f>
        <v>6412500</v>
      </c>
      <c r="L10" s="252">
        <f>'Modelo 2'!$T$33</f>
        <v>6412500</v>
      </c>
      <c r="M10" s="252">
        <f>'Modelo 2'!$T$33</f>
        <v>6412500</v>
      </c>
      <c r="N10" s="252">
        <f>'Modelo 2'!$T$33</f>
        <v>6412500</v>
      </c>
      <c r="O10" s="253">
        <f>'Modelo 2'!V33</f>
        <v>187071500</v>
      </c>
      <c r="P10" s="232"/>
    </row>
    <row r="11" spans="1:16" ht="25.5" x14ac:dyDescent="0.2">
      <c r="A11" s="232"/>
      <c r="B11" s="211" t="s">
        <v>178</v>
      </c>
      <c r="C11" s="206">
        <f t="shared" ref="C11:O11" si="3">C10/((1+$C$24)^C9)</f>
        <v>1469579.4942074167</v>
      </c>
      <c r="D11" s="206">
        <f t="shared" si="3"/>
        <v>1312124.5483994791</v>
      </c>
      <c r="E11" s="206">
        <f t="shared" si="3"/>
        <v>1171539.7753566778</v>
      </c>
      <c r="F11" s="206">
        <f t="shared" si="3"/>
        <v>1046017.6565684623</v>
      </c>
      <c r="G11" s="206">
        <f t="shared" si="3"/>
        <v>933944.33622184116</v>
      </c>
      <c r="H11" s="206">
        <f t="shared" si="3"/>
        <v>833878.87162664381</v>
      </c>
      <c r="I11" s="206">
        <f t="shared" si="3"/>
        <v>744534.70680950338</v>
      </c>
      <c r="J11" s="206">
        <f t="shared" si="3"/>
        <v>664763.1310799137</v>
      </c>
      <c r="K11" s="206">
        <f t="shared" si="3"/>
        <v>593538.5098927801</v>
      </c>
      <c r="L11" s="206">
        <f t="shared" si="3"/>
        <v>529945.09811855352</v>
      </c>
      <c r="M11" s="206">
        <f t="shared" si="3"/>
        <v>473165.26617727999</v>
      </c>
      <c r="N11" s="206">
        <f t="shared" si="3"/>
        <v>422468.98765828565</v>
      </c>
      <c r="O11" s="237">
        <f t="shared" si="3"/>
        <v>11004164.191689916</v>
      </c>
      <c r="P11" s="232"/>
    </row>
    <row r="12" spans="1:16" x14ac:dyDescent="0.2">
      <c r="A12" s="232"/>
      <c r="B12" s="211" t="s">
        <v>179</v>
      </c>
      <c r="C12" s="204">
        <f>'Modelo 2'!$S$25</f>
        <v>200000</v>
      </c>
      <c r="D12" s="204">
        <f>'Modelo 2'!$S$25</f>
        <v>200000</v>
      </c>
      <c r="E12" s="204">
        <f>'Modelo 2'!$S$25</f>
        <v>200000</v>
      </c>
      <c r="F12" s="204">
        <f>'Modelo 2'!$S$25</f>
        <v>200000</v>
      </c>
      <c r="G12" s="204">
        <f>'Modelo 2'!$S$25</f>
        <v>200000</v>
      </c>
      <c r="H12" s="204">
        <f>'Modelo 2'!$S$25</f>
        <v>200000</v>
      </c>
      <c r="I12" s="204">
        <f>'Modelo 2'!$S$25</f>
        <v>200000</v>
      </c>
      <c r="J12" s="204">
        <f>'Modelo 2'!$S$25</f>
        <v>200000</v>
      </c>
      <c r="K12" s="204">
        <f>'Modelo 2'!$S$25</f>
        <v>200000</v>
      </c>
      <c r="L12" s="204">
        <f>'Modelo 2'!$S$25</f>
        <v>200000</v>
      </c>
      <c r="M12" s="204">
        <f>'Modelo 2'!$S$25</f>
        <v>200000</v>
      </c>
      <c r="N12" s="204">
        <f>'Modelo 2'!$S$25</f>
        <v>200000</v>
      </c>
      <c r="O12" s="213">
        <f>'Modelo 2'!V25</f>
        <v>18600000</v>
      </c>
      <c r="P12" s="232"/>
    </row>
    <row r="13" spans="1:16" ht="30.75" customHeight="1" x14ac:dyDescent="0.2">
      <c r="A13" s="232"/>
      <c r="B13" s="211" t="s">
        <v>180</v>
      </c>
      <c r="C13" s="204">
        <f t="shared" ref="C13:O13" si="4">(C12/((1+$C$24)^C9))</f>
        <v>45834.838025962315</v>
      </c>
      <c r="D13" s="204">
        <f t="shared" si="4"/>
        <v>40923.962523180635</v>
      </c>
      <c r="E13" s="204">
        <f t="shared" si="4"/>
        <v>36539.252252839855</v>
      </c>
      <c r="F13" s="204">
        <f t="shared" si="4"/>
        <v>32624.332368607007</v>
      </c>
      <c r="G13" s="204">
        <f t="shared" si="4"/>
        <v>29128.868186256255</v>
      </c>
      <c r="H13" s="204">
        <f t="shared" si="4"/>
        <v>26007.918023443082</v>
      </c>
      <c r="I13" s="204">
        <f t="shared" si="4"/>
        <v>23221.355378074179</v>
      </c>
      <c r="J13" s="204">
        <f t="shared" si="4"/>
        <v>20733.353016137658</v>
      </c>
      <c r="K13" s="204">
        <f t="shared" si="4"/>
        <v>18511.922335837196</v>
      </c>
      <c r="L13" s="204">
        <f t="shared" si="4"/>
        <v>16528.502085568922</v>
      </c>
      <c r="M13" s="204">
        <f t="shared" si="4"/>
        <v>14757.591147829397</v>
      </c>
      <c r="N13" s="204">
        <f t="shared" si="4"/>
        <v>13176.420667704817</v>
      </c>
      <c r="O13" s="238">
        <f t="shared" si="4"/>
        <v>1094113.5018719176</v>
      </c>
      <c r="P13" s="232"/>
    </row>
    <row r="14" spans="1:16" ht="21" customHeight="1" thickBot="1" x14ac:dyDescent="0.25">
      <c r="A14" s="232"/>
      <c r="B14" s="214" t="s">
        <v>181</v>
      </c>
      <c r="C14" s="215">
        <f t="shared" ref="C14:O14" si="5">C10-C12</f>
        <v>6212500</v>
      </c>
      <c r="D14" s="215">
        <f t="shared" si="5"/>
        <v>6212500</v>
      </c>
      <c r="E14" s="215">
        <f t="shared" si="5"/>
        <v>6212500</v>
      </c>
      <c r="F14" s="215">
        <f t="shared" si="5"/>
        <v>6212500</v>
      </c>
      <c r="G14" s="215">
        <f t="shared" si="5"/>
        <v>6212500</v>
      </c>
      <c r="H14" s="215">
        <f t="shared" si="5"/>
        <v>6212500</v>
      </c>
      <c r="I14" s="215">
        <f t="shared" si="5"/>
        <v>6212500</v>
      </c>
      <c r="J14" s="215">
        <f t="shared" si="5"/>
        <v>6212500</v>
      </c>
      <c r="K14" s="215">
        <f t="shared" si="5"/>
        <v>6212500</v>
      </c>
      <c r="L14" s="215">
        <f t="shared" si="5"/>
        <v>6212500</v>
      </c>
      <c r="M14" s="215">
        <f t="shared" si="5"/>
        <v>6212500</v>
      </c>
      <c r="N14" s="215">
        <f t="shared" si="5"/>
        <v>6212500</v>
      </c>
      <c r="O14" s="239">
        <f t="shared" si="5"/>
        <v>168471500</v>
      </c>
      <c r="P14" s="232"/>
    </row>
    <row r="15" spans="1:16" ht="13.5" thickBot="1" x14ac:dyDescent="0.25">
      <c r="A15" s="232"/>
      <c r="B15" s="240" t="s">
        <v>183</v>
      </c>
      <c r="C15" s="241" t="s">
        <v>117</v>
      </c>
      <c r="D15" s="232"/>
      <c r="E15" s="232"/>
      <c r="F15" s="232"/>
      <c r="G15" s="232"/>
      <c r="H15" s="232"/>
      <c r="I15" s="232"/>
      <c r="J15" s="234"/>
      <c r="K15" s="234"/>
      <c r="L15" s="234"/>
      <c r="M15" s="232"/>
      <c r="N15" s="232"/>
      <c r="O15" s="232"/>
      <c r="P15" s="232"/>
    </row>
    <row r="16" spans="1:16" x14ac:dyDescent="0.2">
      <c r="A16" s="232"/>
      <c r="B16" s="209" t="s">
        <v>177</v>
      </c>
      <c r="C16" s="210">
        <f>SUM(C4:O4,C10:O10)</f>
        <v>340971500</v>
      </c>
      <c r="D16" s="232"/>
      <c r="E16" s="232"/>
      <c r="F16" s="232"/>
      <c r="G16" s="232"/>
      <c r="H16" s="232"/>
      <c r="I16" s="232"/>
      <c r="J16" s="234"/>
      <c r="K16" s="234"/>
      <c r="L16" s="234"/>
      <c r="M16" s="232"/>
      <c r="N16" s="232"/>
      <c r="O16" s="232"/>
      <c r="P16" s="232"/>
    </row>
    <row r="17" spans="1:16" ht="30" customHeight="1" x14ac:dyDescent="0.2">
      <c r="A17" s="232"/>
      <c r="B17" s="211" t="s">
        <v>178</v>
      </c>
      <c r="C17" s="212">
        <f>SUM(C5:O5,C11:I11,J11:O11)</f>
        <v>60921089.294537507</v>
      </c>
      <c r="D17" s="295"/>
      <c r="E17" s="232"/>
      <c r="F17" s="232"/>
      <c r="G17" s="232"/>
      <c r="H17" s="232"/>
      <c r="I17" s="232"/>
      <c r="J17" s="234"/>
      <c r="K17" s="234"/>
      <c r="L17" s="234"/>
      <c r="M17" s="232"/>
      <c r="N17" s="232"/>
      <c r="O17" s="232"/>
      <c r="P17" s="232"/>
    </row>
    <row r="18" spans="1:16" x14ac:dyDescent="0.2">
      <c r="A18" s="232"/>
      <c r="B18" s="211" t="s">
        <v>179</v>
      </c>
      <c r="C18" s="213">
        <f>SUM(C6:O6,C12:I12,J12:O12)</f>
        <v>47392200</v>
      </c>
      <c r="D18" s="232"/>
      <c r="E18" s="232"/>
      <c r="F18" s="232"/>
      <c r="G18" s="232"/>
      <c r="H18" s="232"/>
      <c r="I18" s="232"/>
      <c r="J18" s="234"/>
      <c r="K18" s="234"/>
      <c r="L18" s="234"/>
      <c r="M18" s="232"/>
      <c r="N18" s="232"/>
      <c r="O18" s="232"/>
      <c r="P18" s="232"/>
    </row>
    <row r="19" spans="1:16" ht="30" customHeight="1" x14ac:dyDescent="0.2">
      <c r="A19" s="232"/>
      <c r="B19" s="211" t="s">
        <v>180</v>
      </c>
      <c r="C19" s="235">
        <f>SUM(C7:O7,C13:O13)</f>
        <v>23966832.749765411</v>
      </c>
      <c r="D19" s="295"/>
      <c r="E19" s="232"/>
      <c r="F19" s="232"/>
      <c r="G19" s="232"/>
      <c r="H19" s="232"/>
      <c r="I19" s="232"/>
      <c r="J19" s="234"/>
      <c r="K19" s="234"/>
      <c r="L19" s="234"/>
      <c r="M19" s="232"/>
      <c r="N19" s="232"/>
      <c r="O19" s="232"/>
      <c r="P19" s="232"/>
    </row>
    <row r="20" spans="1:16" ht="17.25" customHeight="1" thickBot="1" x14ac:dyDescent="0.25">
      <c r="A20" s="232"/>
      <c r="B20" s="214" t="s">
        <v>181</v>
      </c>
      <c r="C20" s="236">
        <f>SUM(C8:L8,C14:I14,J14:O14)</f>
        <v>274941800</v>
      </c>
      <c r="D20" s="232"/>
      <c r="E20" s="232"/>
      <c r="F20" s="232"/>
      <c r="G20" s="232"/>
      <c r="H20" s="232"/>
      <c r="I20" s="232"/>
      <c r="J20" s="234"/>
      <c r="K20" s="234"/>
      <c r="L20" s="234"/>
      <c r="M20" s="232"/>
      <c r="N20" s="232"/>
      <c r="O20" s="232"/>
      <c r="P20" s="232"/>
    </row>
    <row r="21" spans="1:16" x14ac:dyDescent="0.2">
      <c r="A21" s="232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2"/>
      <c r="N21" s="232"/>
      <c r="O21" s="232"/>
      <c r="P21" s="232"/>
    </row>
    <row r="22" spans="1:16" ht="13.5" thickBot="1" x14ac:dyDescent="0.25"/>
    <row r="23" spans="1:16" ht="15" x14ac:dyDescent="0.2">
      <c r="B23" s="217" t="s">
        <v>175</v>
      </c>
      <c r="C23" s="217" t="s">
        <v>176</v>
      </c>
      <c r="E23" s="396" t="s">
        <v>239</v>
      </c>
      <c r="F23" s="397"/>
      <c r="G23" s="397"/>
      <c r="H23" s="397"/>
      <c r="I23" s="398"/>
    </row>
    <row r="24" spans="1:16" ht="15" x14ac:dyDescent="0.2">
      <c r="B24" s="218" t="s">
        <v>185</v>
      </c>
      <c r="C24" s="222">
        <v>0.12</v>
      </c>
      <c r="E24" s="399"/>
      <c r="F24" s="400"/>
      <c r="G24" s="400"/>
      <c r="H24" s="400"/>
      <c r="I24" s="401"/>
    </row>
    <row r="25" spans="1:16" ht="41.25" customHeight="1" x14ac:dyDescent="0.2">
      <c r="B25" s="221" t="s">
        <v>186</v>
      </c>
      <c r="C25" s="223">
        <f>(C17/(C19)-1)</f>
        <v>1.5418915352982472</v>
      </c>
      <c r="D25" s="322"/>
      <c r="E25" s="399"/>
      <c r="F25" s="400"/>
      <c r="G25" s="400"/>
      <c r="H25" s="400"/>
      <c r="I25" s="401"/>
    </row>
    <row r="26" spans="1:16" ht="15" x14ac:dyDescent="0.2">
      <c r="B26" s="221" t="s">
        <v>187</v>
      </c>
      <c r="C26" s="200">
        <f>NPV(C24,D8:O8,C14:O14)+C8</f>
        <v>36954256.544772096</v>
      </c>
      <c r="E26" s="399"/>
      <c r="F26" s="400"/>
      <c r="G26" s="400"/>
      <c r="H26" s="400"/>
      <c r="I26" s="401"/>
    </row>
    <row r="27" spans="1:16" ht="35.25" customHeight="1" x14ac:dyDescent="0.2">
      <c r="B27" s="221" t="s">
        <v>184</v>
      </c>
      <c r="C27" s="201">
        <f>IRR(C8:O8,C14:O14)</f>
        <v>0.30574720379345388</v>
      </c>
      <c r="E27" s="399"/>
      <c r="F27" s="400"/>
      <c r="G27" s="400"/>
      <c r="H27" s="400"/>
      <c r="I27" s="401"/>
    </row>
    <row r="28" spans="1:16" ht="27" customHeight="1" thickBot="1" x14ac:dyDescent="0.25">
      <c r="E28" s="402"/>
      <c r="F28" s="403"/>
      <c r="G28" s="403"/>
      <c r="H28" s="403"/>
      <c r="I28" s="404"/>
    </row>
  </sheetData>
  <mergeCells count="2">
    <mergeCell ref="E23:I28"/>
    <mergeCell ref="B2:O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B1:AD87"/>
  <sheetViews>
    <sheetView topLeftCell="H25" zoomScale="70" zoomScaleNormal="70" workbookViewId="0">
      <selection activeCell="N44" sqref="N44"/>
    </sheetView>
  </sheetViews>
  <sheetFormatPr baseColWidth="10" defaultColWidth="14.42578125" defaultRowHeight="15.75" customHeight="1" x14ac:dyDescent="0.2"/>
  <cols>
    <col min="1" max="1" width="14.42578125" style="96"/>
    <col min="2" max="2" width="47.42578125" style="96" customWidth="1"/>
    <col min="3" max="3" width="56.28515625" style="96" customWidth="1"/>
    <col min="4" max="4" width="18.5703125" style="96" customWidth="1"/>
    <col min="5" max="6" width="14.42578125" style="96"/>
    <col min="7" max="7" width="17.5703125" style="96" customWidth="1"/>
    <col min="8" max="8" width="14.42578125" style="96"/>
    <col min="9" max="9" width="21.7109375" style="96" customWidth="1"/>
    <col min="10" max="10" width="48.140625" style="96" customWidth="1"/>
    <col min="11" max="11" width="13.42578125" style="96" bestFit="1" customWidth="1"/>
    <col min="12" max="12" width="12.140625" style="96" bestFit="1" customWidth="1"/>
    <col min="13" max="16" width="11.85546875" style="96" bestFit="1" customWidth="1"/>
    <col min="17" max="17" width="18.140625" style="96" bestFit="1" customWidth="1"/>
    <col min="18" max="19" width="11.85546875" style="96" bestFit="1" customWidth="1"/>
    <col min="20" max="20" width="13.140625" style="96" bestFit="1" customWidth="1"/>
    <col min="21" max="16384" width="14.42578125" style="96"/>
  </cols>
  <sheetData>
    <row r="1" spans="2:22" ht="15.75" customHeight="1" thickBot="1" x14ac:dyDescent="0.25">
      <c r="B1" s="481" t="s">
        <v>118</v>
      </c>
      <c r="C1" s="482"/>
      <c r="D1" s="482"/>
      <c r="E1" s="482"/>
      <c r="F1" s="482"/>
      <c r="G1" s="483"/>
      <c r="I1" s="478" t="s">
        <v>149</v>
      </c>
      <c r="J1" s="479"/>
      <c r="K1" s="479"/>
      <c r="L1" s="479"/>
      <c r="M1" s="479"/>
      <c r="N1" s="479"/>
      <c r="O1" s="479"/>
      <c r="P1" s="479"/>
      <c r="Q1" s="479"/>
      <c r="R1" s="479"/>
      <c r="S1" s="479"/>
      <c r="T1" s="479"/>
      <c r="U1" s="479"/>
      <c r="V1" s="480"/>
    </row>
    <row r="2" spans="2:22" ht="15.75" customHeight="1" thickBot="1" x14ac:dyDescent="0.25">
      <c r="B2" s="484" t="s">
        <v>134</v>
      </c>
      <c r="C2" s="475"/>
      <c r="D2" s="475"/>
      <c r="E2" s="475"/>
      <c r="F2" s="475"/>
      <c r="G2" s="476"/>
      <c r="I2" s="97" t="s">
        <v>91</v>
      </c>
      <c r="J2" s="98" t="s">
        <v>93</v>
      </c>
      <c r="K2" s="98" t="s">
        <v>107</v>
      </c>
      <c r="L2" s="98" t="s">
        <v>82</v>
      </c>
      <c r="M2" s="98" t="s">
        <v>83</v>
      </c>
      <c r="N2" s="98" t="s">
        <v>84</v>
      </c>
      <c r="O2" s="98" t="s">
        <v>85</v>
      </c>
      <c r="P2" s="98" t="s">
        <v>86</v>
      </c>
      <c r="Q2" s="98" t="s">
        <v>87</v>
      </c>
      <c r="R2" s="98" t="s">
        <v>88</v>
      </c>
      <c r="S2" s="98" t="s">
        <v>89</v>
      </c>
      <c r="T2" s="185" t="s">
        <v>174</v>
      </c>
      <c r="U2" s="185" t="s">
        <v>131</v>
      </c>
      <c r="V2" s="186" t="s">
        <v>132</v>
      </c>
    </row>
    <row r="3" spans="2:22" ht="15.75" customHeight="1" thickBot="1" x14ac:dyDescent="0.25">
      <c r="B3" s="99" t="s">
        <v>0</v>
      </c>
      <c r="C3" s="100" t="s">
        <v>1</v>
      </c>
      <c r="D3" s="100" t="s">
        <v>2</v>
      </c>
      <c r="E3" s="100" t="s">
        <v>3</v>
      </c>
      <c r="F3" s="100" t="s">
        <v>4</v>
      </c>
      <c r="G3" s="101" t="s">
        <v>5</v>
      </c>
      <c r="I3" s="493" t="s">
        <v>6</v>
      </c>
      <c r="J3" s="102" t="s">
        <v>20</v>
      </c>
      <c r="K3" s="55">
        <f>G5+G23</f>
        <v>180000</v>
      </c>
      <c r="L3" s="55"/>
      <c r="M3" s="55"/>
      <c r="N3" s="55"/>
      <c r="O3" s="55"/>
      <c r="P3" s="55"/>
      <c r="Q3" s="55"/>
      <c r="R3" s="55"/>
      <c r="S3" s="55"/>
      <c r="T3" s="55"/>
      <c r="U3" s="103"/>
      <c r="V3" s="104"/>
    </row>
    <row r="4" spans="2:22" ht="15.75" customHeight="1" x14ac:dyDescent="0.2">
      <c r="B4" s="485" t="s">
        <v>7</v>
      </c>
      <c r="C4" s="423"/>
      <c r="D4" s="423"/>
      <c r="E4" s="423"/>
      <c r="F4" s="423"/>
      <c r="G4" s="424"/>
      <c r="H4" s="314"/>
      <c r="I4" s="494"/>
      <c r="J4" s="105" t="s">
        <v>62</v>
      </c>
      <c r="K4" s="48">
        <f>G6+G24</f>
        <v>5400000</v>
      </c>
      <c r="L4" s="48"/>
      <c r="M4" s="48"/>
      <c r="N4" s="48"/>
      <c r="O4" s="48"/>
      <c r="P4" s="48"/>
      <c r="Q4" s="48"/>
      <c r="R4" s="48"/>
      <c r="S4" s="48"/>
      <c r="T4" s="48"/>
      <c r="U4" s="106"/>
      <c r="V4" s="107"/>
    </row>
    <row r="5" spans="2:22" ht="15.75" customHeight="1" x14ac:dyDescent="0.2">
      <c r="B5" s="164" t="s">
        <v>20</v>
      </c>
      <c r="C5" s="109" t="s">
        <v>22</v>
      </c>
      <c r="D5" s="161" t="s">
        <v>42</v>
      </c>
      <c r="E5" s="110">
        <v>50000</v>
      </c>
      <c r="F5" s="111">
        <v>1</v>
      </c>
      <c r="G5" s="112">
        <f>F5*E5</f>
        <v>50000</v>
      </c>
      <c r="H5" s="314"/>
      <c r="I5" s="494"/>
      <c r="J5" s="105" t="s">
        <v>25</v>
      </c>
      <c r="K5" s="48">
        <f>G7+G25</f>
        <v>580000</v>
      </c>
      <c r="L5" s="48"/>
      <c r="M5" s="48"/>
      <c r="N5" s="48"/>
      <c r="O5" s="48"/>
      <c r="P5" s="48"/>
      <c r="Q5" s="48"/>
      <c r="R5" s="48"/>
      <c r="S5" s="48"/>
      <c r="T5" s="48"/>
      <c r="U5" s="106"/>
      <c r="V5" s="107"/>
    </row>
    <row r="6" spans="2:22" ht="15.75" customHeight="1" x14ac:dyDescent="0.2">
      <c r="B6" s="164" t="s">
        <v>62</v>
      </c>
      <c r="C6" s="109" t="s">
        <v>64</v>
      </c>
      <c r="D6" s="161"/>
      <c r="E6" s="110">
        <v>30000</v>
      </c>
      <c r="F6" s="111">
        <v>30</v>
      </c>
      <c r="G6" s="112">
        <f>F6*E6</f>
        <v>900000</v>
      </c>
      <c r="H6" s="314"/>
      <c r="I6" s="494"/>
      <c r="J6" s="105" t="s">
        <v>24</v>
      </c>
      <c r="K6" s="48">
        <f>G8+G26</f>
        <v>135000</v>
      </c>
      <c r="L6" s="48"/>
      <c r="M6" s="48"/>
      <c r="N6" s="48"/>
      <c r="O6" s="48"/>
      <c r="P6" s="48"/>
      <c r="Q6" s="48"/>
      <c r="R6" s="48"/>
      <c r="S6" s="48"/>
      <c r="T6" s="48"/>
      <c r="U6" s="106"/>
      <c r="V6" s="107"/>
    </row>
    <row r="7" spans="2:22" ht="15.75" customHeight="1" x14ac:dyDescent="0.2">
      <c r="B7" s="165" t="s">
        <v>25</v>
      </c>
      <c r="C7" s="113" t="s">
        <v>9</v>
      </c>
      <c r="D7" s="161"/>
      <c r="E7" s="110">
        <v>30000</v>
      </c>
      <c r="F7" s="111">
        <v>6</v>
      </c>
      <c r="G7" s="112">
        <f t="shared" ref="G7:G18" si="0">F7*E7</f>
        <v>180000</v>
      </c>
      <c r="H7" s="314"/>
      <c r="I7" s="494"/>
      <c r="J7" s="114" t="s">
        <v>124</v>
      </c>
      <c r="K7" s="48">
        <f>G9+G27+G28</f>
        <v>396000</v>
      </c>
      <c r="L7" s="48"/>
      <c r="M7" s="48"/>
      <c r="N7" s="48"/>
      <c r="O7" s="48"/>
      <c r="P7" s="48"/>
      <c r="Q7" s="48"/>
      <c r="R7" s="48"/>
      <c r="S7" s="48"/>
      <c r="T7" s="48"/>
      <c r="U7" s="106"/>
      <c r="V7" s="107"/>
    </row>
    <row r="8" spans="2:22" ht="15.75" customHeight="1" x14ac:dyDescent="0.2">
      <c r="B8" s="165" t="s">
        <v>24</v>
      </c>
      <c r="C8" s="115" t="s">
        <v>9</v>
      </c>
      <c r="D8" s="161"/>
      <c r="E8" s="110">
        <v>30000</v>
      </c>
      <c r="F8" s="111">
        <v>2</v>
      </c>
      <c r="G8" s="112">
        <f t="shared" si="0"/>
        <v>60000</v>
      </c>
      <c r="H8" s="314"/>
      <c r="I8" s="494"/>
      <c r="J8" s="114" t="s">
        <v>8</v>
      </c>
      <c r="K8" s="48">
        <f>G10</f>
        <v>150000</v>
      </c>
      <c r="L8" s="48"/>
      <c r="M8" s="48"/>
      <c r="N8" s="48"/>
      <c r="O8" s="48"/>
      <c r="P8" s="48"/>
      <c r="Q8" s="48"/>
      <c r="R8" s="48"/>
      <c r="S8" s="48"/>
      <c r="T8" s="48"/>
      <c r="U8" s="106"/>
      <c r="V8" s="107"/>
    </row>
    <row r="9" spans="2:22" ht="15.75" customHeight="1" x14ac:dyDescent="0.2">
      <c r="B9" s="166" t="s">
        <v>124</v>
      </c>
      <c r="C9" s="115" t="s">
        <v>9</v>
      </c>
      <c r="D9" s="161"/>
      <c r="E9" s="110">
        <v>30000</v>
      </c>
      <c r="F9" s="111">
        <v>4</v>
      </c>
      <c r="G9" s="112">
        <f t="shared" si="0"/>
        <v>120000</v>
      </c>
      <c r="H9" s="314"/>
      <c r="I9" s="494"/>
      <c r="J9" s="105" t="s">
        <v>94</v>
      </c>
      <c r="K9" s="48">
        <f>G11+G12+G13+G29+G30+G37+G38+G36</f>
        <v>6283500</v>
      </c>
      <c r="L9" s="48"/>
      <c r="M9" s="48"/>
      <c r="N9" s="48"/>
      <c r="O9" s="48"/>
      <c r="P9" s="48"/>
      <c r="Q9" s="48"/>
      <c r="R9" s="48"/>
      <c r="S9" s="48"/>
      <c r="T9" s="48"/>
      <c r="U9" s="106"/>
      <c r="V9" s="107"/>
    </row>
    <row r="10" spans="2:22" ht="15.75" customHeight="1" x14ac:dyDescent="0.2">
      <c r="B10" s="166" t="s">
        <v>8</v>
      </c>
      <c r="C10" s="116" t="s">
        <v>9</v>
      </c>
      <c r="D10" s="161"/>
      <c r="E10" s="110">
        <v>30000</v>
      </c>
      <c r="F10" s="111">
        <v>5</v>
      </c>
      <c r="G10" s="112">
        <f t="shared" si="0"/>
        <v>150000</v>
      </c>
      <c r="H10" s="314"/>
      <c r="I10" s="494"/>
      <c r="J10" s="114" t="s">
        <v>234</v>
      </c>
      <c r="K10" s="48">
        <f>G15+G32+G33+G16</f>
        <v>1000000</v>
      </c>
      <c r="L10" s="48"/>
      <c r="M10" s="48"/>
      <c r="N10" s="48"/>
      <c r="O10" s="48"/>
      <c r="P10" s="48"/>
      <c r="Q10" s="48"/>
      <c r="R10" s="48"/>
      <c r="S10" s="48"/>
      <c r="T10" s="48"/>
      <c r="U10" s="273"/>
      <c r="V10" s="107"/>
    </row>
    <row r="11" spans="2:22" ht="15.75" customHeight="1" x14ac:dyDescent="0.2">
      <c r="B11" s="167" t="s">
        <v>121</v>
      </c>
      <c r="C11" s="115" t="s">
        <v>41</v>
      </c>
      <c r="D11" s="161"/>
      <c r="E11" s="110">
        <v>30000</v>
      </c>
      <c r="F11" s="111">
        <v>10</v>
      </c>
      <c r="G11" s="112">
        <f t="shared" si="0"/>
        <v>300000</v>
      </c>
      <c r="H11" s="314"/>
      <c r="I11" s="494"/>
      <c r="J11" s="105" t="s">
        <v>35</v>
      </c>
      <c r="K11" s="48">
        <f>G14+G31</f>
        <v>300000</v>
      </c>
      <c r="L11" s="48"/>
      <c r="M11" s="48"/>
      <c r="N11" s="48"/>
      <c r="O11" s="48"/>
      <c r="P11" s="48"/>
      <c r="Q11" s="48"/>
      <c r="R11" s="48"/>
      <c r="S11" s="48"/>
      <c r="T11" s="48"/>
      <c r="U11" s="106"/>
      <c r="V11" s="107"/>
    </row>
    <row r="12" spans="2:22" ht="15.75" customHeight="1" x14ac:dyDescent="0.2">
      <c r="B12" s="167" t="s">
        <v>122</v>
      </c>
      <c r="C12" s="115" t="s">
        <v>41</v>
      </c>
      <c r="D12" s="161"/>
      <c r="E12" s="110">
        <v>30000</v>
      </c>
      <c r="F12" s="111">
        <v>4</v>
      </c>
      <c r="G12" s="112">
        <f>F12*E12</f>
        <v>120000</v>
      </c>
      <c r="H12" s="314"/>
      <c r="I12" s="494"/>
      <c r="J12" s="114" t="s">
        <v>125</v>
      </c>
      <c r="K12" s="48">
        <f>G17+G34</f>
        <v>580000</v>
      </c>
      <c r="L12" s="48"/>
      <c r="M12" s="48"/>
      <c r="N12" s="48"/>
      <c r="O12" s="48"/>
      <c r="P12" s="48"/>
      <c r="Q12" s="48"/>
      <c r="R12" s="48"/>
      <c r="S12" s="48"/>
      <c r="T12" s="48"/>
      <c r="U12" s="106"/>
      <c r="V12" s="107"/>
    </row>
    <row r="13" spans="2:22" ht="15.75" customHeight="1" x14ac:dyDescent="0.2">
      <c r="B13" s="167" t="s">
        <v>123</v>
      </c>
      <c r="C13" s="115" t="s">
        <v>41</v>
      </c>
      <c r="D13" s="161"/>
      <c r="E13" s="110">
        <v>30000</v>
      </c>
      <c r="F13" s="111">
        <v>8</v>
      </c>
      <c r="G13" s="112">
        <f t="shared" si="0"/>
        <v>240000</v>
      </c>
      <c r="H13" s="314"/>
      <c r="I13" s="494"/>
      <c r="J13" s="105" t="s">
        <v>43</v>
      </c>
      <c r="K13" s="48">
        <f>G18+G35</f>
        <v>205000</v>
      </c>
      <c r="L13" s="48"/>
      <c r="M13" s="48"/>
      <c r="N13" s="48"/>
      <c r="O13" s="48"/>
      <c r="P13" s="48"/>
      <c r="Q13" s="48"/>
      <c r="R13" s="48"/>
      <c r="S13" s="48"/>
      <c r="T13" s="48"/>
      <c r="U13" s="106"/>
      <c r="V13" s="107"/>
    </row>
    <row r="14" spans="2:22" ht="15.75" customHeight="1" x14ac:dyDescent="0.2">
      <c r="B14" s="167" t="s">
        <v>35</v>
      </c>
      <c r="C14" s="115" t="s">
        <v>31</v>
      </c>
      <c r="D14" s="161"/>
      <c r="E14" s="110">
        <v>30000</v>
      </c>
      <c r="F14" s="111">
        <v>2</v>
      </c>
      <c r="G14" s="112">
        <f t="shared" si="0"/>
        <v>60000</v>
      </c>
      <c r="H14" s="314"/>
      <c r="I14" s="494"/>
      <c r="J14" s="117" t="s">
        <v>133</v>
      </c>
      <c r="K14" s="93">
        <f>G19</f>
        <v>540000</v>
      </c>
      <c r="L14" s="93"/>
      <c r="M14" s="93"/>
      <c r="N14" s="93"/>
      <c r="O14" s="93"/>
      <c r="P14" s="93"/>
      <c r="Q14" s="93"/>
      <c r="R14" s="93"/>
      <c r="S14" s="93"/>
      <c r="T14" s="93"/>
      <c r="U14" s="118"/>
      <c r="V14" s="119"/>
    </row>
    <row r="15" spans="2:22" ht="15.75" customHeight="1" x14ac:dyDescent="0.2">
      <c r="B15" s="304" t="s">
        <v>213</v>
      </c>
      <c r="C15" s="116" t="s">
        <v>215</v>
      </c>
      <c r="D15" s="161"/>
      <c r="E15" s="110">
        <v>30000</v>
      </c>
      <c r="F15" s="272">
        <v>8</v>
      </c>
      <c r="G15" s="112">
        <f t="shared" si="0"/>
        <v>240000</v>
      </c>
      <c r="H15" s="314"/>
      <c r="I15" s="494"/>
      <c r="J15" s="313" t="s">
        <v>193</v>
      </c>
      <c r="K15" s="93">
        <f>G20</f>
        <v>2000000</v>
      </c>
      <c r="L15" s="93"/>
      <c r="M15" s="93"/>
      <c r="N15" s="93"/>
      <c r="O15" s="93"/>
      <c r="P15" s="93"/>
      <c r="Q15" s="93"/>
      <c r="R15" s="93"/>
      <c r="S15" s="93"/>
      <c r="T15" s="93"/>
      <c r="U15" s="118"/>
      <c r="V15" s="119"/>
    </row>
    <row r="16" spans="2:22" ht="15.75" customHeight="1" thickBot="1" x14ac:dyDescent="0.25">
      <c r="B16" s="304" t="s">
        <v>220</v>
      </c>
      <c r="C16" s="116" t="s">
        <v>221</v>
      </c>
      <c r="D16" s="161"/>
      <c r="E16" s="110">
        <v>30000</v>
      </c>
      <c r="F16" s="272">
        <v>4</v>
      </c>
      <c r="G16" s="112">
        <f t="shared" si="0"/>
        <v>120000</v>
      </c>
      <c r="H16" s="314"/>
      <c r="I16" s="495"/>
      <c r="J16" s="120" t="s">
        <v>37</v>
      </c>
      <c r="K16" s="59">
        <f>G39+G40</f>
        <v>300000</v>
      </c>
      <c r="L16" s="59"/>
      <c r="M16" s="59"/>
      <c r="N16" s="59"/>
      <c r="O16" s="59"/>
      <c r="P16" s="59"/>
      <c r="Q16" s="59"/>
      <c r="R16" s="59"/>
      <c r="S16" s="59"/>
      <c r="T16" s="59"/>
      <c r="U16" s="121"/>
      <c r="V16" s="122"/>
    </row>
    <row r="17" spans="2:30" ht="15.75" customHeight="1" x14ac:dyDescent="0.2">
      <c r="B17" s="169" t="s">
        <v>125</v>
      </c>
      <c r="C17" s="124" t="s">
        <v>11</v>
      </c>
      <c r="D17" s="161"/>
      <c r="E17" s="110">
        <v>30000</v>
      </c>
      <c r="F17" s="111">
        <v>8</v>
      </c>
      <c r="G17" s="112">
        <f t="shared" si="0"/>
        <v>240000</v>
      </c>
      <c r="H17" s="314"/>
      <c r="I17" s="493" t="s">
        <v>16</v>
      </c>
      <c r="J17" s="105" t="s">
        <v>137</v>
      </c>
      <c r="K17" s="55"/>
      <c r="L17" s="55">
        <f>(30000*2)+($E$55*3)+G54</f>
        <v>215000</v>
      </c>
      <c r="M17" s="55">
        <f>(30000*2)+($E$55*3)</f>
        <v>135000</v>
      </c>
      <c r="N17" s="55">
        <f t="shared" ref="N17:P17" si="1">(30000*2)+($E$55*3)</f>
        <v>135000</v>
      </c>
      <c r="O17" s="55">
        <f t="shared" si="1"/>
        <v>135000</v>
      </c>
      <c r="P17" s="55">
        <f t="shared" si="1"/>
        <v>135000</v>
      </c>
      <c r="Q17" s="55"/>
      <c r="R17" s="55"/>
      <c r="S17" s="55"/>
      <c r="T17" s="55"/>
      <c r="U17" s="103"/>
      <c r="V17" s="104"/>
    </row>
    <row r="18" spans="2:30" ht="15.75" customHeight="1" x14ac:dyDescent="0.2">
      <c r="B18" s="164" t="s">
        <v>43</v>
      </c>
      <c r="C18" s="124" t="s">
        <v>13</v>
      </c>
      <c r="D18" s="161"/>
      <c r="E18" s="110">
        <v>30000</v>
      </c>
      <c r="F18" s="111">
        <v>4</v>
      </c>
      <c r="G18" s="112">
        <f t="shared" si="0"/>
        <v>120000</v>
      </c>
      <c r="H18" s="314"/>
      <c r="I18" s="494"/>
      <c r="J18" s="105" t="s">
        <v>136</v>
      </c>
      <c r="K18" s="78"/>
      <c r="L18" s="78">
        <f>($E$47*8)+($E$58*9)</f>
        <v>1005000</v>
      </c>
      <c r="M18" s="78">
        <f t="shared" ref="M18:O18" si="2">($E$47*8)+($E$58*9)</f>
        <v>1005000</v>
      </c>
      <c r="N18" s="78">
        <f t="shared" si="2"/>
        <v>1005000</v>
      </c>
      <c r="O18" s="78">
        <f t="shared" si="2"/>
        <v>1005000</v>
      </c>
      <c r="P18" s="78">
        <f>($E$47*8)+($E$58*6)</f>
        <v>750000</v>
      </c>
      <c r="Q18" s="78"/>
      <c r="R18" s="78"/>
      <c r="S18" s="78"/>
      <c r="T18" s="78"/>
      <c r="U18" s="125"/>
      <c r="V18" s="126"/>
    </row>
    <row r="19" spans="2:30" ht="15.75" customHeight="1" x14ac:dyDescent="0.2">
      <c r="B19" s="169" t="s">
        <v>133</v>
      </c>
      <c r="C19" s="124" t="s">
        <v>135</v>
      </c>
      <c r="D19" s="161"/>
      <c r="E19" s="110">
        <f>30000</f>
        <v>30000</v>
      </c>
      <c r="F19" s="111">
        <v>18</v>
      </c>
      <c r="G19" s="112">
        <f>F19*E19</f>
        <v>540000</v>
      </c>
      <c r="H19" s="314"/>
      <c r="I19" s="494"/>
      <c r="J19" s="105" t="s">
        <v>133</v>
      </c>
      <c r="K19" s="48"/>
      <c r="L19" s="48">
        <f>(E48*12)+G53</f>
        <v>860000</v>
      </c>
      <c r="M19" s="48">
        <f>(E48*12)</f>
        <v>360000</v>
      </c>
      <c r="N19" s="48"/>
      <c r="O19" s="48"/>
      <c r="P19" s="48"/>
      <c r="Q19" s="48"/>
      <c r="R19" s="48"/>
      <c r="S19" s="48"/>
      <c r="T19" s="48"/>
      <c r="U19" s="106"/>
      <c r="V19" s="107"/>
    </row>
    <row r="20" spans="2:30" ht="15.75" customHeight="1" x14ac:dyDescent="0.2">
      <c r="B20" s="300" t="s">
        <v>193</v>
      </c>
      <c r="C20" s="270" t="s">
        <v>219</v>
      </c>
      <c r="D20" s="161"/>
      <c r="E20" s="110">
        <v>1000000</v>
      </c>
      <c r="F20" s="270">
        <v>2</v>
      </c>
      <c r="G20" s="110">
        <f>F20*E20</f>
        <v>2000000</v>
      </c>
      <c r="H20" s="314"/>
      <c r="I20" s="494"/>
      <c r="J20" s="105" t="s">
        <v>124</v>
      </c>
      <c r="K20" s="48"/>
      <c r="L20" s="48">
        <f>($E$49*3)+$E$56+($E$57*3)</f>
        <v>336000</v>
      </c>
      <c r="M20" s="48">
        <f>($E$49*3)+$E$56+($E$57*3)</f>
        <v>336000</v>
      </c>
      <c r="N20" s="48">
        <f t="shared" ref="N20:P20" si="3">($E$49*3)+$E$56+($E$57*3)</f>
        <v>336000</v>
      </c>
      <c r="O20" s="48">
        <f t="shared" si="3"/>
        <v>336000</v>
      </c>
      <c r="P20" s="48">
        <f t="shared" si="3"/>
        <v>336000</v>
      </c>
      <c r="Q20" s="48"/>
      <c r="R20" s="48"/>
      <c r="S20" s="48"/>
      <c r="T20" s="48"/>
      <c r="U20" s="106"/>
      <c r="V20" s="107"/>
    </row>
    <row r="21" spans="2:30" ht="15.75" customHeight="1" x14ac:dyDescent="0.2">
      <c r="B21" s="450" t="s">
        <v>44</v>
      </c>
      <c r="C21" s="450"/>
      <c r="D21" s="450"/>
      <c r="E21" s="450"/>
      <c r="F21" s="450"/>
      <c r="G21" s="301">
        <f>SUM(G5:G20)</f>
        <v>5440000</v>
      </c>
      <c r="H21" s="314"/>
      <c r="I21" s="494"/>
      <c r="J21" s="313" t="s">
        <v>193</v>
      </c>
      <c r="K21" s="93"/>
      <c r="L21" s="93"/>
      <c r="M21" s="93">
        <v>1000000</v>
      </c>
      <c r="N21" s="93"/>
      <c r="O21" s="93">
        <v>1000000</v>
      </c>
      <c r="P21" s="93"/>
      <c r="Q21" s="93">
        <v>1000000</v>
      </c>
      <c r="R21" s="93"/>
      <c r="S21" s="93">
        <v>1000000</v>
      </c>
      <c r="T21" s="93">
        <v>1000000</v>
      </c>
      <c r="U21" s="118"/>
      <c r="V21" s="119"/>
    </row>
    <row r="22" spans="2:30" ht="15.75" customHeight="1" thickBot="1" x14ac:dyDescent="0.25">
      <c r="B22" s="486" t="s">
        <v>21</v>
      </c>
      <c r="C22" s="487"/>
      <c r="D22" s="487"/>
      <c r="E22" s="487"/>
      <c r="F22" s="487"/>
      <c r="G22" s="488"/>
      <c r="H22" s="314"/>
      <c r="I22" s="495"/>
      <c r="J22" s="178" t="s">
        <v>37</v>
      </c>
      <c r="K22" s="93"/>
      <c r="L22" s="93">
        <f>$E$59*3</f>
        <v>60000</v>
      </c>
      <c r="M22" s="93">
        <f t="shared" ref="M22" si="4">$E$59*3</f>
        <v>60000</v>
      </c>
      <c r="N22" s="93">
        <f>$E$59*2</f>
        <v>40000</v>
      </c>
      <c r="O22" s="93">
        <f>$E$59*2</f>
        <v>40000</v>
      </c>
      <c r="P22" s="93">
        <f>$E$59*2</f>
        <v>40000</v>
      </c>
      <c r="Q22" s="93"/>
      <c r="R22" s="93"/>
      <c r="S22" s="93"/>
      <c r="T22" s="93"/>
      <c r="U22" s="118"/>
      <c r="V22" s="119"/>
    </row>
    <row r="23" spans="2:30" ht="15.75" customHeight="1" x14ac:dyDescent="0.2">
      <c r="B23" s="164" t="s">
        <v>33</v>
      </c>
      <c r="C23" s="76" t="s">
        <v>32</v>
      </c>
      <c r="D23" s="76" t="s">
        <v>34</v>
      </c>
      <c r="E23" s="110">
        <v>130000</v>
      </c>
      <c r="F23" s="111">
        <v>1</v>
      </c>
      <c r="G23" s="112">
        <f>F23*E23</f>
        <v>130000</v>
      </c>
      <c r="H23" s="314"/>
      <c r="I23" s="493" t="s">
        <v>17</v>
      </c>
      <c r="J23" s="183" t="s">
        <v>168</v>
      </c>
      <c r="K23" s="55"/>
      <c r="L23" s="55"/>
      <c r="M23" s="55"/>
      <c r="N23" s="55"/>
      <c r="O23" s="55"/>
      <c r="P23" s="55"/>
      <c r="Q23" s="184">
        <f>G67+G77</f>
        <v>30690000</v>
      </c>
      <c r="R23" s="55"/>
      <c r="S23" s="55"/>
      <c r="T23" s="55"/>
      <c r="U23" s="103"/>
      <c r="V23" s="104"/>
    </row>
    <row r="24" spans="2:30" ht="15.75" customHeight="1" x14ac:dyDescent="0.2">
      <c r="B24" s="164" t="s">
        <v>63</v>
      </c>
      <c r="C24" s="76" t="s">
        <v>65</v>
      </c>
      <c r="D24" s="76" t="s">
        <v>66</v>
      </c>
      <c r="E24" s="110">
        <v>1500000</v>
      </c>
      <c r="F24" s="111">
        <v>3</v>
      </c>
      <c r="G24" s="112">
        <f>F24*E24</f>
        <v>4500000</v>
      </c>
      <c r="H24" s="314"/>
      <c r="I24" s="494"/>
      <c r="J24" s="315" t="s">
        <v>237</v>
      </c>
      <c r="K24" s="78"/>
      <c r="L24" s="78"/>
      <c r="M24" s="78"/>
      <c r="N24" s="78"/>
      <c r="O24" s="78"/>
      <c r="P24" s="78"/>
      <c r="Q24" s="316">
        <f>$E$66*2</f>
        <v>60000</v>
      </c>
      <c r="R24" s="78"/>
      <c r="S24" s="316">
        <f>$E$66*2</f>
        <v>60000</v>
      </c>
      <c r="T24" s="316">
        <f>$E$66*2</f>
        <v>60000</v>
      </c>
      <c r="U24" s="316">
        <f>$E$66*2</f>
        <v>60000</v>
      </c>
      <c r="V24" s="126"/>
    </row>
    <row r="25" spans="2:30" ht="15.75" customHeight="1" x14ac:dyDescent="0.2">
      <c r="B25" s="164" t="s">
        <v>58</v>
      </c>
      <c r="C25" s="76" t="s">
        <v>59</v>
      </c>
      <c r="D25" s="76" t="s">
        <v>58</v>
      </c>
      <c r="E25" s="110">
        <v>400000</v>
      </c>
      <c r="F25" s="111">
        <v>1</v>
      </c>
      <c r="G25" s="112">
        <f t="shared" ref="G25:G40" si="5">F25*E25</f>
        <v>400000</v>
      </c>
      <c r="H25" s="314"/>
      <c r="I25" s="494"/>
      <c r="J25" s="169" t="s">
        <v>238</v>
      </c>
      <c r="K25" s="48"/>
      <c r="L25" s="48"/>
      <c r="M25" s="48"/>
      <c r="N25" s="48"/>
      <c r="O25" s="48"/>
      <c r="P25" s="48"/>
      <c r="Q25" s="48">
        <f>($E$68*36*3)+($E$78*5)+($E$80*1.5)+G79</f>
        <v>3523000</v>
      </c>
      <c r="R25" s="48">
        <f t="shared" ref="R25:S25" si="6">($E$68*36*3)+($E$78*5)+($E$80*1.5)</f>
        <v>3423000</v>
      </c>
      <c r="S25" s="48">
        <f t="shared" si="6"/>
        <v>3423000</v>
      </c>
      <c r="T25" s="48">
        <f>(($E$68*36*3)+($E$78*5)+($E$80*1.5))*2</f>
        <v>6846000</v>
      </c>
      <c r="U25" s="48">
        <f>($E$68*36*15*3)+(E78*75)+(E80*22.5)</f>
        <v>51345000</v>
      </c>
      <c r="V25" s="187">
        <f>($E$68*36*3)+($E$78*5)+($E$80*1.5)</f>
        <v>3423000</v>
      </c>
    </row>
    <row r="26" spans="2:30" ht="15.75" customHeight="1" x14ac:dyDescent="0.2">
      <c r="B26" s="170" t="s">
        <v>14</v>
      </c>
      <c r="C26" s="128" t="s">
        <v>46</v>
      </c>
      <c r="D26" s="128" t="s">
        <v>45</v>
      </c>
      <c r="E26" s="129">
        <v>25000</v>
      </c>
      <c r="F26" s="130">
        <v>3</v>
      </c>
      <c r="G26" s="112">
        <f t="shared" si="5"/>
        <v>75000</v>
      </c>
      <c r="H26" s="314"/>
      <c r="I26" s="494"/>
      <c r="J26" s="123" t="s">
        <v>165</v>
      </c>
      <c r="K26" s="48"/>
      <c r="L26" s="48"/>
      <c r="M26" s="48"/>
      <c r="N26" s="48"/>
      <c r="O26" s="48"/>
      <c r="P26" s="48"/>
      <c r="Q26" s="182"/>
      <c r="R26" s="48"/>
      <c r="S26" s="48"/>
      <c r="T26" s="48"/>
      <c r="U26" s="106"/>
      <c r="V26" s="134">
        <f>G72</f>
        <v>5670000</v>
      </c>
    </row>
    <row r="27" spans="2:30" ht="15.75" customHeight="1" x14ac:dyDescent="0.2">
      <c r="B27" s="166" t="s">
        <v>18</v>
      </c>
      <c r="C27" s="131" t="s">
        <v>47</v>
      </c>
      <c r="D27" s="131" t="s">
        <v>45</v>
      </c>
      <c r="E27" s="132">
        <v>15000</v>
      </c>
      <c r="F27" s="133">
        <v>3</v>
      </c>
      <c r="G27" s="112">
        <f t="shared" si="5"/>
        <v>45000</v>
      </c>
      <c r="H27" s="314"/>
      <c r="I27" s="494"/>
      <c r="J27" s="108" t="s">
        <v>77</v>
      </c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106"/>
      <c r="V27" s="134">
        <f>G73</f>
        <v>6400000</v>
      </c>
    </row>
    <row r="28" spans="2:30" ht="15.75" customHeight="1" x14ac:dyDescent="0.2">
      <c r="B28" s="274" t="s">
        <v>142</v>
      </c>
      <c r="C28" s="130" t="s">
        <v>164</v>
      </c>
      <c r="D28" s="131" t="s">
        <v>45</v>
      </c>
      <c r="E28" s="132">
        <v>77000</v>
      </c>
      <c r="F28" s="133">
        <v>3</v>
      </c>
      <c r="G28" s="149">
        <f>F28*E28</f>
        <v>231000</v>
      </c>
      <c r="H28" s="314"/>
      <c r="I28" s="494"/>
      <c r="J28" s="318" t="s">
        <v>191</v>
      </c>
      <c r="K28" s="93"/>
      <c r="L28" s="93"/>
      <c r="M28" s="93"/>
      <c r="N28" s="93"/>
      <c r="O28" s="93"/>
      <c r="P28" s="93"/>
      <c r="Q28" s="93">
        <f>G81</f>
        <v>200000</v>
      </c>
      <c r="R28" s="93"/>
      <c r="S28" s="93"/>
      <c r="T28" s="93"/>
      <c r="U28" s="118"/>
      <c r="V28" s="317"/>
      <c r="Z28" s="162"/>
      <c r="AA28" s="162"/>
      <c r="AB28" s="162"/>
      <c r="AC28" s="162"/>
      <c r="AD28" s="162"/>
    </row>
    <row r="29" spans="2:30" ht="15.75" customHeight="1" thickBot="1" x14ac:dyDescent="0.25">
      <c r="B29" s="167" t="s">
        <v>30</v>
      </c>
      <c r="C29" s="131" t="s">
        <v>50</v>
      </c>
      <c r="D29" s="131" t="s">
        <v>48</v>
      </c>
      <c r="E29" s="132">
        <v>120000</v>
      </c>
      <c r="F29" s="133">
        <v>1</v>
      </c>
      <c r="G29" s="112">
        <f t="shared" si="5"/>
        <v>120000</v>
      </c>
      <c r="H29" s="314"/>
      <c r="I29" s="495"/>
      <c r="J29" s="188" t="s">
        <v>146</v>
      </c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121"/>
      <c r="V29" s="135">
        <f>G83</f>
        <v>1800000</v>
      </c>
      <c r="Z29" s="162"/>
      <c r="AA29" s="162"/>
      <c r="AB29" s="162"/>
      <c r="AC29" s="162"/>
      <c r="AD29" s="162"/>
    </row>
    <row r="30" spans="2:30" ht="15.75" customHeight="1" thickBot="1" x14ac:dyDescent="0.25">
      <c r="B30" s="167" t="s">
        <v>49</v>
      </c>
      <c r="C30" s="131" t="s">
        <v>51</v>
      </c>
      <c r="D30" s="131" t="s">
        <v>49</v>
      </c>
      <c r="E30" s="132">
        <v>70000</v>
      </c>
      <c r="F30" s="133">
        <v>1</v>
      </c>
      <c r="G30" s="112">
        <f t="shared" si="5"/>
        <v>70000</v>
      </c>
      <c r="H30" s="314"/>
      <c r="I30" s="136" t="s">
        <v>99</v>
      </c>
      <c r="J30" s="179" t="s">
        <v>100</v>
      </c>
      <c r="K30" s="180">
        <v>200000</v>
      </c>
      <c r="L30" s="180">
        <v>200000</v>
      </c>
      <c r="M30" s="180">
        <v>200000</v>
      </c>
      <c r="N30" s="180">
        <v>200000</v>
      </c>
      <c r="O30" s="180">
        <v>200000</v>
      </c>
      <c r="P30" s="180">
        <v>200000</v>
      </c>
      <c r="Q30" s="180">
        <v>200000</v>
      </c>
      <c r="R30" s="180">
        <v>200000</v>
      </c>
      <c r="S30" s="180">
        <v>200000</v>
      </c>
      <c r="T30" s="180">
        <v>400000</v>
      </c>
      <c r="U30" s="180">
        <f>200000*15</f>
        <v>3000000</v>
      </c>
      <c r="V30" s="181">
        <v>200000</v>
      </c>
      <c r="Z30" s="162"/>
      <c r="AA30" s="162"/>
      <c r="AB30" s="162"/>
      <c r="AC30" s="162"/>
      <c r="AD30" s="162"/>
    </row>
    <row r="31" spans="2:30" ht="15.75" customHeight="1" thickBot="1" x14ac:dyDescent="0.25">
      <c r="B31" s="167" t="s">
        <v>36</v>
      </c>
      <c r="C31" s="131" t="s">
        <v>54</v>
      </c>
      <c r="D31" s="131" t="s">
        <v>53</v>
      </c>
      <c r="E31" s="132">
        <v>12000</v>
      </c>
      <c r="F31" s="133">
        <v>20</v>
      </c>
      <c r="G31" s="112">
        <f>F31*E31</f>
        <v>240000</v>
      </c>
      <c r="H31" s="314"/>
      <c r="I31" s="489" t="s">
        <v>44</v>
      </c>
      <c r="J31" s="490"/>
      <c r="K31" s="137">
        <f t="shared" ref="K31:V31" si="7">SUM(K3:K30)</f>
        <v>18249500</v>
      </c>
      <c r="L31" s="137">
        <f t="shared" si="7"/>
        <v>2676000</v>
      </c>
      <c r="M31" s="137">
        <f t="shared" si="7"/>
        <v>3096000</v>
      </c>
      <c r="N31" s="137">
        <f t="shared" si="7"/>
        <v>1716000</v>
      </c>
      <c r="O31" s="137">
        <f t="shared" si="7"/>
        <v>2716000</v>
      </c>
      <c r="P31" s="137">
        <f t="shared" si="7"/>
        <v>1461000</v>
      </c>
      <c r="Q31" s="137">
        <f t="shared" si="7"/>
        <v>35673000</v>
      </c>
      <c r="R31" s="137">
        <f t="shared" si="7"/>
        <v>3623000</v>
      </c>
      <c r="S31" s="137">
        <f t="shared" si="7"/>
        <v>4683000</v>
      </c>
      <c r="T31" s="137">
        <f t="shared" si="7"/>
        <v>8306000</v>
      </c>
      <c r="U31" s="137">
        <f t="shared" si="7"/>
        <v>54405000</v>
      </c>
      <c r="V31" s="138">
        <f t="shared" si="7"/>
        <v>17493000</v>
      </c>
      <c r="Z31" s="162"/>
      <c r="AA31" s="162"/>
      <c r="AB31" s="162"/>
      <c r="AC31" s="162"/>
      <c r="AD31" s="162"/>
    </row>
    <row r="32" spans="2:30" ht="13.5" thickBot="1" x14ac:dyDescent="0.25">
      <c r="B32" s="166" t="s">
        <v>214</v>
      </c>
      <c r="C32" s="133" t="s">
        <v>216</v>
      </c>
      <c r="D32" s="133" t="s">
        <v>53</v>
      </c>
      <c r="E32" s="132">
        <v>40000</v>
      </c>
      <c r="F32" s="133">
        <v>6</v>
      </c>
      <c r="G32" s="112">
        <f>F32*E32</f>
        <v>240000</v>
      </c>
      <c r="H32" s="314"/>
      <c r="I32" s="491" t="s">
        <v>103</v>
      </c>
      <c r="J32" s="492"/>
      <c r="K32" s="340">
        <f>SUM(K31:V31)</f>
        <v>154097500</v>
      </c>
      <c r="L32" s="340"/>
      <c r="M32" s="340"/>
      <c r="N32" s="340"/>
      <c r="O32" s="340"/>
      <c r="P32" s="340"/>
      <c r="Q32" s="340"/>
      <c r="R32" s="340"/>
      <c r="S32" s="340"/>
      <c r="T32" s="340"/>
      <c r="U32" s="340"/>
      <c r="V32" s="341"/>
      <c r="Z32" s="162"/>
      <c r="AA32" s="162"/>
      <c r="AB32" s="162"/>
      <c r="AC32" s="162"/>
      <c r="AD32" s="162"/>
    </row>
    <row r="33" spans="2:30" ht="15.75" customHeight="1" x14ac:dyDescent="0.2">
      <c r="B33" s="166" t="s">
        <v>217</v>
      </c>
      <c r="C33" s="133" t="s">
        <v>218</v>
      </c>
      <c r="D33" s="133" t="s">
        <v>53</v>
      </c>
      <c r="E33" s="132">
        <v>400000</v>
      </c>
      <c r="F33" s="133">
        <v>1</v>
      </c>
      <c r="G33" s="112">
        <f>F33*E33</f>
        <v>400000</v>
      </c>
      <c r="H33" s="314"/>
      <c r="Z33" s="162"/>
      <c r="AA33" s="162"/>
      <c r="AB33" s="162"/>
      <c r="AC33" s="162"/>
      <c r="AD33" s="162"/>
    </row>
    <row r="34" spans="2:30" ht="15.75" customHeight="1" thickBot="1" x14ac:dyDescent="0.25">
      <c r="B34" s="167" t="s">
        <v>126</v>
      </c>
      <c r="C34" s="131" t="s">
        <v>52</v>
      </c>
      <c r="D34" s="131" t="s">
        <v>53</v>
      </c>
      <c r="E34" s="132">
        <v>85000</v>
      </c>
      <c r="F34" s="133">
        <v>4</v>
      </c>
      <c r="G34" s="112">
        <f t="shared" si="5"/>
        <v>340000</v>
      </c>
      <c r="H34" s="314"/>
      <c r="Z34" s="162"/>
      <c r="AA34" s="162"/>
      <c r="AB34" s="162"/>
      <c r="AC34" s="162"/>
      <c r="AD34" s="162"/>
    </row>
    <row r="35" spans="2:30" ht="15.75" customHeight="1" thickBot="1" x14ac:dyDescent="0.25">
      <c r="B35" s="168" t="s">
        <v>127</v>
      </c>
      <c r="C35" s="307" t="s">
        <v>52</v>
      </c>
      <c r="D35" s="307" t="s">
        <v>53</v>
      </c>
      <c r="E35" s="308">
        <v>85000</v>
      </c>
      <c r="F35" s="133">
        <v>1</v>
      </c>
      <c r="G35" s="112">
        <f t="shared" si="5"/>
        <v>85000</v>
      </c>
      <c r="H35" s="314"/>
      <c r="J35" s="478" t="s">
        <v>246</v>
      </c>
      <c r="K35" s="479"/>
      <c r="L35" s="479"/>
      <c r="M35" s="479"/>
      <c r="N35" s="479"/>
      <c r="O35" s="479"/>
      <c r="P35" s="479"/>
      <c r="Q35" s="479"/>
      <c r="R35" s="479"/>
      <c r="S35" s="479"/>
      <c r="T35" s="479"/>
      <c r="U35" s="479"/>
      <c r="V35" s="480"/>
      <c r="Z35" s="162"/>
      <c r="AA35" s="162"/>
      <c r="AB35" s="162"/>
      <c r="AC35" s="162"/>
      <c r="AD35" s="162"/>
    </row>
    <row r="36" spans="2:30" ht="15.75" customHeight="1" x14ac:dyDescent="0.2">
      <c r="B36" s="465" t="s">
        <v>15</v>
      </c>
      <c r="C36" s="272" t="s">
        <v>211</v>
      </c>
      <c r="D36" s="272" t="s">
        <v>196</v>
      </c>
      <c r="E36" s="158">
        <v>5000</v>
      </c>
      <c r="F36" s="305">
        <v>970</v>
      </c>
      <c r="G36" s="112">
        <f>F36*E36</f>
        <v>4850000</v>
      </c>
      <c r="H36" s="314"/>
      <c r="J36" s="141" t="s">
        <v>93</v>
      </c>
      <c r="K36" s="142" t="s">
        <v>107</v>
      </c>
      <c r="L36" s="142" t="s">
        <v>82</v>
      </c>
      <c r="M36" s="142" t="s">
        <v>83</v>
      </c>
      <c r="N36" s="142" t="s">
        <v>84</v>
      </c>
      <c r="O36" s="142" t="s">
        <v>85</v>
      </c>
      <c r="P36" s="142" t="s">
        <v>86</v>
      </c>
      <c r="Q36" s="142" t="s">
        <v>87</v>
      </c>
      <c r="R36" s="142" t="s">
        <v>88</v>
      </c>
      <c r="S36" s="142" t="s">
        <v>89</v>
      </c>
      <c r="T36" s="142" t="s">
        <v>130</v>
      </c>
      <c r="U36" s="142" t="s">
        <v>131</v>
      </c>
      <c r="V36" s="143" t="s">
        <v>132</v>
      </c>
      <c r="Z36" s="162"/>
      <c r="AA36" s="162"/>
      <c r="AB36" s="162"/>
      <c r="AC36" s="162"/>
      <c r="AD36" s="162"/>
    </row>
    <row r="37" spans="2:30" ht="15.75" customHeight="1" x14ac:dyDescent="0.2">
      <c r="B37" s="465"/>
      <c r="C37" s="271" t="s">
        <v>55</v>
      </c>
      <c r="D37" s="271" t="s">
        <v>81</v>
      </c>
      <c r="E37" s="158">
        <v>300</v>
      </c>
      <c r="F37" s="305">
        <v>729</v>
      </c>
      <c r="G37" s="112">
        <f t="shared" si="5"/>
        <v>218700</v>
      </c>
      <c r="H37" s="314"/>
      <c r="J37" s="207" t="s">
        <v>182</v>
      </c>
      <c r="K37" s="321"/>
      <c r="L37" s="144">
        <f>126*28*4000</f>
        <v>14112000</v>
      </c>
      <c r="M37" s="144">
        <f t="shared" ref="M37:V37" si="8">126*28*4000</f>
        <v>14112000</v>
      </c>
      <c r="N37" s="144">
        <f t="shared" si="8"/>
        <v>14112000</v>
      </c>
      <c r="O37" s="144">
        <f t="shared" si="8"/>
        <v>14112000</v>
      </c>
      <c r="P37" s="144">
        <f t="shared" si="8"/>
        <v>14112000</v>
      </c>
      <c r="Q37" s="144">
        <f t="shared" si="8"/>
        <v>14112000</v>
      </c>
      <c r="R37" s="144">
        <f t="shared" si="8"/>
        <v>14112000</v>
      </c>
      <c r="S37" s="144">
        <f t="shared" si="8"/>
        <v>14112000</v>
      </c>
      <c r="T37" s="144">
        <f t="shared" si="8"/>
        <v>14112000</v>
      </c>
      <c r="U37" s="144">
        <f t="shared" si="8"/>
        <v>14112000</v>
      </c>
      <c r="V37" s="196">
        <f t="shared" si="8"/>
        <v>14112000</v>
      </c>
      <c r="Z37" s="162"/>
      <c r="AA37" s="162"/>
      <c r="AB37" s="162"/>
      <c r="AC37" s="162"/>
      <c r="AD37" s="162"/>
    </row>
    <row r="38" spans="2:30" ht="15.75" customHeight="1" x14ac:dyDescent="0.2">
      <c r="B38" s="465"/>
      <c r="C38" s="271" t="s">
        <v>56</v>
      </c>
      <c r="D38" s="271" t="s">
        <v>81</v>
      </c>
      <c r="E38" s="158">
        <v>100</v>
      </c>
      <c r="F38" s="305">
        <v>3648</v>
      </c>
      <c r="G38" s="112">
        <f t="shared" si="5"/>
        <v>364800</v>
      </c>
      <c r="H38" s="314"/>
      <c r="J38" s="320" t="s">
        <v>128</v>
      </c>
      <c r="K38" s="321"/>
      <c r="L38" s="321"/>
      <c r="M38" s="321"/>
      <c r="N38" s="321"/>
      <c r="O38" s="321"/>
      <c r="P38" s="321"/>
      <c r="Q38" s="48">
        <f>504*5000</f>
        <v>2520000</v>
      </c>
      <c r="R38" s="48">
        <f>756*5000</f>
        <v>3780000</v>
      </c>
      <c r="S38" s="48">
        <f>1134*5000</f>
        <v>5670000</v>
      </c>
      <c r="T38" s="48">
        <f>1386*2*5000</f>
        <v>13860000</v>
      </c>
      <c r="U38" s="48">
        <f>1890*15*5000</f>
        <v>141750000</v>
      </c>
      <c r="V38" s="197">
        <f>1890*5000</f>
        <v>9450000</v>
      </c>
      <c r="Z38" s="162"/>
      <c r="AA38" s="162"/>
      <c r="AB38" s="162"/>
      <c r="AC38" s="162"/>
      <c r="AD38" s="162"/>
    </row>
    <row r="39" spans="2:30" ht="15.75" customHeight="1" thickBot="1" x14ac:dyDescent="0.25">
      <c r="B39" s="477" t="s">
        <v>37</v>
      </c>
      <c r="C39" s="271" t="s">
        <v>39</v>
      </c>
      <c r="D39" s="271" t="s">
        <v>38</v>
      </c>
      <c r="E39" s="110">
        <v>20000</v>
      </c>
      <c r="F39" s="306">
        <v>5</v>
      </c>
      <c r="G39" s="112">
        <f t="shared" si="5"/>
        <v>100000</v>
      </c>
      <c r="H39" s="314"/>
      <c r="J39" s="198" t="s">
        <v>129</v>
      </c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199">
        <f>60000*238</f>
        <v>14280000</v>
      </c>
      <c r="Z39" s="162"/>
      <c r="AA39" s="162"/>
      <c r="AB39" s="162"/>
      <c r="AC39" s="162"/>
      <c r="AD39" s="162"/>
    </row>
    <row r="40" spans="2:30" ht="15.75" customHeight="1" thickBot="1" x14ac:dyDescent="0.25">
      <c r="B40" s="477"/>
      <c r="C40" s="272" t="s">
        <v>212</v>
      </c>
      <c r="D40" s="272" t="s">
        <v>38</v>
      </c>
      <c r="E40" s="110">
        <v>200000</v>
      </c>
      <c r="F40" s="302">
        <v>1</v>
      </c>
      <c r="G40" s="303">
        <f t="shared" si="5"/>
        <v>200000</v>
      </c>
      <c r="H40" s="314"/>
      <c r="J40" s="87" t="s">
        <v>44</v>
      </c>
      <c r="K40" s="194"/>
      <c r="L40" s="194">
        <f t="shared" ref="L40:T40" si="9">SUM(L37:L38)</f>
        <v>14112000</v>
      </c>
      <c r="M40" s="194">
        <f t="shared" si="9"/>
        <v>14112000</v>
      </c>
      <c r="N40" s="194">
        <f t="shared" si="9"/>
        <v>14112000</v>
      </c>
      <c r="O40" s="194">
        <f t="shared" si="9"/>
        <v>14112000</v>
      </c>
      <c r="P40" s="194">
        <f t="shared" si="9"/>
        <v>14112000</v>
      </c>
      <c r="Q40" s="194">
        <f t="shared" si="9"/>
        <v>16632000</v>
      </c>
      <c r="R40" s="194">
        <f t="shared" si="9"/>
        <v>17892000</v>
      </c>
      <c r="S40" s="194">
        <f t="shared" si="9"/>
        <v>19782000</v>
      </c>
      <c r="T40" s="194">
        <f t="shared" si="9"/>
        <v>27972000</v>
      </c>
      <c r="U40" s="194">
        <f>SUM(U37:U38)</f>
        <v>155862000</v>
      </c>
      <c r="V40" s="195">
        <f>SUM(V37:V39)</f>
        <v>37842000</v>
      </c>
      <c r="Z40" s="162"/>
      <c r="AA40" s="162"/>
      <c r="AB40" s="162"/>
      <c r="AC40" s="162"/>
      <c r="AD40" s="162"/>
    </row>
    <row r="41" spans="2:30" ht="15.75" customHeight="1" thickBot="1" x14ac:dyDescent="0.25">
      <c r="B41" s="469" t="s">
        <v>44</v>
      </c>
      <c r="C41" s="470"/>
      <c r="D41" s="470"/>
      <c r="E41" s="470"/>
      <c r="F41" s="471"/>
      <c r="G41" s="139">
        <f>SUM(G23:G40)</f>
        <v>12609500</v>
      </c>
      <c r="J41" s="91" t="s">
        <v>152</v>
      </c>
      <c r="K41" s="466">
        <f>SUM(K40:V40)</f>
        <v>346542000</v>
      </c>
      <c r="L41" s="467"/>
      <c r="M41" s="467"/>
      <c r="N41" s="467"/>
      <c r="O41" s="467"/>
      <c r="P41" s="467"/>
      <c r="Q41" s="467"/>
      <c r="R41" s="467"/>
      <c r="S41" s="467"/>
      <c r="T41" s="467"/>
      <c r="U41" s="467"/>
      <c r="V41" s="468"/>
      <c r="Z41" s="162"/>
      <c r="AA41" s="162"/>
      <c r="AB41" s="162"/>
      <c r="AC41" s="162"/>
      <c r="AD41" s="162"/>
    </row>
    <row r="42" spans="2:30" ht="15.75" customHeight="1" thickBot="1" x14ac:dyDescent="0.25">
      <c r="B42" s="472" t="s">
        <v>153</v>
      </c>
      <c r="C42" s="473"/>
      <c r="D42" s="473"/>
      <c r="E42" s="473"/>
      <c r="F42" s="473"/>
      <c r="G42" s="140">
        <f>G41+G21</f>
        <v>18049500</v>
      </c>
      <c r="U42" s="145"/>
      <c r="Z42" s="162"/>
      <c r="AA42" s="162"/>
      <c r="AB42" s="162"/>
      <c r="AC42" s="162"/>
      <c r="AD42" s="162"/>
    </row>
    <row r="43" spans="2:30" ht="13.5" thickBot="1" x14ac:dyDescent="0.25">
      <c r="B43" s="474" t="s">
        <v>108</v>
      </c>
      <c r="C43" s="475"/>
      <c r="D43" s="475"/>
      <c r="E43" s="475"/>
      <c r="F43" s="475"/>
      <c r="G43" s="476"/>
      <c r="Z43" s="162"/>
      <c r="AA43" s="162"/>
      <c r="AB43" s="162"/>
      <c r="AC43" s="162"/>
      <c r="AD43" s="162"/>
    </row>
    <row r="44" spans="2:30" ht="13.5" thickBot="1" x14ac:dyDescent="0.25">
      <c r="B44" s="99" t="s">
        <v>0</v>
      </c>
      <c r="C44" s="100" t="s">
        <v>1</v>
      </c>
      <c r="D44" s="100" t="s">
        <v>2</v>
      </c>
      <c r="E44" s="100" t="s">
        <v>3</v>
      </c>
      <c r="F44" s="100" t="s">
        <v>4</v>
      </c>
      <c r="G44" s="101" t="s">
        <v>5</v>
      </c>
      <c r="Z44" s="162"/>
      <c r="AA44" s="162"/>
      <c r="AB44" s="162"/>
      <c r="AC44" s="162"/>
      <c r="AD44" s="162"/>
    </row>
    <row r="45" spans="2:30" ht="12.75" x14ac:dyDescent="0.2">
      <c r="B45" s="422" t="s">
        <v>7</v>
      </c>
      <c r="C45" s="423"/>
      <c r="D45" s="423"/>
      <c r="E45" s="423"/>
      <c r="F45" s="423"/>
      <c r="G45" s="424"/>
      <c r="Z45" s="162"/>
      <c r="AA45" s="162"/>
      <c r="AB45" s="162"/>
      <c r="AC45" s="162"/>
      <c r="AD45" s="162"/>
    </row>
    <row r="46" spans="2:30" ht="12.75" x14ac:dyDescent="0.2">
      <c r="B46" s="164" t="s">
        <v>137</v>
      </c>
      <c r="C46" s="76" t="s">
        <v>70</v>
      </c>
      <c r="D46" s="428" t="s">
        <v>42</v>
      </c>
      <c r="E46" s="110">
        <v>30000</v>
      </c>
      <c r="F46" s="111">
        <v>10</v>
      </c>
      <c r="G46" s="112">
        <f>F46*E46</f>
        <v>300000</v>
      </c>
      <c r="H46" s="314"/>
    </row>
    <row r="47" spans="2:30" ht="12.75" x14ac:dyDescent="0.2">
      <c r="B47" s="164" t="s">
        <v>136</v>
      </c>
      <c r="C47" s="272" t="s">
        <v>222</v>
      </c>
      <c r="D47" s="429"/>
      <c r="E47" s="110">
        <v>30000</v>
      </c>
      <c r="F47" s="111">
        <v>40</v>
      </c>
      <c r="G47" s="112">
        <f t="shared" ref="G47:G48" si="10">F47*E47</f>
        <v>1200000</v>
      </c>
      <c r="H47" s="314"/>
    </row>
    <row r="48" spans="2:30" ht="12.75" x14ac:dyDescent="0.2">
      <c r="B48" s="164" t="s">
        <v>133</v>
      </c>
      <c r="C48" s="76" t="s">
        <v>141</v>
      </c>
      <c r="D48" s="429"/>
      <c r="E48" s="110">
        <v>30000</v>
      </c>
      <c r="F48" s="111">
        <v>24</v>
      </c>
      <c r="G48" s="112">
        <f t="shared" si="10"/>
        <v>720000</v>
      </c>
      <c r="H48" s="314"/>
    </row>
    <row r="49" spans="2:8" ht="12.75" x14ac:dyDescent="0.2">
      <c r="B49" s="164" t="s">
        <v>124</v>
      </c>
      <c r="C49" s="111" t="s">
        <v>223</v>
      </c>
      <c r="D49" s="430"/>
      <c r="E49" s="110">
        <v>30000</v>
      </c>
      <c r="F49" s="111">
        <v>15</v>
      </c>
      <c r="G49" s="146">
        <f>F49*E49</f>
        <v>450000</v>
      </c>
      <c r="H49" s="314"/>
    </row>
    <row r="50" spans="2:8" ht="12.75" x14ac:dyDescent="0.2">
      <c r="B50" s="290" t="s">
        <v>201</v>
      </c>
      <c r="C50" s="290" t="s">
        <v>236</v>
      </c>
      <c r="D50" s="272" t="s">
        <v>195</v>
      </c>
      <c r="E50" s="9">
        <v>1000000</v>
      </c>
      <c r="F50" s="290">
        <v>5</v>
      </c>
      <c r="G50" s="9">
        <f>F50*E50</f>
        <v>5000000</v>
      </c>
      <c r="H50" s="314"/>
    </row>
    <row r="51" spans="2:8" ht="12.75" x14ac:dyDescent="0.2">
      <c r="B51" s="431" t="s">
        <v>44</v>
      </c>
      <c r="C51" s="394"/>
      <c r="D51" s="394"/>
      <c r="E51" s="394"/>
      <c r="F51" s="394"/>
      <c r="G51" s="127">
        <f>SUM(G46:G50)</f>
        <v>7670000</v>
      </c>
      <c r="H51" s="314"/>
    </row>
    <row r="52" spans="2:8" ht="12.75" x14ac:dyDescent="0.2">
      <c r="B52" s="432" t="s">
        <v>12</v>
      </c>
      <c r="C52" s="433"/>
      <c r="D52" s="433"/>
      <c r="E52" s="433"/>
      <c r="F52" s="433"/>
      <c r="G52" s="434"/>
      <c r="H52" s="314"/>
    </row>
    <row r="53" spans="2:8" ht="12.75" x14ac:dyDescent="0.2">
      <c r="B53" s="167" t="s">
        <v>60</v>
      </c>
      <c r="C53" s="131" t="s">
        <v>61</v>
      </c>
      <c r="D53" s="131" t="s">
        <v>60</v>
      </c>
      <c r="E53" s="132">
        <v>500000</v>
      </c>
      <c r="F53" s="133">
        <v>1</v>
      </c>
      <c r="G53" s="147">
        <f>E53*F53</f>
        <v>500000</v>
      </c>
      <c r="H53" s="314"/>
    </row>
    <row r="54" spans="2:8" ht="12.75" x14ac:dyDescent="0.2">
      <c r="B54" s="165" t="s">
        <v>139</v>
      </c>
      <c r="C54" s="128" t="s">
        <v>59</v>
      </c>
      <c r="D54" s="131" t="s">
        <v>140</v>
      </c>
      <c r="E54" s="132">
        <v>80000</v>
      </c>
      <c r="F54" s="116">
        <v>1</v>
      </c>
      <c r="G54" s="148">
        <f>F54*E54</f>
        <v>80000</v>
      </c>
      <c r="H54" s="314"/>
    </row>
    <row r="55" spans="2:8" ht="12.75" x14ac:dyDescent="0.2">
      <c r="B55" s="170" t="s">
        <v>14</v>
      </c>
      <c r="C55" s="128" t="s">
        <v>138</v>
      </c>
      <c r="D55" s="131" t="s">
        <v>45</v>
      </c>
      <c r="E55" s="132">
        <v>25000</v>
      </c>
      <c r="F55" s="116">
        <v>15</v>
      </c>
      <c r="G55" s="148">
        <f>F55*E55</f>
        <v>375000</v>
      </c>
      <c r="H55" s="314"/>
    </row>
    <row r="56" spans="2:8" ht="12.75" x14ac:dyDescent="0.2">
      <c r="B56" s="170" t="s">
        <v>18</v>
      </c>
      <c r="C56" s="133" t="s">
        <v>163</v>
      </c>
      <c r="D56" s="131" t="s">
        <v>45</v>
      </c>
      <c r="E56" s="132">
        <v>15000</v>
      </c>
      <c r="F56" s="133">
        <v>5</v>
      </c>
      <c r="G56" s="112">
        <f t="shared" ref="G56" si="11">F56*E56</f>
        <v>75000</v>
      </c>
      <c r="H56" s="314"/>
    </row>
    <row r="57" spans="2:8" ht="12.75" x14ac:dyDescent="0.2">
      <c r="B57" s="170" t="s">
        <v>142</v>
      </c>
      <c r="C57" s="130" t="s">
        <v>164</v>
      </c>
      <c r="D57" s="131" t="s">
        <v>45</v>
      </c>
      <c r="E57" s="132">
        <v>77000</v>
      </c>
      <c r="F57" s="133">
        <v>15</v>
      </c>
      <c r="G57" s="149">
        <f>F57*E57</f>
        <v>1155000</v>
      </c>
      <c r="H57" s="314"/>
    </row>
    <row r="58" spans="2:8" ht="12.75" x14ac:dyDescent="0.2">
      <c r="B58" s="167" t="s">
        <v>126</v>
      </c>
      <c r="C58" s="133" t="s">
        <v>235</v>
      </c>
      <c r="D58" s="131" t="s">
        <v>53</v>
      </c>
      <c r="E58" s="132">
        <v>85000</v>
      </c>
      <c r="F58" s="133">
        <v>42</v>
      </c>
      <c r="G58" s="112">
        <f>F58*E58</f>
        <v>3570000</v>
      </c>
      <c r="H58" s="314"/>
    </row>
    <row r="59" spans="2:8" ht="12.75" x14ac:dyDescent="0.2">
      <c r="B59" s="167" t="s">
        <v>37</v>
      </c>
      <c r="C59" s="131" t="s">
        <v>39</v>
      </c>
      <c r="D59" s="131" t="s">
        <v>75</v>
      </c>
      <c r="E59" s="132">
        <v>20000</v>
      </c>
      <c r="F59" s="133">
        <v>12</v>
      </c>
      <c r="G59" s="112">
        <f t="shared" ref="G59" si="12">F59*E59</f>
        <v>240000</v>
      </c>
      <c r="H59" s="314"/>
    </row>
    <row r="60" spans="2:8" ht="12.75" x14ac:dyDescent="0.2">
      <c r="B60" s="425" t="s">
        <v>44</v>
      </c>
      <c r="C60" s="426"/>
      <c r="D60" s="426"/>
      <c r="E60" s="426"/>
      <c r="F60" s="427"/>
      <c r="G60" s="150">
        <f>SUM(G53:G59)</f>
        <v>5995000</v>
      </c>
      <c r="H60" s="314"/>
    </row>
    <row r="61" spans="2:8" ht="13.5" thickBot="1" x14ac:dyDescent="0.25">
      <c r="B61" s="447" t="s">
        <v>154</v>
      </c>
      <c r="C61" s="448"/>
      <c r="D61" s="448"/>
      <c r="E61" s="448"/>
      <c r="F61" s="449"/>
      <c r="G61" s="151">
        <f>SUM(G51,G60)</f>
        <v>13665000</v>
      </c>
      <c r="H61" s="314"/>
    </row>
    <row r="62" spans="2:8" ht="13.5" thickBot="1" x14ac:dyDescent="0.25">
      <c r="B62" s="444" t="s">
        <v>167</v>
      </c>
      <c r="C62" s="445"/>
      <c r="D62" s="445"/>
      <c r="E62" s="445"/>
      <c r="F62" s="445"/>
      <c r="G62" s="446"/>
    </row>
    <row r="63" spans="2:8" ht="12.75" x14ac:dyDescent="0.2">
      <c r="B63" s="152" t="s">
        <v>0</v>
      </c>
      <c r="C63" s="153" t="s">
        <v>1</v>
      </c>
      <c r="D63" s="153" t="s">
        <v>2</v>
      </c>
      <c r="E63" s="153" t="s">
        <v>3</v>
      </c>
      <c r="F63" s="153" t="s">
        <v>4</v>
      </c>
      <c r="G63" s="154" t="s">
        <v>5</v>
      </c>
    </row>
    <row r="64" spans="2:8" ht="12.75" x14ac:dyDescent="0.2">
      <c r="B64" s="457" t="s">
        <v>7</v>
      </c>
      <c r="C64" s="356"/>
      <c r="D64" s="356"/>
      <c r="E64" s="356"/>
      <c r="F64" s="356"/>
      <c r="G64" s="458"/>
    </row>
    <row r="65" spans="2:9" ht="12.75" x14ac:dyDescent="0.2">
      <c r="B65" s="431" t="s">
        <v>128</v>
      </c>
      <c r="C65" s="450"/>
      <c r="D65" s="450"/>
      <c r="E65" s="450"/>
      <c r="F65" s="450"/>
      <c r="G65" s="451"/>
      <c r="H65" s="314"/>
    </row>
    <row r="66" spans="2:9" ht="12.75" x14ac:dyDescent="0.2">
      <c r="B66" s="123" t="s">
        <v>226</v>
      </c>
      <c r="C66" s="272" t="s">
        <v>227</v>
      </c>
      <c r="D66" s="462" t="s">
        <v>42</v>
      </c>
      <c r="E66" s="110">
        <v>30000</v>
      </c>
      <c r="F66" s="272">
        <f>2*4</f>
        <v>8</v>
      </c>
      <c r="G66" s="148">
        <f>F66*E66</f>
        <v>240000</v>
      </c>
      <c r="H66" s="314"/>
    </row>
    <row r="67" spans="2:9" ht="12.75" x14ac:dyDescent="0.2">
      <c r="B67" s="169" t="s">
        <v>168</v>
      </c>
      <c r="C67" s="111" t="s">
        <v>169</v>
      </c>
      <c r="D67" s="463"/>
      <c r="E67" s="158">
        <v>30000</v>
      </c>
      <c r="F67" s="76">
        <v>15</v>
      </c>
      <c r="G67" s="173">
        <f>F67*E67</f>
        <v>450000</v>
      </c>
      <c r="H67" s="314"/>
    </row>
    <row r="68" spans="2:9" ht="12.75" x14ac:dyDescent="0.2">
      <c r="B68" s="169" t="s">
        <v>228</v>
      </c>
      <c r="C68" s="111" t="s">
        <v>172</v>
      </c>
      <c r="D68" s="463"/>
      <c r="E68" s="158">
        <v>30000</v>
      </c>
      <c r="F68" s="76">
        <f>36*1*21</f>
        <v>756</v>
      </c>
      <c r="G68" s="173">
        <f t="shared" ref="G68" si="13">F68*E68</f>
        <v>22680000</v>
      </c>
      <c r="H68" s="314"/>
    </row>
    <row r="69" spans="2:9" ht="12.75" x14ac:dyDescent="0.2">
      <c r="B69" s="172" t="s">
        <v>224</v>
      </c>
      <c r="C69" s="309" t="s">
        <v>172</v>
      </c>
      <c r="D69" s="463"/>
      <c r="E69" s="158">
        <v>30000</v>
      </c>
      <c r="F69" s="271">
        <f>36*1*21</f>
        <v>756</v>
      </c>
      <c r="G69" s="310">
        <f>F69*E69</f>
        <v>22680000</v>
      </c>
      <c r="H69" s="314"/>
    </row>
    <row r="70" spans="2:9" ht="12.75" x14ac:dyDescent="0.2">
      <c r="B70" s="172" t="s">
        <v>225</v>
      </c>
      <c r="C70" s="309" t="s">
        <v>172</v>
      </c>
      <c r="D70" s="464"/>
      <c r="E70" s="158">
        <v>30000</v>
      </c>
      <c r="F70" s="271">
        <f>36*1*21</f>
        <v>756</v>
      </c>
      <c r="G70" s="310">
        <f>E70*F70</f>
        <v>22680000</v>
      </c>
      <c r="H70" s="314"/>
    </row>
    <row r="71" spans="2:9" ht="12.75" x14ac:dyDescent="0.2">
      <c r="B71" s="452" t="s">
        <v>143</v>
      </c>
      <c r="C71" s="453"/>
      <c r="D71" s="453"/>
      <c r="E71" s="453"/>
      <c r="F71" s="453"/>
      <c r="G71" s="454"/>
      <c r="H71" s="314"/>
    </row>
    <row r="72" spans="2:9" ht="12.75" x14ac:dyDescent="0.2">
      <c r="B72" s="164" t="s">
        <v>144</v>
      </c>
      <c r="C72" s="76" t="s">
        <v>145</v>
      </c>
      <c r="D72" s="76" t="s">
        <v>42</v>
      </c>
      <c r="E72" s="158">
        <v>30000</v>
      </c>
      <c r="F72" s="111">
        <f>63*3</f>
        <v>189</v>
      </c>
      <c r="G72" s="148">
        <f>F72*E72</f>
        <v>5670000</v>
      </c>
      <c r="H72" s="314"/>
    </row>
    <row r="73" spans="2:9" ht="12.75" x14ac:dyDescent="0.2">
      <c r="B73" s="171" t="s">
        <v>77</v>
      </c>
      <c r="C73" s="79" t="s">
        <v>78</v>
      </c>
      <c r="D73" s="156" t="s">
        <v>200</v>
      </c>
      <c r="E73" s="155">
        <v>400000</v>
      </c>
      <c r="F73" s="156">
        <v>16</v>
      </c>
      <c r="G73" s="157">
        <f>E73*F73</f>
        <v>6400000</v>
      </c>
      <c r="H73" s="314"/>
    </row>
    <row r="74" spans="2:9" ht="12.75" x14ac:dyDescent="0.2">
      <c r="B74" s="431" t="s">
        <v>44</v>
      </c>
      <c r="C74" s="450"/>
      <c r="D74" s="450"/>
      <c r="E74" s="450"/>
      <c r="F74" s="450"/>
      <c r="G74" s="175">
        <f>SUM(G66:G70,G72:G73)</f>
        <v>80800000</v>
      </c>
      <c r="H74" s="314"/>
    </row>
    <row r="75" spans="2:9" ht="12.75" x14ac:dyDescent="0.2">
      <c r="B75" s="459" t="s">
        <v>12</v>
      </c>
      <c r="C75" s="460"/>
      <c r="D75" s="460"/>
      <c r="E75" s="460"/>
      <c r="F75" s="460"/>
      <c r="G75" s="461"/>
      <c r="H75" s="314"/>
    </row>
    <row r="76" spans="2:9" ht="12.75" x14ac:dyDescent="0.2">
      <c r="B76" s="431" t="s">
        <v>128</v>
      </c>
      <c r="C76" s="450"/>
      <c r="D76" s="450"/>
      <c r="E76" s="450"/>
      <c r="F76" s="450"/>
      <c r="G76" s="451"/>
      <c r="H76" s="314"/>
      <c r="I76" s="163"/>
    </row>
    <row r="77" spans="2:9" ht="12.75" x14ac:dyDescent="0.2">
      <c r="B77" s="172" t="s">
        <v>173</v>
      </c>
      <c r="C77" s="272" t="s">
        <v>229</v>
      </c>
      <c r="D77" s="111" t="s">
        <v>166</v>
      </c>
      <c r="E77" s="158">
        <v>40000</v>
      </c>
      <c r="F77" s="76">
        <v>756</v>
      </c>
      <c r="G77" s="159">
        <f>E77*F77</f>
        <v>30240000</v>
      </c>
      <c r="H77" s="314"/>
      <c r="I77" s="163"/>
    </row>
    <row r="78" spans="2:9" ht="15.75" customHeight="1" x14ac:dyDescent="0.2">
      <c r="B78" s="164" t="s">
        <v>147</v>
      </c>
      <c r="C78" s="111" t="s">
        <v>170</v>
      </c>
      <c r="D78" s="76" t="s">
        <v>148</v>
      </c>
      <c r="E78" s="110">
        <v>13500</v>
      </c>
      <c r="F78" s="111">
        <f>5*21</f>
        <v>105</v>
      </c>
      <c r="G78" s="148">
        <f>F78*E78</f>
        <v>1417500</v>
      </c>
      <c r="H78" s="314"/>
      <c r="I78" s="163"/>
    </row>
    <row r="79" spans="2:9" ht="15.75" customHeight="1" x14ac:dyDescent="0.2">
      <c r="B79" s="169" t="s">
        <v>230</v>
      </c>
      <c r="C79" s="272" t="s">
        <v>231</v>
      </c>
      <c r="D79" s="272" t="s">
        <v>232</v>
      </c>
      <c r="E79" s="110">
        <v>50000</v>
      </c>
      <c r="F79" s="272">
        <v>2</v>
      </c>
      <c r="G79" s="148">
        <f>F79*E79</f>
        <v>100000</v>
      </c>
      <c r="H79" s="314"/>
      <c r="I79" s="163"/>
    </row>
    <row r="80" spans="2:9" ht="15.75" customHeight="1" x14ac:dyDescent="0.2">
      <c r="B80" s="164" t="s">
        <v>142</v>
      </c>
      <c r="C80" s="111" t="s">
        <v>171</v>
      </c>
      <c r="D80" s="76" t="s">
        <v>45</v>
      </c>
      <c r="E80" s="110">
        <v>77000</v>
      </c>
      <c r="F80" s="111">
        <f>1.5*21</f>
        <v>31.5</v>
      </c>
      <c r="G80" s="148">
        <f>F80*E80</f>
        <v>2425500</v>
      </c>
    </row>
    <row r="81" spans="2:7" ht="15.75" customHeight="1" x14ac:dyDescent="0.2">
      <c r="B81" s="172" t="s">
        <v>233</v>
      </c>
      <c r="C81" s="309" t="s">
        <v>39</v>
      </c>
      <c r="D81" s="309" t="s">
        <v>38</v>
      </c>
      <c r="E81" s="311">
        <v>20000</v>
      </c>
      <c r="F81" s="309">
        <v>10</v>
      </c>
      <c r="G81" s="312">
        <f>E81*F81</f>
        <v>200000</v>
      </c>
    </row>
    <row r="82" spans="2:7" ht="15.75" customHeight="1" x14ac:dyDescent="0.2">
      <c r="B82" s="452" t="s">
        <v>143</v>
      </c>
      <c r="C82" s="453"/>
      <c r="D82" s="453"/>
      <c r="E82" s="453"/>
      <c r="F82" s="453"/>
      <c r="G82" s="454"/>
    </row>
    <row r="83" spans="2:7" ht="15.75" customHeight="1" x14ac:dyDescent="0.2">
      <c r="B83" s="164" t="s">
        <v>146</v>
      </c>
      <c r="C83" s="76" t="s">
        <v>76</v>
      </c>
      <c r="D83" s="76" t="s">
        <v>75</v>
      </c>
      <c r="E83" s="110">
        <v>150000</v>
      </c>
      <c r="F83" s="111">
        <v>12</v>
      </c>
      <c r="G83" s="148">
        <f t="shared" ref="G83" si="14">E83*F83</f>
        <v>1800000</v>
      </c>
    </row>
    <row r="84" spans="2:7" ht="15.75" customHeight="1" x14ac:dyDescent="0.2">
      <c r="B84" s="455" t="s">
        <v>44</v>
      </c>
      <c r="C84" s="456"/>
      <c r="D84" s="456"/>
      <c r="E84" s="456"/>
      <c r="F84" s="456"/>
      <c r="G84" s="174">
        <f>SUM(G83,G77,G79,G81,G78,G80)</f>
        <v>36183000</v>
      </c>
    </row>
    <row r="85" spans="2:7" ht="15.75" customHeight="1" thickBot="1" x14ac:dyDescent="0.25">
      <c r="B85" s="435" t="s">
        <v>155</v>
      </c>
      <c r="C85" s="436"/>
      <c r="D85" s="436"/>
      <c r="E85" s="436"/>
      <c r="F85" s="437"/>
      <c r="G85" s="176">
        <f>SUM(G74,G84)</f>
        <v>116983000</v>
      </c>
    </row>
    <row r="86" spans="2:7" ht="15.75" customHeight="1" thickBot="1" x14ac:dyDescent="0.25">
      <c r="B86" s="438" t="s">
        <v>156</v>
      </c>
      <c r="C86" s="439"/>
      <c r="D86" s="439"/>
      <c r="E86" s="439"/>
      <c r="F86" s="440"/>
      <c r="G86" s="160">
        <f>200000*27</f>
        <v>5400000</v>
      </c>
    </row>
    <row r="87" spans="2:7" ht="15.75" customHeight="1" thickBot="1" x14ac:dyDescent="0.25">
      <c r="B87" s="441" t="s">
        <v>157</v>
      </c>
      <c r="C87" s="442"/>
      <c r="D87" s="442"/>
      <c r="E87" s="442"/>
      <c r="F87" s="443"/>
      <c r="G87" s="177">
        <f>G85+G61+G42+G86</f>
        <v>154097500</v>
      </c>
    </row>
  </sheetData>
  <mergeCells count="38">
    <mergeCell ref="J35:V35"/>
    <mergeCell ref="B1:G1"/>
    <mergeCell ref="I1:V1"/>
    <mergeCell ref="B2:G2"/>
    <mergeCell ref="B4:G4"/>
    <mergeCell ref="B21:F21"/>
    <mergeCell ref="B22:G22"/>
    <mergeCell ref="I31:J31"/>
    <mergeCell ref="K32:V32"/>
    <mergeCell ref="I32:J32"/>
    <mergeCell ref="I3:I16"/>
    <mergeCell ref="I17:I22"/>
    <mergeCell ref="I23:I29"/>
    <mergeCell ref="B36:B38"/>
    <mergeCell ref="K41:V41"/>
    <mergeCell ref="B41:F41"/>
    <mergeCell ref="B42:F42"/>
    <mergeCell ref="B43:G43"/>
    <mergeCell ref="B39:B40"/>
    <mergeCell ref="B85:F85"/>
    <mergeCell ref="B86:F86"/>
    <mergeCell ref="B87:F87"/>
    <mergeCell ref="B62:G62"/>
    <mergeCell ref="B61:F61"/>
    <mergeCell ref="B76:G76"/>
    <mergeCell ref="B82:G82"/>
    <mergeCell ref="B84:F84"/>
    <mergeCell ref="B64:G64"/>
    <mergeCell ref="B75:G75"/>
    <mergeCell ref="B65:G65"/>
    <mergeCell ref="B71:G71"/>
    <mergeCell ref="B74:F74"/>
    <mergeCell ref="D66:D70"/>
    <mergeCell ref="B45:G45"/>
    <mergeCell ref="B60:F60"/>
    <mergeCell ref="D46:D49"/>
    <mergeCell ref="B51:F51"/>
    <mergeCell ref="B52:G5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22"/>
  <sheetViews>
    <sheetView zoomScale="67" zoomScaleNormal="53" workbookViewId="0">
      <selection activeCell="B21" sqref="B21"/>
    </sheetView>
  </sheetViews>
  <sheetFormatPr baseColWidth="10" defaultRowHeight="12.75" x14ac:dyDescent="0.2"/>
  <cols>
    <col min="1" max="1" width="23.5703125" style="203" customWidth="1"/>
    <col min="2" max="2" width="17.140625" style="203" bestFit="1" customWidth="1"/>
    <col min="3" max="3" width="15.5703125" style="203" bestFit="1" customWidth="1"/>
    <col min="4" max="4" width="15.85546875" style="203" bestFit="1" customWidth="1"/>
    <col min="5" max="5" width="15.28515625" style="203" bestFit="1" customWidth="1"/>
    <col min="6" max="6" width="15.140625" style="203" bestFit="1" customWidth="1"/>
    <col min="7" max="8" width="15.28515625" style="203" bestFit="1" customWidth="1"/>
    <col min="9" max="9" width="15.140625" style="203" bestFit="1" customWidth="1"/>
    <col min="10" max="10" width="16.28515625" style="203" bestFit="1" customWidth="1"/>
    <col min="11" max="11" width="15.5703125" style="203" bestFit="1" customWidth="1"/>
    <col min="12" max="12" width="15.28515625" style="203" bestFit="1" customWidth="1"/>
    <col min="13" max="13" width="14.85546875" style="203" bestFit="1" customWidth="1"/>
    <col min="14" max="14" width="15.140625" style="203" bestFit="1" customWidth="1"/>
    <col min="15" max="15" width="20.42578125" style="203" bestFit="1" customWidth="1"/>
    <col min="16" max="16" width="19.140625" style="203" bestFit="1" customWidth="1"/>
    <col min="17" max="16384" width="11.42578125" style="203"/>
  </cols>
  <sheetData>
    <row r="1" spans="1:16" ht="13.5" thickBot="1" x14ac:dyDescent="0.25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6" ht="13.5" thickBot="1" x14ac:dyDescent="0.25">
      <c r="A2" s="496" t="s">
        <v>190</v>
      </c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8"/>
    </row>
    <row r="3" spans="1:16" ht="13.5" thickBot="1" x14ac:dyDescent="0.25">
      <c r="A3" s="208" t="s">
        <v>183</v>
      </c>
      <c r="B3" s="53">
        <v>0</v>
      </c>
      <c r="C3" s="53">
        <v>1</v>
      </c>
      <c r="D3" s="53">
        <v>2</v>
      </c>
      <c r="E3" s="53">
        <v>3</v>
      </c>
      <c r="F3" s="53">
        <v>4</v>
      </c>
      <c r="G3" s="53">
        <v>5</v>
      </c>
      <c r="H3" s="53">
        <v>6</v>
      </c>
      <c r="I3" s="53">
        <v>7</v>
      </c>
      <c r="J3" s="53">
        <v>8</v>
      </c>
      <c r="K3" s="53">
        <v>9</v>
      </c>
      <c r="L3" s="53">
        <v>10</v>
      </c>
      <c r="M3" s="53">
        <v>11</v>
      </c>
      <c r="N3" s="53">
        <v>12</v>
      </c>
      <c r="O3" s="54">
        <v>13</v>
      </c>
    </row>
    <row r="4" spans="1:16" x14ac:dyDescent="0.2">
      <c r="A4" s="261" t="s">
        <v>177</v>
      </c>
      <c r="B4" s="257">
        <f>'Modelo 3'!K40</f>
        <v>0</v>
      </c>
      <c r="C4" s="254">
        <f>'Modelo 3'!L40</f>
        <v>14112000</v>
      </c>
      <c r="D4" s="254">
        <f>'Modelo 3'!M40</f>
        <v>14112000</v>
      </c>
      <c r="E4" s="254">
        <f>'Modelo 3'!N40</f>
        <v>14112000</v>
      </c>
      <c r="F4" s="254">
        <f>'Modelo 3'!O40</f>
        <v>14112000</v>
      </c>
      <c r="G4" s="254">
        <f>'Modelo 3'!P40</f>
        <v>14112000</v>
      </c>
      <c r="H4" s="254">
        <f>'Modelo 3'!Q40</f>
        <v>16632000</v>
      </c>
      <c r="I4" s="254">
        <f>'Modelo 3'!R40</f>
        <v>17892000</v>
      </c>
      <c r="J4" s="254">
        <f>'Modelo 3'!S40</f>
        <v>19782000</v>
      </c>
      <c r="K4" s="254">
        <f>(126*57*4000)+(1386*5000)</f>
        <v>35658000</v>
      </c>
      <c r="L4" s="254">
        <f>(126*57*4000)+(1386*5000)</f>
        <v>35658000</v>
      </c>
      <c r="M4" s="254">
        <f>(126*57*4000)+(1890*5000)</f>
        <v>38178000</v>
      </c>
      <c r="N4" s="254">
        <f t="shared" ref="B4:O10" si="0">(126*57*4000)+(1890*5000)</f>
        <v>38178000</v>
      </c>
      <c r="O4" s="256">
        <f t="shared" si="0"/>
        <v>38178000</v>
      </c>
    </row>
    <row r="5" spans="1:16" ht="32.25" customHeight="1" x14ac:dyDescent="0.2">
      <c r="A5" s="262" t="s">
        <v>178</v>
      </c>
      <c r="B5" s="258">
        <f t="shared" ref="B5:N5" si="1">B4/((1+$B$19)^B3)</f>
        <v>0</v>
      </c>
      <c r="C5" s="206">
        <f t="shared" si="1"/>
        <v>12271304.347826088</v>
      </c>
      <c r="D5" s="206">
        <f t="shared" si="1"/>
        <v>10670699.432892252</v>
      </c>
      <c r="E5" s="206">
        <f t="shared" si="1"/>
        <v>9278869.0720802192</v>
      </c>
      <c r="F5" s="206">
        <f t="shared" si="1"/>
        <v>8068581.8018088872</v>
      </c>
      <c r="G5" s="206">
        <f t="shared" si="1"/>
        <v>7016158.0885294667</v>
      </c>
      <c r="H5" s="206">
        <f t="shared" si="1"/>
        <v>7190472.5752010066</v>
      </c>
      <c r="I5" s="206">
        <f t="shared" si="1"/>
        <v>6726265.5183039736</v>
      </c>
      <c r="J5" s="206">
        <f t="shared" si="1"/>
        <v>6466770.8902248871</v>
      </c>
      <c r="K5" s="206">
        <f t="shared" si="1"/>
        <v>10136229.088527516</v>
      </c>
      <c r="L5" s="206">
        <f t="shared" si="1"/>
        <v>8814112.2508934923</v>
      </c>
      <c r="M5" s="206">
        <f t="shared" si="1"/>
        <v>8206102.356800518</v>
      </c>
      <c r="N5" s="206">
        <f t="shared" si="1"/>
        <v>7135741.179826539</v>
      </c>
      <c r="O5" s="237">
        <f>O4/((1+$B$19)^O3)</f>
        <v>6204992.3302839464</v>
      </c>
    </row>
    <row r="6" spans="1:16" x14ac:dyDescent="0.2">
      <c r="A6" s="262" t="s">
        <v>179</v>
      </c>
      <c r="B6" s="259">
        <f>'Modelo 3'!K31</f>
        <v>18249500</v>
      </c>
      <c r="C6" s="205">
        <f>'Modelo 3'!L31</f>
        <v>2676000</v>
      </c>
      <c r="D6" s="205">
        <f>'Modelo 3'!M31</f>
        <v>3096000</v>
      </c>
      <c r="E6" s="205">
        <f>'Modelo 3'!N31</f>
        <v>1716000</v>
      </c>
      <c r="F6" s="205">
        <f>'Modelo 3'!O31</f>
        <v>2716000</v>
      </c>
      <c r="G6" s="205">
        <f>'Modelo 3'!P31</f>
        <v>1461000</v>
      </c>
      <c r="H6" s="205">
        <f>'Modelo 3'!Q31</f>
        <v>35673000</v>
      </c>
      <c r="I6" s="205">
        <f>'Modelo 3'!R31</f>
        <v>3623000</v>
      </c>
      <c r="J6" s="205">
        <f>'Modelo 3'!S31</f>
        <v>4683000</v>
      </c>
      <c r="K6" s="205">
        <f>'Modelo 3'!$S$31</f>
        <v>4683000</v>
      </c>
      <c r="L6" s="205">
        <f>'Modelo 3'!$S$31</f>
        <v>4683000</v>
      </c>
      <c r="M6" s="205">
        <f>'Modelo 3'!$S$31</f>
        <v>4683000</v>
      </c>
      <c r="N6" s="205">
        <f>'Modelo 3'!$S$31</f>
        <v>4683000</v>
      </c>
      <c r="O6" s="213">
        <f>'Modelo 3'!$S$31</f>
        <v>4683000</v>
      </c>
    </row>
    <row r="7" spans="1:16" ht="28.5" customHeight="1" x14ac:dyDescent="0.2">
      <c r="A7" s="262" t="s">
        <v>180</v>
      </c>
      <c r="B7" s="260">
        <f>(B6/((1+$B$19)^B3))</f>
        <v>18249500</v>
      </c>
      <c r="C7" s="204">
        <f t="shared" ref="C7:N7" si="2">(C6/((1+$B$19)^C3))</f>
        <v>2326956.5217391308</v>
      </c>
      <c r="D7" s="204">
        <f t="shared" si="2"/>
        <v>2341020.7939508511</v>
      </c>
      <c r="E7" s="204">
        <f t="shared" si="2"/>
        <v>1128297.854853292</v>
      </c>
      <c r="F7" s="204">
        <f t="shared" si="2"/>
        <v>1552881.8150306786</v>
      </c>
      <c r="G7" s="204">
        <f t="shared" si="2"/>
        <v>726375.21027080156</v>
      </c>
      <c r="H7" s="204">
        <f t="shared" si="2"/>
        <v>15422422.328952953</v>
      </c>
      <c r="I7" s="204">
        <f t="shared" si="2"/>
        <v>1362019.8956413646</v>
      </c>
      <c r="J7" s="204">
        <f t="shared" si="2"/>
        <v>1530881.0069216026</v>
      </c>
      <c r="K7" s="204">
        <f t="shared" si="2"/>
        <v>1331200.8755840024</v>
      </c>
      <c r="L7" s="204">
        <f t="shared" si="2"/>
        <v>1157565.9787686979</v>
      </c>
      <c r="M7" s="204">
        <f t="shared" si="2"/>
        <v>1006579.1119727808</v>
      </c>
      <c r="N7" s="204">
        <f t="shared" si="2"/>
        <v>875286.18432415742</v>
      </c>
      <c r="O7" s="238">
        <f>(O6/((1+$B$19)^O3))</f>
        <v>761118.42115144117</v>
      </c>
    </row>
    <row r="8" spans="1:16" ht="18" customHeight="1" thickBot="1" x14ac:dyDescent="0.25">
      <c r="A8" s="265" t="s">
        <v>181</v>
      </c>
      <c r="B8" s="266">
        <f>B4-B6</f>
        <v>-18249500</v>
      </c>
      <c r="C8" s="249">
        <f t="shared" ref="C8:N8" si="3">C4-C6</f>
        <v>11436000</v>
      </c>
      <c r="D8" s="249">
        <f t="shared" si="3"/>
        <v>11016000</v>
      </c>
      <c r="E8" s="249">
        <f t="shared" si="3"/>
        <v>12396000</v>
      </c>
      <c r="F8" s="249">
        <f t="shared" si="3"/>
        <v>11396000</v>
      </c>
      <c r="G8" s="249">
        <f t="shared" si="3"/>
        <v>12651000</v>
      </c>
      <c r="H8" s="249">
        <f t="shared" si="3"/>
        <v>-19041000</v>
      </c>
      <c r="I8" s="249">
        <f t="shared" si="3"/>
        <v>14269000</v>
      </c>
      <c r="J8" s="249">
        <f t="shared" si="3"/>
        <v>15099000</v>
      </c>
      <c r="K8" s="249">
        <f t="shared" si="3"/>
        <v>30975000</v>
      </c>
      <c r="L8" s="249">
        <f t="shared" si="3"/>
        <v>30975000</v>
      </c>
      <c r="M8" s="249">
        <f t="shared" si="3"/>
        <v>33495000</v>
      </c>
      <c r="N8" s="249">
        <f t="shared" si="3"/>
        <v>33495000</v>
      </c>
      <c r="O8" s="250">
        <f>O4-O6</f>
        <v>33495000</v>
      </c>
    </row>
    <row r="9" spans="1:16" ht="18" customHeight="1" thickBot="1" x14ac:dyDescent="0.25">
      <c r="A9" s="264" t="s">
        <v>183</v>
      </c>
      <c r="B9" s="267">
        <v>14</v>
      </c>
      <c r="C9" s="53">
        <v>15</v>
      </c>
      <c r="D9" s="53">
        <v>16</v>
      </c>
      <c r="E9" s="53">
        <v>17</v>
      </c>
      <c r="F9" s="53">
        <v>18</v>
      </c>
      <c r="G9" s="53">
        <v>19</v>
      </c>
      <c r="H9" s="53">
        <v>20</v>
      </c>
      <c r="I9" s="53">
        <v>21</v>
      </c>
      <c r="J9" s="53">
        <v>22</v>
      </c>
      <c r="K9" s="53">
        <v>23</v>
      </c>
      <c r="L9" s="53">
        <v>24</v>
      </c>
      <c r="M9" s="53">
        <v>25</v>
      </c>
      <c r="N9" s="53">
        <v>26</v>
      </c>
      <c r="O9" s="186" t="s">
        <v>117</v>
      </c>
    </row>
    <row r="10" spans="1:16" ht="18" customHeight="1" x14ac:dyDescent="0.2">
      <c r="A10" s="261" t="s">
        <v>177</v>
      </c>
      <c r="B10" s="325">
        <f t="shared" si="0"/>
        <v>38178000</v>
      </c>
      <c r="C10" s="220">
        <f t="shared" si="0"/>
        <v>38178000</v>
      </c>
      <c r="D10" s="220">
        <f t="shared" si="0"/>
        <v>38178000</v>
      </c>
      <c r="E10" s="220">
        <f t="shared" si="0"/>
        <v>38178000</v>
      </c>
      <c r="F10" s="220">
        <f t="shared" si="0"/>
        <v>38178000</v>
      </c>
      <c r="G10" s="220">
        <f t="shared" si="0"/>
        <v>38178000</v>
      </c>
      <c r="H10" s="220">
        <f t="shared" si="0"/>
        <v>38178000</v>
      </c>
      <c r="I10" s="220">
        <f t="shared" si="0"/>
        <v>38178000</v>
      </c>
      <c r="J10" s="220">
        <f t="shared" si="0"/>
        <v>38178000</v>
      </c>
      <c r="K10" s="220">
        <f t="shared" si="0"/>
        <v>38178000</v>
      </c>
      <c r="L10" s="220">
        <f t="shared" si="0"/>
        <v>38178000</v>
      </c>
      <c r="M10" s="220">
        <f t="shared" si="0"/>
        <v>38178000</v>
      </c>
      <c r="N10" s="324">
        <f>'Modelo 3'!V40</f>
        <v>37842000</v>
      </c>
      <c r="O10" s="210">
        <f>SUM(B4:O4,B10:N10)</f>
        <v>806694000</v>
      </c>
    </row>
    <row r="11" spans="1:16" ht="33.75" customHeight="1" x14ac:dyDescent="0.2">
      <c r="A11" s="262" t="s">
        <v>178</v>
      </c>
      <c r="B11" s="326">
        <f t="shared" ref="B11:N11" si="4">B10/((1+$B$19)^B9)</f>
        <v>5395645.5045947358</v>
      </c>
      <c r="C11" s="206">
        <f t="shared" si="4"/>
        <v>4691865.6561693372</v>
      </c>
      <c r="D11" s="206">
        <f t="shared" si="4"/>
        <v>4079883.179277685</v>
      </c>
      <c r="E11" s="206">
        <f t="shared" si="4"/>
        <v>3547724.5037197261</v>
      </c>
      <c r="F11" s="206">
        <f t="shared" si="4"/>
        <v>3084977.8293215018</v>
      </c>
      <c r="G11" s="206">
        <f t="shared" si="4"/>
        <v>2682589.416801306</v>
      </c>
      <c r="H11" s="206">
        <f t="shared" si="4"/>
        <v>2332686.4493924403</v>
      </c>
      <c r="I11" s="206">
        <f t="shared" si="4"/>
        <v>2028422.999471687</v>
      </c>
      <c r="J11" s="206">
        <f t="shared" si="4"/>
        <v>1763846.0864971192</v>
      </c>
      <c r="K11" s="206">
        <f t="shared" si="4"/>
        <v>1533779.2056496693</v>
      </c>
      <c r="L11" s="206">
        <f t="shared" si="4"/>
        <v>1333721.0483910169</v>
      </c>
      <c r="M11" s="206">
        <f t="shared" si="4"/>
        <v>1159757.433383493</v>
      </c>
      <c r="N11" s="206">
        <f t="shared" si="4"/>
        <v>999609.1715487896</v>
      </c>
      <c r="O11" s="330">
        <f>NPV($B$19,$C$4:$O$4,$B$10:$N$10)+$B$4</f>
        <v>142820807.41741729</v>
      </c>
      <c r="P11" s="319"/>
    </row>
    <row r="12" spans="1:16" ht="18" customHeight="1" x14ac:dyDescent="0.2">
      <c r="A12" s="262" t="s">
        <v>179</v>
      </c>
      <c r="B12" s="327">
        <f>'Modelo 3'!$S$31</f>
        <v>4683000</v>
      </c>
      <c r="C12" s="205">
        <f>'Modelo 3'!$S$31</f>
        <v>4683000</v>
      </c>
      <c r="D12" s="205">
        <f>'Modelo 3'!$S$31</f>
        <v>4683000</v>
      </c>
      <c r="E12" s="205">
        <f>'Modelo 3'!$S$31</f>
        <v>4683000</v>
      </c>
      <c r="F12" s="205">
        <f>'Modelo 3'!$S$31</f>
        <v>4683000</v>
      </c>
      <c r="G12" s="205">
        <f>'Modelo 3'!$S$31</f>
        <v>4683000</v>
      </c>
      <c r="H12" s="205">
        <f>'Modelo 3'!$S$31</f>
        <v>4683000</v>
      </c>
      <c r="I12" s="205">
        <f>'Modelo 3'!$S$31</f>
        <v>4683000</v>
      </c>
      <c r="J12" s="205">
        <f>'Modelo 3'!$S$31</f>
        <v>4683000</v>
      </c>
      <c r="K12" s="205">
        <f>'Modelo 3'!$S$31</f>
        <v>4683000</v>
      </c>
      <c r="L12" s="205">
        <f>'Modelo 3'!$S$31</f>
        <v>4683000</v>
      </c>
      <c r="M12" s="205">
        <f>'Modelo 3'!$S$31</f>
        <v>4683000</v>
      </c>
      <c r="N12" s="205">
        <f>'Modelo 3'!V31</f>
        <v>17493000</v>
      </c>
      <c r="O12" s="213">
        <f>SUM(B6:O6,B12:N12)</f>
        <v>170997500</v>
      </c>
    </row>
    <row r="13" spans="1:16" ht="26.25" customHeight="1" x14ac:dyDescent="0.2">
      <c r="A13" s="262" t="s">
        <v>180</v>
      </c>
      <c r="B13" s="328">
        <f>(B12/((1+$B$19)^B9))</f>
        <v>661842.10534907924</v>
      </c>
      <c r="C13" s="204">
        <f>(C12/((1+$B$19)^C9))</f>
        <v>575514.87421659078</v>
      </c>
      <c r="D13" s="204">
        <f>(D12/((1+$B$19)^D9))</f>
        <v>500447.71671007905</v>
      </c>
      <c r="E13" s="204">
        <f>(E12/((1+$B$19)^E9))</f>
        <v>435171.92757398181</v>
      </c>
      <c r="F13" s="204">
        <f t="shared" ref="F13:N13" si="5">(F12/((1+$B$19)^F9))</f>
        <v>378410.37180346251</v>
      </c>
      <c r="G13" s="204">
        <f t="shared" si="5"/>
        <v>329052.49722040218</v>
      </c>
      <c r="H13" s="204">
        <f t="shared" si="5"/>
        <v>286132.60627861065</v>
      </c>
      <c r="I13" s="204">
        <f t="shared" si="5"/>
        <v>248810.96198140056</v>
      </c>
      <c r="J13" s="204">
        <f t="shared" si="5"/>
        <v>216357.35824469614</v>
      </c>
      <c r="K13" s="204">
        <f t="shared" si="5"/>
        <v>188136.83325625755</v>
      </c>
      <c r="L13" s="204">
        <f t="shared" si="5"/>
        <v>163597.24630978919</v>
      </c>
      <c r="M13" s="204">
        <f t="shared" si="5"/>
        <v>142258.47505199062</v>
      </c>
      <c r="N13" s="204">
        <f t="shared" si="5"/>
        <v>462083.48496123293</v>
      </c>
      <c r="O13" s="330">
        <f>NPV($B$19,$C$6:$O$6,$B$12:$N$12)+$B$6</f>
        <v>54359922.458119333</v>
      </c>
      <c r="P13" s="323"/>
    </row>
    <row r="14" spans="1:16" ht="18" customHeight="1" thickBot="1" x14ac:dyDescent="0.25">
      <c r="A14" s="263" t="s">
        <v>181</v>
      </c>
      <c r="B14" s="329">
        <f t="shared" ref="B14:N14" si="6">B10-B12</f>
        <v>33495000</v>
      </c>
      <c r="C14" s="215">
        <f t="shared" si="6"/>
        <v>33495000</v>
      </c>
      <c r="D14" s="215">
        <f t="shared" si="6"/>
        <v>33495000</v>
      </c>
      <c r="E14" s="215">
        <f t="shared" si="6"/>
        <v>33495000</v>
      </c>
      <c r="F14" s="215">
        <f t="shared" si="6"/>
        <v>33495000</v>
      </c>
      <c r="G14" s="215">
        <f t="shared" si="6"/>
        <v>33495000</v>
      </c>
      <c r="H14" s="215">
        <f t="shared" si="6"/>
        <v>33495000</v>
      </c>
      <c r="I14" s="215">
        <f t="shared" si="6"/>
        <v>33495000</v>
      </c>
      <c r="J14" s="215">
        <f t="shared" si="6"/>
        <v>33495000</v>
      </c>
      <c r="K14" s="215">
        <f t="shared" si="6"/>
        <v>33495000</v>
      </c>
      <c r="L14" s="215">
        <f t="shared" si="6"/>
        <v>33495000</v>
      </c>
      <c r="M14" s="215">
        <f t="shared" si="6"/>
        <v>33495000</v>
      </c>
      <c r="N14" s="215">
        <f t="shared" si="6"/>
        <v>20349000</v>
      </c>
      <c r="O14" s="216">
        <f>SUM(B8:O8,B14:N14)</f>
        <v>635696500</v>
      </c>
    </row>
    <row r="15" spans="1:16" ht="18" customHeight="1" x14ac:dyDescent="0.2">
      <c r="A15" s="229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</row>
    <row r="16" spans="1:16" ht="18" customHeight="1" x14ac:dyDescent="0.2">
      <c r="A16" s="229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</row>
    <row r="17" spans="1:8" ht="13.5" thickBot="1" x14ac:dyDescent="0.25"/>
    <row r="18" spans="1:8" ht="15" x14ac:dyDescent="0.2">
      <c r="A18" s="217" t="s">
        <v>175</v>
      </c>
      <c r="B18" s="217" t="s">
        <v>176</v>
      </c>
      <c r="D18" s="396" t="s">
        <v>245</v>
      </c>
      <c r="E18" s="397"/>
      <c r="F18" s="397"/>
      <c r="G18" s="397"/>
      <c r="H18" s="398"/>
    </row>
    <row r="19" spans="1:8" ht="15" x14ac:dyDescent="0.2">
      <c r="A19" s="218" t="s">
        <v>185</v>
      </c>
      <c r="B19" s="219">
        <v>0.15</v>
      </c>
      <c r="D19" s="399"/>
      <c r="E19" s="400"/>
      <c r="F19" s="400"/>
      <c r="G19" s="400"/>
      <c r="H19" s="401"/>
    </row>
    <row r="20" spans="1:8" ht="49.5" customHeight="1" x14ac:dyDescent="0.2">
      <c r="A20" s="221" t="s">
        <v>186</v>
      </c>
      <c r="B20" s="223">
        <f>(O11/(O13)-1)</f>
        <v>1.6273180858094696</v>
      </c>
      <c r="D20" s="399"/>
      <c r="E20" s="400"/>
      <c r="F20" s="400"/>
      <c r="G20" s="400"/>
      <c r="H20" s="401"/>
    </row>
    <row r="21" spans="1:8" ht="34.5" customHeight="1" x14ac:dyDescent="0.2">
      <c r="A21" s="268" t="s">
        <v>187</v>
      </c>
      <c r="B21" s="228">
        <f>NPV(B19,C8:O8,B14:N14)+B8</f>
        <v>88460884.959297955</v>
      </c>
      <c r="D21" s="399"/>
      <c r="E21" s="400"/>
      <c r="F21" s="400"/>
      <c r="G21" s="400"/>
      <c r="H21" s="401"/>
    </row>
    <row r="22" spans="1:8" ht="27" customHeight="1" thickBot="1" x14ac:dyDescent="0.25">
      <c r="A22" s="221" t="s">
        <v>184</v>
      </c>
      <c r="B22" s="201">
        <f>IRR(B8:O8,B14:N14)</f>
        <v>0.60122257922270772</v>
      </c>
      <c r="D22" s="402"/>
      <c r="E22" s="403"/>
      <c r="F22" s="403"/>
      <c r="G22" s="403"/>
      <c r="H22" s="404"/>
    </row>
  </sheetData>
  <mergeCells count="2">
    <mergeCell ref="D18:H22"/>
    <mergeCell ref="A2:O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38123-F0DC-43F8-8311-E518A4A90D7D}">
  <dimension ref="B2:E6"/>
  <sheetViews>
    <sheetView workbookViewId="0">
      <selection activeCell="E5" sqref="E5"/>
    </sheetView>
  </sheetViews>
  <sheetFormatPr baseColWidth="10" defaultRowHeight="12.75" x14ac:dyDescent="0.2"/>
  <cols>
    <col min="2" max="2" width="14.140625" bestFit="1" customWidth="1"/>
    <col min="3" max="4" width="15.140625" bestFit="1" customWidth="1"/>
    <col min="5" max="5" width="15.85546875" bestFit="1" customWidth="1"/>
  </cols>
  <sheetData>
    <row r="2" spans="2:5" ht="15" x14ac:dyDescent="0.2">
      <c r="B2" s="217" t="s">
        <v>244</v>
      </c>
      <c r="C2" s="217" t="s">
        <v>241</v>
      </c>
      <c r="D2" s="217" t="s">
        <v>242</v>
      </c>
      <c r="E2" s="217" t="s">
        <v>243</v>
      </c>
    </row>
    <row r="3" spans="2:5" ht="15" x14ac:dyDescent="0.2">
      <c r="B3" s="218" t="s">
        <v>185</v>
      </c>
      <c r="C3" s="331">
        <f>'Flujo de Caja Modelo 1'!C24</f>
        <v>0.1</v>
      </c>
      <c r="D3" s="331">
        <f>'Flujo de Caja Modelo 2'!C24</f>
        <v>0.12</v>
      </c>
      <c r="E3" s="331">
        <f>'Flujo de Caja Modelo 3'!B19</f>
        <v>0.15</v>
      </c>
    </row>
    <row r="4" spans="2:5" ht="45" x14ac:dyDescent="0.2">
      <c r="B4" s="221" t="s">
        <v>186</v>
      </c>
      <c r="C4" s="332">
        <f>'Flujo de Caja Modelo 1'!C25</f>
        <v>1.1354932946093665</v>
      </c>
      <c r="D4" s="332">
        <f>'Flujo de Caja Modelo 2'!C25</f>
        <v>1.5418915352982472</v>
      </c>
      <c r="E4" s="332">
        <f>'Flujo de Caja Modelo 3'!B20</f>
        <v>1.6273180858094696</v>
      </c>
    </row>
    <row r="5" spans="2:5" ht="15" x14ac:dyDescent="0.2">
      <c r="B5" s="218" t="s">
        <v>187</v>
      </c>
      <c r="C5" s="332">
        <f>'Flujo de Caja Modelo 1'!C26</f>
        <v>26230258.915471494</v>
      </c>
      <c r="D5" s="332">
        <f>'Flujo de Caja Modelo 2'!C26</f>
        <v>36954256.544772096</v>
      </c>
      <c r="E5" s="334">
        <f>'Flujo de Caja Modelo 3'!B21</f>
        <v>88460884.959297955</v>
      </c>
    </row>
    <row r="6" spans="2:5" ht="15" x14ac:dyDescent="0.2">
      <c r="B6" s="221" t="s">
        <v>184</v>
      </c>
      <c r="C6" s="333">
        <f>'Flujo de Caja Modelo 1'!C27</f>
        <v>0.1910356629735237</v>
      </c>
      <c r="D6" s="331">
        <f>'Flujo de Caja Modelo 2'!C27</f>
        <v>0.30574720379345388</v>
      </c>
      <c r="E6" s="331">
        <f>'Flujo de Caja Modelo 3'!B22</f>
        <v>0.60122257922270772</v>
      </c>
    </row>
  </sheetData>
  <phoneticPr fontId="19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Modelo 1</vt:lpstr>
      <vt:lpstr>Flujo de Caja Modelo 1</vt:lpstr>
      <vt:lpstr>Modelo 2</vt:lpstr>
      <vt:lpstr>Flujo de Caja Modelo 2</vt:lpstr>
      <vt:lpstr>Modelo 3</vt:lpstr>
      <vt:lpstr>Flujo de Caja Modelo 3</vt:lpstr>
      <vt:lpstr>RESUMEN PROPUESTAS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modified xsi:type="dcterms:W3CDTF">2019-07-10T01:39:00Z</dcterms:modified>
</cp:coreProperties>
</file>