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OneDrive\PROYECTO DE GRADO INGENIERIA\PROYECTO\"/>
    </mc:Choice>
  </mc:AlternateContent>
  <bookViews>
    <workbookView xWindow="0" yWindow="0" windowWidth="20490" windowHeight="6750" tabRatio="888" activeTab="2"/>
  </bookViews>
  <sheets>
    <sheet name="LISTA GENERAL DE CHEQUEO" sheetId="1" r:id="rId1"/>
    <sheet name="espectro" sheetId="22" r:id="rId2"/>
    <sheet name="Irregularidades" sheetId="27" r:id="rId3"/>
    <sheet name="Columnas" sheetId="4" r:id="rId4"/>
    <sheet name="Vigas" sheetId="11" r:id="rId5"/>
    <sheet name="Riostras" sheetId="15" r:id="rId6"/>
    <sheet name="Conexiones a corte y momento" sheetId="17" r:id="rId7"/>
    <sheet name="Conexiones a cortante" sheetId="19" r:id="rId8"/>
    <sheet name="coef sismicos" sheetId="24" state="hidden" r:id="rId9"/>
    <sheet name="Fa" sheetId="25" state="hidden" r:id="rId10"/>
    <sheet name="Fv" sheetId="26" state="hidden" r:id="rId11"/>
    <sheet name="municipios espectro" sheetId="23" state="hidden" r:id="rId12"/>
    <sheet name="Tabla Perfiles tubular" sheetId="9" state="hidden" r:id="rId13"/>
    <sheet name="Tabla Perfiles laminados" sheetId="5" state="hidden" r:id="rId14"/>
    <sheet name="Datos genéricos irregularidades" sheetId="28" state="hidden" r:id="rId15"/>
    <sheet name="Datos genericos columnas" sheetId="7" state="hidden" r:id="rId16"/>
    <sheet name="Datos genericos vigas" sheetId="12" state="hidden" r:id="rId17"/>
    <sheet name="Datos genericos riostras" sheetId="14" state="hidden" r:id="rId18"/>
    <sheet name="Datos genericos RIOSTRAS AXIAL" sheetId="20" state="hidden" r:id="rId19"/>
    <sheet name="Riostras Fcr" sheetId="21" state="hidden" r:id="rId20"/>
    <sheet name="Datos genericos conexiones" sheetId="18" state="hidden" r:id="rId21"/>
  </sheets>
  <externalReferences>
    <externalReference r:id="rId22"/>
    <externalReference r:id="rId23"/>
  </externalReferences>
  <definedNames>
    <definedName name="_xlnm._FilterDatabase" localSheetId="8" hidden="1">'coef sismicos'!$B$1:$C$1</definedName>
    <definedName name="Amazonas">'municipios espectro'!$A$2:$A$12</definedName>
    <definedName name="Antioquia">'municipios espectro'!$B$2:$B$126</definedName>
    <definedName name="Arauca">'municipios espectro'!$C$2:$C$8</definedName>
    <definedName name="_xlnm.Print_Area" localSheetId="3">Columnas!$A$1:$I$102</definedName>
    <definedName name="_xlnm.Print_Area" localSheetId="7">'Conexiones a cortante'!$A$1:$I$89</definedName>
    <definedName name="_xlnm.Print_Area" localSheetId="6">'Conexiones a corte y momento'!$A$1:$I$141</definedName>
    <definedName name="_xlnm.Print_Area" localSheetId="1">espectro!$B$2:$N$37</definedName>
    <definedName name="_xlnm.Print_Area" localSheetId="2">Irregularidades!$A$1:$I$87</definedName>
    <definedName name="_xlnm.Print_Area" localSheetId="0">'LISTA GENERAL DE CHEQUEO'!$A$1:$Q$69</definedName>
    <definedName name="_xlnm.Print_Area" localSheetId="5">Riostras!$A$1:$I$53</definedName>
    <definedName name="_xlnm.Print_Area" localSheetId="19">'Riostras Fcr'!$A$1:$I$57</definedName>
    <definedName name="_xlnm.Print_Area" localSheetId="4">Vigas!$A$1:$I$84</definedName>
    <definedName name="Atlántico">'municipios espectro'!$D$2:$D$24</definedName>
    <definedName name="Bogotá">'municipios espectro'!$E$2</definedName>
    <definedName name="Bolivar">'municipios espectro'!$F$2:$F$46</definedName>
    <definedName name="Boyacá">'municipios espectro'!$G$2:$G$124</definedName>
    <definedName name="C_">'Datos genericos columnas'!$M$17</definedName>
    <definedName name="Caldas">'municipios espectro'!$H$2:$H$28</definedName>
    <definedName name="Caquetá">'municipios espectro'!$I$2:$I$17</definedName>
    <definedName name="Casanare">'municipios espectro'!$J$2:$J$20</definedName>
    <definedName name="Cauca">'municipios espectro'!$K$2:$K$42</definedName>
    <definedName name="Cesar">'municipios espectro'!$L$2:$L$26</definedName>
    <definedName name="Chocó">'municipios espectro'!$M$2:$M$32</definedName>
    <definedName name="condsino">[1]IRREGULARIDADES!$L$14:$L$16</definedName>
    <definedName name="CONEXIONES">INDEX('Datos genericos conexiones'!$R$10:$R$11,MATCH('Conexiones a cortante'!$I$5,'Datos genericos conexiones'!$Q$10:$Q$11,0))</definedName>
    <definedName name="Córdoba">'municipios espectro'!$N$2:$N$29</definedName>
    <definedName name="CR_">'Datos genericos RIOSTRAS AXIAL'!$M$17</definedName>
    <definedName name="Cundinamarca">'municipios espectro'!$O$2:$O$117</definedName>
    <definedName name="Dep">espectro!$D$6</definedName>
    <definedName name="Departamentos">'municipios espectro'!$A$1:$AG$1</definedName>
    <definedName name="departamentos_col">[2]municipios!$A$1:$AG$1</definedName>
    <definedName name="F.CONEXION">'Datos genericos conexiones'!$Q$10:$Q$11</definedName>
    <definedName name="FOTOS">INDEX('Datos genericos columnas'!$M$8:$M$20,MATCH('Datos genericos columnas'!$L$6:$M$6,'Datos genericos columnas'!$L$8:$L$20,0))</definedName>
    <definedName name="FOTOSR">INDEX('Datos genericos columnas'!$M$8:$M$20,MATCH('Datos genericos riostras'!$L$6:$M$6,'Datos genericos columnas'!$L$8:$L$20,0))</definedName>
    <definedName name="FOTOSRIOS">INDEX('Datos genericos RIOSTRAS AXIAL'!$M$8:$M$20,MATCH('Datos genericos riostras'!$L$6:$M$6,'Datos genericos RIOSTRAS AXIAL'!$L$8:$L$20,0))</definedName>
    <definedName name="FOTOSRIOSS">INDEX('Datos genericos RIOSTRAS AXIAL'!$M$8:$M$20,MATCH('Datos genericos vigas'!$L$6:$M$6,'Datos genericos RIOSTRAS AXIAL'!$L$8:$L$20,0))</definedName>
    <definedName name="FOTOSV">INDEX('Datos genericos columnas'!$M$8:$M$20,MATCH('Datos genericos vigas'!$L$6:$M$6,'Datos genericos columnas'!$L$8:$L$20,0))</definedName>
    <definedName name="Guainía">'municipios espectro'!$P$2:$P$10</definedName>
    <definedName name="Guajira">'municipios espectro'!$Q$2:$Q$16</definedName>
    <definedName name="Guaviare">'municipios espectro'!$R$2:$R$5</definedName>
    <definedName name="HP">'Datos genericos columnas'!$M$14</definedName>
    <definedName name="Huila">'municipios espectro'!$S$2:$S$38</definedName>
    <definedName name="IPB">'Datos genericos columnas'!$M$9</definedName>
    <definedName name="IPBI">'Datos genericos columnas'!$M$10</definedName>
    <definedName name="IPBV">'Datos genericos columnas'!$M$11</definedName>
    <definedName name="IPE">'Datos genericos columnas'!$M$12</definedName>
    <definedName name="IPN">'Datos genericos columnas'!$M$8</definedName>
    <definedName name="LAMINADO">'Tabla Perfiles laminados'!$A$4:$A$460</definedName>
    <definedName name="M">'Datos genericos columnas'!$M$15</definedName>
    <definedName name="Magdalena">'municipios espectro'!$T$2:$T$31</definedName>
    <definedName name="Meta">'municipios espectro'!$U$2:$U$30</definedName>
    <definedName name="Nariño">'municipios espectro'!$V$2:$V$64</definedName>
    <definedName name="Norte_de_Santander">'municipios espectro'!$W$2:$W$41</definedName>
    <definedName name="Putumayo">'municipios espectro'!$X$2:$X$14</definedName>
    <definedName name="Quindío">'municipios espectro'!$Y$2:$Y$13</definedName>
    <definedName name="RIOSTRAS">INDEX('Datos genericos RIOSTRAS AXIAL'!$M$8:$M$20,MATCH('Datos genericos RIOSTRAS AXIAL'!$L$6:$M$6,'Datos genericos RIOSTRAS AXIAL'!$L$8:$L$20,0))</definedName>
    <definedName name="Risaralda">'municipios espectro'!$Z$2:$Z$15</definedName>
    <definedName name="San_Andrés">'municipios espectro'!$AA$2:$AA$3</definedName>
    <definedName name="Santander">'municipios espectro'!$AB$2:$AB$88</definedName>
    <definedName name="Sucre">'municipios espectro'!$AC$2:$AC$27</definedName>
    <definedName name="T__CIRCULAR">'Datos genericos columnas'!$M$18</definedName>
    <definedName name="T__CUADRADO">'Datos genericos columnas'!$M$19</definedName>
    <definedName name="T__RECTANGULAR">'Datos genericos columnas'!$M$20</definedName>
    <definedName name="TIPO">'Datos genericos columnas'!$E$2:$E$5</definedName>
    <definedName name="_xlnm.Print_Titles" localSheetId="0">'LISTA GENERAL DE CHEQUEO'!$1:$8</definedName>
    <definedName name="Tolima">'municipios espectro'!$AD$2:$AD$48</definedName>
    <definedName name="TUBULAR_CIRCULAR">'Tabla Perfiles tubular'!$A$3:$A$170</definedName>
    <definedName name="TUBULAR_CUADRADO">'Tabla Perfiles tubular'!$A$171:$A$259</definedName>
    <definedName name="TUBULAR_RECTANGULAR">'Tabla Perfiles tubular'!$A$260:$A$354</definedName>
    <definedName name="UPN">'Datos genericos columnas'!$M$16</definedName>
    <definedName name="Valle_del_Cauca">'municipios espectro'!$AE$2:$AE$43</definedName>
    <definedName name="Vaupés">'municipios espectro'!$AF$2:$AF$7</definedName>
    <definedName name="Vichada">'municipios espectro'!$AG$2:$AG$5</definedName>
    <definedName name="W">'Datos genericos columnas'!$M$13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9" l="1"/>
  <c r="I20" i="17"/>
  <c r="I8" i="17"/>
  <c r="C57" i="17" l="1"/>
  <c r="C61" i="17"/>
  <c r="D83" i="27"/>
  <c r="E6" i="27"/>
  <c r="D82" i="27" l="1"/>
  <c r="G70" i="27" l="1"/>
  <c r="G72" i="27" s="1"/>
  <c r="G64" i="27"/>
  <c r="G66" i="27" s="1"/>
  <c r="G52" i="27"/>
  <c r="G54" i="27" s="1"/>
  <c r="G45" i="27"/>
  <c r="G47" i="27" s="1"/>
  <c r="G21" i="27"/>
  <c r="G23" i="27" s="1"/>
  <c r="G17" i="27"/>
  <c r="G10" i="27"/>
  <c r="D76" i="27" s="1"/>
  <c r="G11" i="27"/>
  <c r="H79" i="27" s="1"/>
  <c r="F83" i="27" s="1"/>
  <c r="C8" i="22"/>
  <c r="D79" i="27"/>
  <c r="G79" i="27"/>
  <c r="D58" i="27"/>
  <c r="G58" i="27" s="1"/>
  <c r="G60" i="27" s="1"/>
  <c r="G40" i="27"/>
  <c r="G36" i="27"/>
  <c r="D32" i="27"/>
  <c r="D31" i="27"/>
  <c r="D30" i="27"/>
  <c r="D28" i="27"/>
  <c r="D78" i="27" l="1"/>
  <c r="G30" i="27"/>
  <c r="G32" i="27" s="1"/>
  <c r="D77" i="27" s="1"/>
  <c r="K6" i="22"/>
  <c r="J4" i="26"/>
  <c r="D4" i="26"/>
  <c r="J6" i="26"/>
  <c r="H6" i="26"/>
  <c r="F6" i="26"/>
  <c r="D6" i="26"/>
  <c r="J5" i="26"/>
  <c r="H5" i="26"/>
  <c r="F5" i="26"/>
  <c r="D5" i="26"/>
  <c r="H4" i="26"/>
  <c r="F4" i="26"/>
  <c r="J6" i="25"/>
  <c r="J5" i="25"/>
  <c r="H6" i="25"/>
  <c r="H5" i="25"/>
  <c r="H4" i="25"/>
  <c r="F6" i="25"/>
  <c r="D6" i="25"/>
  <c r="F4" i="25"/>
  <c r="F5" i="25"/>
  <c r="D5" i="25"/>
  <c r="G9" i="22" l="1"/>
  <c r="D10" i="22" l="1"/>
  <c r="D9" i="22"/>
  <c r="B2" i="22"/>
  <c r="H7" i="22"/>
  <c r="L7" i="22" l="1"/>
  <c r="L8" i="22"/>
  <c r="D14" i="22" s="1"/>
  <c r="U20" i="22" s="1"/>
  <c r="D13" i="22" l="1"/>
  <c r="Q250" i="22" s="1"/>
  <c r="U21" i="22"/>
  <c r="Q62" i="22" l="1"/>
  <c r="Q26" i="22"/>
  <c r="Q412" i="22"/>
  <c r="Q357" i="22"/>
  <c r="Q389" i="22"/>
  <c r="Q213" i="22"/>
  <c r="Q396" i="22"/>
  <c r="Q390" i="22"/>
  <c r="Q133" i="22"/>
  <c r="Q300" i="22"/>
  <c r="Q172" i="22"/>
  <c r="Q225" i="22"/>
  <c r="Q360" i="22"/>
  <c r="Q179" i="22"/>
  <c r="Q430" i="22"/>
  <c r="Q387" i="22"/>
  <c r="Q495" i="22"/>
  <c r="Q41" i="22"/>
  <c r="U18" i="22"/>
  <c r="U19" i="22" s="1"/>
  <c r="Q337" i="22"/>
  <c r="Q454" i="22"/>
  <c r="Q421" i="22"/>
  <c r="Q234" i="22"/>
  <c r="Q297" i="22"/>
  <c r="Q486" i="22"/>
  <c r="Q358" i="22"/>
  <c r="Q336" i="22"/>
  <c r="Q53" i="22"/>
  <c r="Q220" i="22"/>
  <c r="Q143" i="22"/>
  <c r="Q285" i="22"/>
  <c r="Q381" i="22"/>
  <c r="Q255" i="22"/>
  <c r="Q452" i="22"/>
  <c r="Q355" i="22"/>
  <c r="Q383" i="22"/>
  <c r="Q119" i="22"/>
  <c r="Q8" i="22"/>
  <c r="Q22" i="22"/>
  <c r="Q27" i="22"/>
  <c r="Q476" i="22"/>
  <c r="Q410" i="22"/>
  <c r="Q6" i="22"/>
  <c r="Q453" i="22"/>
  <c r="Q34" i="22"/>
  <c r="Q282" i="22"/>
  <c r="Q406" i="22"/>
  <c r="Q11" i="22"/>
  <c r="Q16" i="22"/>
  <c r="Q380" i="22"/>
  <c r="Q385" i="22"/>
  <c r="Q401" i="22"/>
  <c r="Q346" i="22"/>
  <c r="Q502" i="22"/>
  <c r="Q275" i="22"/>
  <c r="Q101" i="22"/>
  <c r="Q37" i="22"/>
  <c r="Q268" i="22"/>
  <c r="Q204" i="22"/>
  <c r="Q47" i="22"/>
  <c r="Q175" i="22"/>
  <c r="Q267" i="22"/>
  <c r="Q313" i="22"/>
  <c r="Q402" i="22"/>
  <c r="Q488" i="22"/>
  <c r="Q293" i="22"/>
  <c r="Q388" i="22"/>
  <c r="Q473" i="22"/>
  <c r="Q451" i="22"/>
  <c r="Q321" i="22"/>
  <c r="Q501" i="22"/>
  <c r="Q218" i="22"/>
  <c r="Q140" i="22"/>
  <c r="Q375" i="22"/>
  <c r="V20" i="22"/>
  <c r="Q13" i="22"/>
  <c r="Q23" i="22"/>
  <c r="Q422" i="22"/>
  <c r="Q485" i="22"/>
  <c r="Q496" i="22"/>
  <c r="Q318" i="22"/>
  <c r="Q444" i="22"/>
  <c r="Q290" i="22"/>
  <c r="Q273" i="22"/>
  <c r="Q69" i="22"/>
  <c r="Q236" i="22"/>
  <c r="Q111" i="22"/>
  <c r="Q238" i="22"/>
  <c r="Q445" i="22"/>
  <c r="Q345" i="22"/>
  <c r="Q75" i="22"/>
  <c r="Q70" i="22"/>
  <c r="Q460" i="22"/>
  <c r="Q19" i="22"/>
  <c r="Q464" i="22"/>
  <c r="Q35" i="22"/>
  <c r="Q465" i="22"/>
  <c r="Q481" i="22"/>
  <c r="Q369" i="22"/>
  <c r="Q438" i="22"/>
  <c r="Q303" i="22"/>
  <c r="Q117" i="22"/>
  <c r="Q284" i="22"/>
  <c r="Q156" i="22"/>
  <c r="Q246" i="22"/>
  <c r="Q466" i="22"/>
  <c r="Q366" i="22"/>
  <c r="Q483" i="22"/>
  <c r="Q330" i="22"/>
  <c r="Q56" i="22"/>
  <c r="Q17" i="22"/>
  <c r="Q30" i="22"/>
  <c r="Q131" i="22"/>
  <c r="Q474" i="22"/>
  <c r="Q31" i="22"/>
  <c r="Q15" i="22"/>
  <c r="Q348" i="22"/>
  <c r="Q433" i="22"/>
  <c r="Q325" i="22"/>
  <c r="Q364" i="22"/>
  <c r="Q432" i="22"/>
  <c r="Q497" i="22"/>
  <c r="Q400" i="22"/>
  <c r="Q342" i="22"/>
  <c r="Q311" i="22"/>
  <c r="Q295" i="22"/>
  <c r="Q374" i="22"/>
  <c r="Q492" i="22"/>
  <c r="Q85" i="22"/>
  <c r="Q316" i="22"/>
  <c r="Q252" i="22"/>
  <c r="Q188" i="22"/>
  <c r="Q79" i="22"/>
  <c r="Q203" i="22"/>
  <c r="Q142" i="22"/>
  <c r="Q338" i="22"/>
  <c r="Q424" i="22"/>
  <c r="Q51" i="22"/>
  <c r="Q322" i="22"/>
  <c r="Q409" i="22"/>
  <c r="Q201" i="22"/>
  <c r="Q419" i="22"/>
  <c r="Q278" i="22"/>
  <c r="Q249" i="22"/>
  <c r="Q352" i="22"/>
  <c r="Q221" i="22"/>
  <c r="Q80" i="22"/>
  <c r="Q408" i="22"/>
  <c r="Q114" i="22"/>
  <c r="Q441" i="22"/>
  <c r="Q169" i="22"/>
  <c r="Q362" i="22"/>
  <c r="Q304" i="22"/>
  <c r="Q139" i="22"/>
  <c r="Q467" i="22"/>
  <c r="Q403" i="22"/>
  <c r="Q339" i="22"/>
  <c r="Q197" i="22"/>
  <c r="Q416" i="22"/>
  <c r="Q222" i="22"/>
  <c r="Q326" i="22"/>
  <c r="Q428" i="22"/>
  <c r="Q100" i="22"/>
  <c r="Q193" i="22"/>
  <c r="Q214" i="22"/>
  <c r="Q187" i="22"/>
  <c r="Q449" i="22"/>
  <c r="Q178" i="22"/>
  <c r="Q260" i="22"/>
  <c r="Q103" i="22"/>
  <c r="Q494" i="22"/>
  <c r="Q499" i="22"/>
  <c r="Q435" i="22"/>
  <c r="Q371" i="22"/>
  <c r="Q299" i="22"/>
  <c r="Q281" i="22"/>
  <c r="Q323" i="22"/>
  <c r="Q439" i="22"/>
  <c r="Q39" i="22"/>
  <c r="Q18" i="22"/>
  <c r="Q66" i="22"/>
  <c r="Q276" i="22"/>
  <c r="Q482" i="22"/>
  <c r="Q315" i="22"/>
  <c r="Q112" i="22"/>
  <c r="Q137" i="22"/>
  <c r="Q219" i="22"/>
  <c r="Q149" i="22"/>
  <c r="Q224" i="22"/>
  <c r="Q174" i="22"/>
  <c r="Q279" i="22"/>
  <c r="Q491" i="22"/>
  <c r="Q207" i="22"/>
  <c r="Q368" i="22"/>
  <c r="Q5" i="22"/>
  <c r="Q226" i="22"/>
  <c r="Q93" i="22"/>
  <c r="Q216" i="22"/>
  <c r="Q413" i="22"/>
  <c r="Q154" i="22"/>
  <c r="Q97" i="22"/>
  <c r="Q164" i="22"/>
  <c r="Q333" i="22"/>
  <c r="Q361" i="22"/>
  <c r="Q431" i="22"/>
  <c r="Q233" i="22"/>
  <c r="Q48" i="22"/>
  <c r="Q50" i="22"/>
  <c r="Q269" i="22"/>
  <c r="Q49" i="22"/>
  <c r="Q176" i="22"/>
  <c r="Q147" i="22"/>
  <c r="Q457" i="22"/>
  <c r="Q291" i="22"/>
  <c r="Q166" i="22"/>
  <c r="Q239" i="22"/>
  <c r="Q126" i="22"/>
  <c r="Q373" i="22"/>
  <c r="Q99" i="22"/>
  <c r="Q4" i="22"/>
  <c r="Q471" i="22"/>
  <c r="Q351" i="22"/>
  <c r="Q118" i="22"/>
  <c r="Q426" i="22"/>
  <c r="Q7" i="22"/>
  <c r="Q76" i="22"/>
  <c r="Q33" i="22"/>
  <c r="Q194" i="22"/>
  <c r="Q173" i="22"/>
  <c r="Q65" i="22"/>
  <c r="Q248" i="22"/>
  <c r="Q55" i="22"/>
  <c r="Q257" i="22"/>
  <c r="Q370" i="22"/>
  <c r="Q115" i="22"/>
  <c r="Q404" i="22"/>
  <c r="Q91" i="22"/>
  <c r="Q407" i="22"/>
  <c r="Q271" i="22"/>
  <c r="Q287" i="22"/>
  <c r="Q94" i="22"/>
  <c r="Q64" i="22"/>
  <c r="Q128" i="22"/>
  <c r="Q82" i="22"/>
  <c r="Q205" i="22"/>
  <c r="Q185" i="22"/>
  <c r="Q113" i="22"/>
  <c r="Q324" i="22"/>
  <c r="Q240" i="22"/>
  <c r="Q63" i="22"/>
  <c r="Q78" i="22"/>
  <c r="Q472" i="22"/>
  <c r="Q43" i="22"/>
  <c r="Q195" i="22"/>
  <c r="Q423" i="22"/>
  <c r="Q302" i="22"/>
  <c r="Q134" i="22"/>
  <c r="Q265" i="22"/>
  <c r="Q458" i="22"/>
  <c r="Q353" i="22"/>
  <c r="Q107" i="22"/>
  <c r="Q411" i="22"/>
  <c r="Q289" i="22"/>
  <c r="Q217" i="22"/>
  <c r="Q309" i="22"/>
  <c r="Q36" i="22"/>
  <c r="Q120" i="22"/>
  <c r="Q106" i="22"/>
  <c r="Q253" i="22"/>
  <c r="Q125" i="22"/>
  <c r="Q308" i="22"/>
  <c r="Q192" i="22"/>
  <c r="Q167" i="22"/>
  <c r="Q277" i="22"/>
  <c r="Q450" i="22"/>
  <c r="Q329" i="22"/>
  <c r="Q478" i="22"/>
  <c r="Q459" i="22"/>
  <c r="Q347" i="22"/>
  <c r="Q102" i="22"/>
  <c r="Q448" i="22"/>
  <c r="Q32" i="22"/>
  <c r="Q96" i="22"/>
  <c r="Q29" i="22"/>
  <c r="Q146" i="22"/>
  <c r="Q247" i="22"/>
  <c r="Q153" i="22"/>
  <c r="Q73" i="22"/>
  <c r="Q280" i="22"/>
  <c r="Q196" i="22"/>
  <c r="Q151" i="22"/>
  <c r="Q354" i="22"/>
  <c r="Q340" i="22"/>
  <c r="Q335" i="22"/>
  <c r="Q436" i="22"/>
  <c r="Q251" i="22"/>
  <c r="Q327" i="22"/>
  <c r="Q440" i="22"/>
  <c r="Q270" i="22"/>
  <c r="Q211" i="22"/>
  <c r="Q379" i="22"/>
  <c r="Q190" i="22"/>
  <c r="Q378" i="22"/>
  <c r="Q261" i="22"/>
  <c r="Q67" i="22"/>
  <c r="Q317" i="22"/>
  <c r="Q480" i="22"/>
  <c r="Q395" i="22"/>
  <c r="Q294" i="22"/>
  <c r="Q152" i="22"/>
  <c r="Q191" i="22"/>
  <c r="Q223" i="22"/>
  <c r="Q386" i="22"/>
  <c r="Q498" i="22"/>
  <c r="Q398" i="22"/>
  <c r="Q463" i="22"/>
  <c r="Q283" i="22"/>
  <c r="Q437" i="22"/>
  <c r="Q332" i="22"/>
  <c r="Q59" i="22"/>
  <c r="Q155" i="22"/>
  <c r="Q245" i="22"/>
  <c r="Q470" i="22"/>
  <c r="V18" i="22"/>
  <c r="Q38" i="22"/>
  <c r="Q307" i="22"/>
  <c r="Q425" i="22"/>
  <c r="Q123" i="22"/>
  <c r="Q443" i="22"/>
  <c r="Q359" i="22"/>
  <c r="Q229" i="22"/>
  <c r="Q158" i="22"/>
  <c r="Q490" i="22"/>
  <c r="Q417" i="22"/>
  <c r="Q469" i="22"/>
  <c r="Q343" i="22"/>
  <c r="Q489" i="22"/>
  <c r="Q405" i="22"/>
  <c r="Q363" i="22"/>
  <c r="Q468" i="22"/>
  <c r="Q394" i="22"/>
  <c r="Q367" i="22"/>
  <c r="Q415" i="22"/>
  <c r="Q420" i="22"/>
  <c r="Q259" i="22"/>
  <c r="Q182" i="22"/>
  <c r="Q372" i="22"/>
  <c r="Q484" i="22"/>
  <c r="Q487" i="22"/>
  <c r="Q399" i="22"/>
  <c r="Q310" i="22"/>
  <c r="Q86" i="22"/>
  <c r="Q384" i="22"/>
  <c r="Q163" i="22"/>
  <c r="Q341" i="22"/>
  <c r="Q54" i="22"/>
  <c r="Q455" i="22"/>
  <c r="Q382" i="22"/>
  <c r="Q150" i="22"/>
  <c r="Q475" i="22"/>
  <c r="Q377" i="22"/>
  <c r="Q305" i="22"/>
  <c r="Q442" i="22"/>
  <c r="Q461" i="22"/>
  <c r="Q306" i="22"/>
  <c r="Q198" i="22"/>
  <c r="Q144" i="22"/>
  <c r="Q212" i="22"/>
  <c r="Q292" i="22"/>
  <c r="Q77" i="22"/>
  <c r="Q177" i="22"/>
  <c r="Q231" i="22"/>
  <c r="Q130" i="22"/>
  <c r="Q104" i="22"/>
  <c r="Q427" i="22"/>
  <c r="Q171" i="22"/>
  <c r="Q414" i="22"/>
  <c r="Q334" i="22"/>
  <c r="Q243" i="22"/>
  <c r="Q504" i="22"/>
  <c r="Q456" i="22"/>
  <c r="Q397" i="22"/>
  <c r="Q349" i="22"/>
  <c r="Q298" i="22"/>
  <c r="Q110" i="22"/>
  <c r="Q235" i="22"/>
  <c r="Q183" i="22"/>
  <c r="Q95" i="22"/>
  <c r="Q148" i="22"/>
  <c r="Q184" i="22"/>
  <c r="Q228" i="22"/>
  <c r="Q264" i="22"/>
  <c r="Q296" i="22"/>
  <c r="Q45" i="22"/>
  <c r="Q81" i="22"/>
  <c r="Q121" i="22"/>
  <c r="Q157" i="22"/>
  <c r="Q181" i="22"/>
  <c r="Q258" i="22"/>
  <c r="Q215" i="22"/>
  <c r="Q170" i="22"/>
  <c r="Q122" i="22"/>
  <c r="Q58" i="22"/>
  <c r="Q20" i="22"/>
  <c r="Q124" i="22"/>
  <c r="Q92" i="22"/>
  <c r="Q68" i="22"/>
  <c r="Q40" i="22"/>
  <c r="Q14" i="22"/>
  <c r="Q60" i="22"/>
  <c r="Q28" i="22"/>
  <c r="Q25" i="22"/>
  <c r="Q72" i="22"/>
  <c r="Q447" i="22"/>
  <c r="Q500" i="22"/>
  <c r="Q393" i="22"/>
  <c r="Q314" i="22"/>
  <c r="Q227" i="22"/>
  <c r="Q493" i="22"/>
  <c r="Q434" i="22"/>
  <c r="Q392" i="22"/>
  <c r="Q344" i="22"/>
  <c r="Q266" i="22"/>
  <c r="Q46" i="22"/>
  <c r="Q230" i="22"/>
  <c r="Q159" i="22"/>
  <c r="Q87" i="22"/>
  <c r="Q160" i="22"/>
  <c r="Q200" i="22"/>
  <c r="Q232" i="22"/>
  <c r="Q272" i="22"/>
  <c r="Q312" i="22"/>
  <c r="Q57" i="22"/>
  <c r="Q89" i="22"/>
  <c r="Q129" i="22"/>
  <c r="Q161" i="22"/>
  <c r="Q189" i="22"/>
  <c r="Q242" i="22"/>
  <c r="Q210" i="22"/>
  <c r="Q162" i="22"/>
  <c r="Q98" i="22"/>
  <c r="Q42" i="22"/>
  <c r="Q10" i="22"/>
  <c r="Q116" i="22"/>
  <c r="Q88" i="22"/>
  <c r="Q12" i="22"/>
  <c r="Q21" i="22"/>
  <c r="Q331" i="22"/>
  <c r="Q479" i="22"/>
  <c r="Q462" i="22"/>
  <c r="Q356" i="22"/>
  <c r="Q301" i="22"/>
  <c r="Q206" i="22"/>
  <c r="Q477" i="22"/>
  <c r="Q429" i="22"/>
  <c r="Q376" i="22"/>
  <c r="Q319" i="22"/>
  <c r="Q254" i="22"/>
  <c r="Q262" i="22"/>
  <c r="Q209" i="22"/>
  <c r="Q135" i="22"/>
  <c r="Q71" i="22"/>
  <c r="Q168" i="22"/>
  <c r="Q208" i="22"/>
  <c r="Q244" i="22"/>
  <c r="Q288" i="22"/>
  <c r="Q320" i="22"/>
  <c r="Q61" i="22"/>
  <c r="Q105" i="22"/>
  <c r="Q141" i="22"/>
  <c r="Q165" i="22"/>
  <c r="Q274" i="22"/>
  <c r="Q237" i="22"/>
  <c r="Q199" i="22"/>
  <c r="Q138" i="22"/>
  <c r="Q90" i="22"/>
  <c r="Q136" i="22"/>
  <c r="Q108" i="22"/>
  <c r="Q84" i="22"/>
  <c r="Q52" i="22"/>
  <c r="Q24" i="22"/>
  <c r="Q9" i="22"/>
  <c r="Q391" i="22"/>
  <c r="Q503" i="22"/>
  <c r="Q446" i="22"/>
  <c r="Q350" i="22"/>
  <c r="Q286" i="22"/>
  <c r="Q83" i="22"/>
  <c r="Q418" i="22"/>
  <c r="Q365" i="22"/>
  <c r="Q202" i="22"/>
  <c r="Q241" i="22"/>
  <c r="Q127" i="22"/>
  <c r="Q180" i="22"/>
  <c r="Q256" i="22"/>
  <c r="Q328" i="22"/>
  <c r="Q109" i="22"/>
  <c r="Q145" i="22"/>
  <c r="Q263" i="22"/>
  <c r="Q186" i="22"/>
  <c r="Q74" i="22"/>
  <c r="Q132" i="22"/>
  <c r="Q44" i="22"/>
  <c r="E40" i="15" l="1"/>
  <c r="B40" i="15"/>
  <c r="H15" i="21"/>
  <c r="H14" i="21"/>
  <c r="AB2" i="20" s="1"/>
  <c r="AE6" i="20" s="1"/>
  <c r="AE7" i="20" s="1"/>
  <c r="E4" i="21"/>
  <c r="E3" i="21"/>
  <c r="C31" i="21" s="1"/>
  <c r="C32" i="21" s="1"/>
  <c r="B3" i="21"/>
  <c r="C21" i="21" s="1"/>
  <c r="D32" i="21"/>
  <c r="D31" i="21"/>
  <c r="AM10" i="20"/>
  <c r="AO11" i="20" s="1"/>
  <c r="BB9" i="20"/>
  <c r="AG9" i="20"/>
  <c r="AE9" i="20"/>
  <c r="BC8" i="20"/>
  <c r="BB8" i="20"/>
  <c r="BC7" i="20"/>
  <c r="AM7" i="20"/>
  <c r="AO9" i="20" s="1"/>
  <c r="BB6" i="20"/>
  <c r="J6" i="20"/>
  <c r="I6" i="20"/>
  <c r="BC5" i="20"/>
  <c r="BB5" i="20"/>
  <c r="J5" i="20"/>
  <c r="I5" i="20"/>
  <c r="BC4" i="20"/>
  <c r="AM4" i="20"/>
  <c r="AO5" i="20" s="1"/>
  <c r="J3" i="20"/>
  <c r="I3" i="20"/>
  <c r="C14" i="21" l="1"/>
  <c r="D14" i="21" s="1"/>
  <c r="C24" i="21"/>
  <c r="B16" i="21"/>
  <c r="C28" i="21"/>
  <c r="C19" i="21"/>
  <c r="C29" i="21"/>
  <c r="U10" i="20" s="1"/>
  <c r="C39" i="21"/>
  <c r="F39" i="21" s="1"/>
  <c r="C27" i="21"/>
  <c r="Z3" i="20" s="1"/>
  <c r="C25" i="21"/>
  <c r="L6" i="20"/>
  <c r="F47" i="21" s="1"/>
  <c r="F51" i="21" s="1"/>
  <c r="H51" i="21" s="1"/>
  <c r="C17" i="21"/>
  <c r="D17" i="21" s="1"/>
  <c r="AP5" i="20"/>
  <c r="AO8" i="20"/>
  <c r="B15" i="21"/>
  <c r="C16" i="21"/>
  <c r="C18" i="21"/>
  <c r="D18" i="21" s="1"/>
  <c r="C22" i="21"/>
  <c r="C26" i="21"/>
  <c r="C30" i="21"/>
  <c r="AO12" i="20"/>
  <c r="AP10" i="20"/>
  <c r="AP7" i="20"/>
  <c r="C15" i="21"/>
  <c r="B17" i="21"/>
  <c r="C23" i="21"/>
  <c r="AG6" i="20"/>
  <c r="AG7" i="20" s="1"/>
  <c r="AP11" i="20"/>
  <c r="AO6" i="20"/>
  <c r="AP8" i="20"/>
  <c r="AP4" i="20"/>
  <c r="F49" i="21"/>
  <c r="T4" i="20" l="1"/>
  <c r="AG4" i="20"/>
  <c r="T11" i="20"/>
  <c r="T3" i="20"/>
  <c r="U11" i="20"/>
  <c r="Z10" i="20"/>
  <c r="T5" i="20"/>
  <c r="Z5" i="20" s="1"/>
  <c r="D47" i="21"/>
  <c r="B47" i="21"/>
  <c r="F54" i="21"/>
  <c r="H54" i="21" s="1"/>
  <c r="AX7" i="20"/>
  <c r="Z11" i="20"/>
  <c r="AK7" i="20"/>
  <c r="AX4" i="20"/>
  <c r="T12" i="20"/>
  <c r="V12" i="20" s="1"/>
  <c r="T10" i="20"/>
  <c r="V10" i="20" s="1"/>
  <c r="Z12" i="20"/>
  <c r="AK10" i="20"/>
  <c r="G49" i="21"/>
  <c r="H49" i="21" s="1"/>
  <c r="Z11" i="21"/>
  <c r="V11" i="20"/>
  <c r="D19" i="21"/>
  <c r="AK4" i="20"/>
  <c r="D16" i="21"/>
  <c r="AW7" i="20"/>
  <c r="AJ10" i="20"/>
  <c r="D49" i="21"/>
  <c r="AW4" i="20"/>
  <c r="AE4" i="20"/>
  <c r="U4" i="20"/>
  <c r="V4" i="20" s="1"/>
  <c r="U3" i="20"/>
  <c r="AJ4" i="20"/>
  <c r="AJ7" i="20"/>
  <c r="D15" i="21"/>
  <c r="C40" i="21"/>
  <c r="D23" i="19"/>
  <c r="C23" i="19"/>
  <c r="V3" i="20" l="1"/>
  <c r="V5" i="20"/>
  <c r="D51" i="21"/>
  <c r="E51" i="21" s="1"/>
  <c r="F40" i="21"/>
  <c r="B49" i="21"/>
  <c r="B51" i="21" s="1"/>
  <c r="AR8" i="20"/>
  <c r="AS7" i="20"/>
  <c r="AR9" i="20"/>
  <c r="BF4" i="20"/>
  <c r="AY4" i="20"/>
  <c r="BE8" i="20"/>
  <c r="BE9" i="20"/>
  <c r="AY7" i="20"/>
  <c r="Z4" i="20"/>
  <c r="AL4" i="20"/>
  <c r="AR6" i="20"/>
  <c r="AS4" i="20"/>
  <c r="AL7" i="20"/>
  <c r="BF7" i="20"/>
  <c r="AR12" i="20"/>
  <c r="AL10" i="20"/>
  <c r="AS10" i="20"/>
  <c r="AR11" i="20"/>
  <c r="AR5" i="20"/>
  <c r="C23" i="17"/>
  <c r="D23" i="17"/>
  <c r="O2" i="18" l="1"/>
  <c r="O4" i="18"/>
  <c r="O3" i="18"/>
  <c r="D54" i="21"/>
  <c r="E54" i="21" s="1"/>
  <c r="C51" i="21"/>
  <c r="B54" i="21"/>
  <c r="AT4" i="20"/>
  <c r="AT5" i="20"/>
  <c r="AT6" i="20"/>
  <c r="BG8" i="20"/>
  <c r="BG7" i="20"/>
  <c r="BG9" i="20"/>
  <c r="AQ4" i="20"/>
  <c r="AQ5" i="20"/>
  <c r="AQ6" i="20"/>
  <c r="AT9" i="20"/>
  <c r="AT7" i="20"/>
  <c r="AT8" i="20"/>
  <c r="AQ11" i="20"/>
  <c r="AQ10" i="20"/>
  <c r="AQ12" i="20"/>
  <c r="BD8" i="20"/>
  <c r="BD7" i="20"/>
  <c r="BD9" i="20"/>
  <c r="BG6" i="20"/>
  <c r="BG5" i="20"/>
  <c r="BG4" i="20"/>
  <c r="AT11" i="20"/>
  <c r="AT12" i="20"/>
  <c r="AT10" i="20"/>
  <c r="AQ7" i="20"/>
  <c r="AQ9" i="20"/>
  <c r="AQ8" i="20"/>
  <c r="BD6" i="20"/>
  <c r="BD4" i="20"/>
  <c r="BD5" i="20"/>
  <c r="C30" i="15"/>
  <c r="C29" i="15"/>
  <c r="C46" i="15"/>
  <c r="B47" i="15" s="1"/>
  <c r="C54" i="21" l="1"/>
  <c r="C56" i="21"/>
  <c r="F40" i="15" s="1"/>
  <c r="F46" i="15"/>
  <c r="H46" i="15" s="1"/>
  <c r="BB7" i="14"/>
  <c r="D46" i="15" l="1"/>
  <c r="C32" i="15"/>
  <c r="F42" i="15" s="1"/>
  <c r="B42" i="15" l="1"/>
  <c r="E42" i="15"/>
  <c r="C42" i="15"/>
  <c r="D42" i="15"/>
  <c r="F81" i="19"/>
  <c r="C78" i="19"/>
  <c r="F70" i="19"/>
  <c r="F65" i="19"/>
  <c r="F60" i="19"/>
  <c r="F52" i="19"/>
  <c r="F48" i="19"/>
  <c r="C75" i="19" s="1"/>
  <c r="C48" i="19"/>
  <c r="C52" i="19" s="1"/>
  <c r="F43" i="19"/>
  <c r="D22" i="19"/>
  <c r="C22" i="19"/>
  <c r="D21" i="19"/>
  <c r="C21" i="19"/>
  <c r="I22" i="19" s="1"/>
  <c r="F23" i="19" s="1"/>
  <c r="D20" i="19"/>
  <c r="C20" i="19"/>
  <c r="B20" i="19"/>
  <c r="D19" i="19"/>
  <c r="C19" i="19"/>
  <c r="D18" i="19"/>
  <c r="C18" i="19"/>
  <c r="I16" i="19"/>
  <c r="I14" i="19"/>
  <c r="D14" i="19"/>
  <c r="D12" i="19"/>
  <c r="C65" i="19" s="1"/>
  <c r="H52" i="19" l="1"/>
  <c r="H65" i="19"/>
  <c r="H48" i="19"/>
  <c r="C81" i="19"/>
  <c r="H81" i="19" s="1"/>
  <c r="C57" i="19"/>
  <c r="C60" i="19" s="1"/>
  <c r="H60" i="19" s="1"/>
  <c r="C43" i="19"/>
  <c r="H43" i="19" s="1"/>
  <c r="C70" i="19"/>
  <c r="H70" i="19" s="1"/>
  <c r="C128" i="17"/>
  <c r="C131" i="17"/>
  <c r="C87" i="17"/>
  <c r="B86" i="19" l="1"/>
  <c r="C134" i="17"/>
  <c r="F101" i="17"/>
  <c r="D19" i="17"/>
  <c r="F105" i="17" s="1"/>
  <c r="D20" i="17"/>
  <c r="C19" i="17"/>
  <c r="C110" i="17" l="1"/>
  <c r="C105" i="17"/>
  <c r="F113" i="17"/>
  <c r="F134" i="17"/>
  <c r="H134" i="17" s="1"/>
  <c r="F118" i="17"/>
  <c r="F96" i="17"/>
  <c r="F123" i="17"/>
  <c r="F90" i="17"/>
  <c r="F79" i="17"/>
  <c r="F74" i="17"/>
  <c r="F69" i="17"/>
  <c r="F61" i="17"/>
  <c r="F57" i="17"/>
  <c r="D14" i="17"/>
  <c r="F52" i="17"/>
  <c r="C66" i="17" l="1"/>
  <c r="C84" i="17"/>
  <c r="C90" i="17" s="1"/>
  <c r="H90" i="17" s="1"/>
  <c r="C52" i="17"/>
  <c r="H52" i="17" s="1"/>
  <c r="C96" i="17"/>
  <c r="H96" i="17" s="1"/>
  <c r="F7" i="18"/>
  <c r="G7" i="18" s="1"/>
  <c r="F6" i="18"/>
  <c r="G6" i="18" s="1"/>
  <c r="F5" i="18"/>
  <c r="G5" i="18" s="1"/>
  <c r="F4" i="18"/>
  <c r="G4" i="18" s="1"/>
  <c r="G3" i="18"/>
  <c r="F3" i="18"/>
  <c r="F2" i="18"/>
  <c r="D21" i="17"/>
  <c r="C21" i="17"/>
  <c r="D12" i="17"/>
  <c r="C7" i="18"/>
  <c r="B7" i="18"/>
  <c r="D22" i="17"/>
  <c r="D18" i="17"/>
  <c r="C69" i="17" l="1"/>
  <c r="I35" i="17"/>
  <c r="F37" i="17" s="1"/>
  <c r="I36" i="17"/>
  <c r="F38" i="17" s="1"/>
  <c r="G2" i="18"/>
  <c r="H2" i="18" s="1"/>
  <c r="I16" i="17"/>
  <c r="I28" i="17"/>
  <c r="C101" i="17"/>
  <c r="I26" i="17"/>
  <c r="I14" i="17"/>
  <c r="C79" i="17"/>
  <c r="H79" i="17" s="1"/>
  <c r="C123" i="17"/>
  <c r="H123" i="17" s="1"/>
  <c r="C118" i="17"/>
  <c r="H118" i="17" s="1"/>
  <c r="C74" i="17"/>
  <c r="H74" i="17" s="1"/>
  <c r="C113" i="17"/>
  <c r="H113" i="17" s="1"/>
  <c r="H69" i="17"/>
  <c r="C22" i="17"/>
  <c r="C20" i="17"/>
  <c r="B20" i="17"/>
  <c r="C18" i="17"/>
  <c r="H105" i="17" l="1"/>
  <c r="H101" i="17"/>
  <c r="H61" i="17"/>
  <c r="H57" i="17"/>
  <c r="E38" i="15"/>
  <c r="A36" i="15"/>
  <c r="F19" i="15"/>
  <c r="F18" i="15"/>
  <c r="BA1" i="14" l="1"/>
  <c r="B138" i="17"/>
  <c r="BC4" i="14"/>
  <c r="BC3" i="14"/>
  <c r="AY8" i="14"/>
  <c r="AY7" i="14"/>
  <c r="AY9" i="14"/>
  <c r="AY6" i="14"/>
  <c r="AY5" i="14"/>
  <c r="AY4" i="14"/>
  <c r="BB8" i="14"/>
  <c r="BB4" i="14"/>
  <c r="BB3" i="14"/>
  <c r="BB16" i="14" l="1"/>
  <c r="BB15" i="14"/>
  <c r="BB13" i="14"/>
  <c r="BB14" i="14"/>
  <c r="AY3" i="14"/>
  <c r="AY2" i="14"/>
  <c r="C31" i="15" l="1"/>
  <c r="C20" i="15"/>
  <c r="D20" i="15" s="1"/>
  <c r="B21" i="15"/>
  <c r="C21" i="15"/>
  <c r="B22" i="15"/>
  <c r="B23" i="15"/>
  <c r="C23" i="15"/>
  <c r="D23" i="15" s="1"/>
  <c r="C24" i="15"/>
  <c r="D25" i="15" s="1"/>
  <c r="C25" i="15"/>
  <c r="C27" i="15"/>
  <c r="U3" i="14" s="1"/>
  <c r="C28" i="15"/>
  <c r="AU3" i="14" s="1"/>
  <c r="Z3" i="14"/>
  <c r="AK10" i="14"/>
  <c r="AM12" i="14" s="1"/>
  <c r="AK7" i="14"/>
  <c r="L6" i="14"/>
  <c r="J6" i="14"/>
  <c r="I6" i="14"/>
  <c r="J5" i="14"/>
  <c r="I5" i="14"/>
  <c r="AK4" i="14"/>
  <c r="AM6" i="14" s="1"/>
  <c r="J3" i="14"/>
  <c r="I3" i="14"/>
  <c r="D14" i="15" l="1"/>
  <c r="J4" i="14" s="1"/>
  <c r="F41" i="15"/>
  <c r="D24" i="15"/>
  <c r="D21" i="15"/>
  <c r="T11" i="14"/>
  <c r="AH7" i="14"/>
  <c r="U4" i="14"/>
  <c r="Z10" i="14"/>
  <c r="AN11" i="14"/>
  <c r="AI10" i="14"/>
  <c r="T3" i="14"/>
  <c r="V3" i="14" s="1"/>
  <c r="AM9" i="14"/>
  <c r="T5" i="14"/>
  <c r="V5" i="14" s="1"/>
  <c r="U11" i="14"/>
  <c r="I4" i="14"/>
  <c r="Z12" i="14"/>
  <c r="AN7" i="14"/>
  <c r="T10" i="14"/>
  <c r="T12" i="14"/>
  <c r="V12" i="14" s="1"/>
  <c r="AH4" i="14"/>
  <c r="AN5" i="14"/>
  <c r="AM8" i="14"/>
  <c r="U10" i="14"/>
  <c r="Z11" i="14"/>
  <c r="AI4" i="14"/>
  <c r="AI7" i="14"/>
  <c r="AN8" i="14"/>
  <c r="AN10" i="14"/>
  <c r="AM11" i="14"/>
  <c r="T4" i="14"/>
  <c r="AN4" i="14"/>
  <c r="AM5" i="14"/>
  <c r="BB8" i="7"/>
  <c r="BC7" i="7"/>
  <c r="BB9" i="7"/>
  <c r="V4" i="14" l="1"/>
  <c r="V11" i="14"/>
  <c r="AQ7" i="14"/>
  <c r="AR7" i="14" s="1"/>
  <c r="Z5" i="14"/>
  <c r="AP6" i="14"/>
  <c r="Z4" i="14"/>
  <c r="AP5" i="14"/>
  <c r="AP8" i="14"/>
  <c r="AJ7" i="14"/>
  <c r="AO7" i="14" s="1"/>
  <c r="V10" i="14"/>
  <c r="AJ4" i="14"/>
  <c r="AO6" i="14" s="1"/>
  <c r="AQ4" i="14"/>
  <c r="AP9" i="14"/>
  <c r="BC4" i="7"/>
  <c r="BB5" i="7"/>
  <c r="BC5" i="7"/>
  <c r="BB6" i="7"/>
  <c r="BC8" i="7"/>
  <c r="E97" i="4"/>
  <c r="E96" i="4"/>
  <c r="AM10" i="7"/>
  <c r="AM7" i="7"/>
  <c r="AO9" i="7" s="1"/>
  <c r="AM4" i="7"/>
  <c r="F35" i="4"/>
  <c r="AR8" i="14" l="1"/>
  <c r="AR9" i="14"/>
  <c r="AO9" i="14"/>
  <c r="AO8" i="14"/>
  <c r="AO4" i="14"/>
  <c r="AO5" i="14"/>
  <c r="AR6" i="14"/>
  <c r="AR4" i="14"/>
  <c r="AR5" i="14"/>
  <c r="H93" i="4"/>
  <c r="AP11" i="7"/>
  <c r="D93" i="4"/>
  <c r="AO8" i="7"/>
  <c r="AP4" i="7"/>
  <c r="AO11" i="7"/>
  <c r="AP10" i="7"/>
  <c r="AO5" i="7"/>
  <c r="AP5" i="7"/>
  <c r="AP7" i="7"/>
  <c r="AP8" i="7"/>
  <c r="AO6" i="7"/>
  <c r="AO12" i="7"/>
  <c r="E77" i="11" l="1"/>
  <c r="C20" i="11"/>
  <c r="AI4" i="12" s="1"/>
  <c r="C19" i="11"/>
  <c r="AI7" i="12" s="1"/>
  <c r="C17" i="11"/>
  <c r="AH4" i="12" s="1"/>
  <c r="F32" i="11"/>
  <c r="C24" i="11"/>
  <c r="D67" i="11" s="1"/>
  <c r="C25" i="4"/>
  <c r="C24" i="4"/>
  <c r="C23" i="4"/>
  <c r="C22" i="4"/>
  <c r="C19" i="4"/>
  <c r="C18" i="4"/>
  <c r="AK4" i="7" s="1"/>
  <c r="C17" i="4"/>
  <c r="C16" i="4"/>
  <c r="C15" i="4"/>
  <c r="C14" i="4"/>
  <c r="AK4" i="12" l="1"/>
  <c r="AN5" i="12" s="1"/>
  <c r="AX4" i="7"/>
  <c r="AX7" i="7"/>
  <c r="AW4" i="7"/>
  <c r="AW7" i="7"/>
  <c r="H92" i="4"/>
  <c r="AJ10" i="7"/>
  <c r="AK7" i="7"/>
  <c r="AK10" i="7"/>
  <c r="AJ4" i="7"/>
  <c r="AJ7" i="7"/>
  <c r="AQ4" i="12"/>
  <c r="E56" i="11"/>
  <c r="H56" i="11" s="1"/>
  <c r="AJ4" i="12"/>
  <c r="AI10" i="12"/>
  <c r="AH7" i="12"/>
  <c r="AK7" i="12" s="1"/>
  <c r="AN8" i="12" s="1"/>
  <c r="H67" i="11"/>
  <c r="B68" i="11" s="1"/>
  <c r="D8" i="11"/>
  <c r="L6" i="12"/>
  <c r="J6" i="12"/>
  <c r="J5" i="12"/>
  <c r="J3" i="12"/>
  <c r="I6" i="12"/>
  <c r="I5" i="12"/>
  <c r="I3" i="12"/>
  <c r="AP6" i="12" l="1"/>
  <c r="AN4" i="12"/>
  <c r="AM6" i="12"/>
  <c r="AO6" i="12" s="1"/>
  <c r="AM5" i="12"/>
  <c r="AO5" i="12" s="1"/>
  <c r="AP5" i="12"/>
  <c r="AR5" i="12" s="1"/>
  <c r="AM8" i="12"/>
  <c r="AN7" i="12"/>
  <c r="AM9" i="12"/>
  <c r="BF4" i="7"/>
  <c r="BG5" i="7" s="1"/>
  <c r="BE8" i="7"/>
  <c r="AY7" i="7"/>
  <c r="BF7" i="7"/>
  <c r="BE9" i="7"/>
  <c r="AY4" i="7"/>
  <c r="BD4" i="7" s="1"/>
  <c r="AR6" i="12"/>
  <c r="AR4" i="12"/>
  <c r="AL10" i="7"/>
  <c r="AQ12" i="7" s="1"/>
  <c r="AR12" i="7"/>
  <c r="AR11" i="7"/>
  <c r="AR9" i="7"/>
  <c r="AR8" i="7"/>
  <c r="AL4" i="7"/>
  <c r="AQ6" i="7" s="1"/>
  <c r="AR6" i="7"/>
  <c r="AR5" i="7"/>
  <c r="AS4" i="7"/>
  <c r="AS10" i="7"/>
  <c r="AL7" i="7"/>
  <c r="AS7" i="7"/>
  <c r="AJ7" i="12"/>
  <c r="AQ7" i="12"/>
  <c r="AP9" i="12"/>
  <c r="AP8" i="12"/>
  <c r="AO4" i="12"/>
  <c r="B41" i="11"/>
  <c r="E40" i="11"/>
  <c r="B40" i="11"/>
  <c r="G40" i="11" s="1"/>
  <c r="D34" i="11"/>
  <c r="D33" i="11"/>
  <c r="C33" i="11"/>
  <c r="C34" i="11" s="1"/>
  <c r="C32" i="11"/>
  <c r="C31" i="11"/>
  <c r="C30" i="11"/>
  <c r="C29" i="11"/>
  <c r="Z3" i="12" s="1"/>
  <c r="C28" i="11"/>
  <c r="C27" i="11"/>
  <c r="C26" i="11"/>
  <c r="C25" i="11"/>
  <c r="C23" i="11"/>
  <c r="C21" i="11"/>
  <c r="D12" i="11" s="1"/>
  <c r="D20" i="11"/>
  <c r="B19" i="11"/>
  <c r="C18" i="11"/>
  <c r="D73" i="11" s="1"/>
  <c r="B18" i="11"/>
  <c r="B17" i="11"/>
  <c r="C16" i="11"/>
  <c r="BD6" i="7" l="1"/>
  <c r="BG4" i="7"/>
  <c r="AQ10" i="7"/>
  <c r="E41" i="11"/>
  <c r="BG6" i="7"/>
  <c r="AR8" i="12"/>
  <c r="AR7" i="12"/>
  <c r="AR9" i="12"/>
  <c r="AT9" i="7"/>
  <c r="AT8" i="7"/>
  <c r="AT7" i="7"/>
  <c r="BD5" i="7"/>
  <c r="BG9" i="7"/>
  <c r="BG7" i="7"/>
  <c r="BG8" i="7"/>
  <c r="BD7" i="7"/>
  <c r="BD9" i="7"/>
  <c r="BD8" i="7"/>
  <c r="AT10" i="7"/>
  <c r="AT12" i="7"/>
  <c r="AT11" i="7"/>
  <c r="AQ11" i="7"/>
  <c r="AQ4" i="7"/>
  <c r="AT5" i="7"/>
  <c r="AT4" i="7"/>
  <c r="AT6" i="7"/>
  <c r="AQ5" i="7"/>
  <c r="AQ8" i="7"/>
  <c r="AQ9" i="7"/>
  <c r="AQ7" i="7"/>
  <c r="D16" i="11"/>
  <c r="AH10" i="12"/>
  <c r="D17" i="11"/>
  <c r="E53" i="11"/>
  <c r="H53" i="11" s="1"/>
  <c r="D19" i="11"/>
  <c r="H34" i="11"/>
  <c r="B51" i="11" s="1"/>
  <c r="H35" i="11"/>
  <c r="F51" i="11" s="1"/>
  <c r="U3" i="12"/>
  <c r="U4" i="12"/>
  <c r="U10" i="12"/>
  <c r="T12" i="12"/>
  <c r="T10" i="12"/>
  <c r="T5" i="12"/>
  <c r="Z5" i="12" s="1"/>
  <c r="U11" i="12"/>
  <c r="T11" i="12"/>
  <c r="T4" i="12"/>
  <c r="T3" i="12"/>
  <c r="Z12" i="12"/>
  <c r="Z11" i="12"/>
  <c r="Z10" i="12"/>
  <c r="I4" i="12"/>
  <c r="G41" i="11" s="1"/>
  <c r="J4" i="12"/>
  <c r="H13" i="11"/>
  <c r="C40" i="11"/>
  <c r="D21" i="11"/>
  <c r="D18" i="11"/>
  <c r="C41" i="11"/>
  <c r="D41" i="11"/>
  <c r="C28" i="4"/>
  <c r="C26" i="4"/>
  <c r="AG9" i="7"/>
  <c r="AE9" i="7"/>
  <c r="AB2" i="7"/>
  <c r="AG6" i="7" s="1"/>
  <c r="AG7" i="7" s="1"/>
  <c r="AG8" i="7" s="1"/>
  <c r="F41" i="11" l="1"/>
  <c r="AQ10" i="12"/>
  <c r="AR10" i="12" s="1"/>
  <c r="AK10" i="12"/>
  <c r="AP11" i="12" s="1"/>
  <c r="AR11" i="12" s="1"/>
  <c r="C96" i="4"/>
  <c r="D94" i="4"/>
  <c r="C97" i="4"/>
  <c r="H94" i="4"/>
  <c r="AJ10" i="12"/>
  <c r="AO7" i="12"/>
  <c r="AO9" i="12"/>
  <c r="AO8" i="12"/>
  <c r="E51" i="11"/>
  <c r="V3" i="12"/>
  <c r="V11" i="12"/>
  <c r="V4" i="12"/>
  <c r="V10" i="12"/>
  <c r="Z11" i="7"/>
  <c r="Z10" i="7"/>
  <c r="Z12" i="7"/>
  <c r="F40" i="11"/>
  <c r="E43" i="11" s="1"/>
  <c r="AE6" i="7"/>
  <c r="AE7" i="7" s="1"/>
  <c r="AE8" i="7" s="1"/>
  <c r="AN11" i="12" l="1"/>
  <c r="AM12" i="12"/>
  <c r="AO12" i="12" s="1"/>
  <c r="AN10" i="12"/>
  <c r="AM11" i="12"/>
  <c r="AP12" i="12"/>
  <c r="AR12" i="12" s="1"/>
  <c r="H96" i="4"/>
  <c r="D74" i="11"/>
  <c r="AO10" i="12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" i="5"/>
  <c r="C31" i="4"/>
  <c r="C32" i="4" s="1"/>
  <c r="C27" i="4"/>
  <c r="Z3" i="7" s="1"/>
  <c r="AO11" i="12" l="1"/>
  <c r="V12" i="12"/>
  <c r="V5" i="12"/>
  <c r="H14" i="11" s="1"/>
  <c r="D75" i="11"/>
  <c r="C77" i="11"/>
  <c r="H77" i="11" s="1"/>
  <c r="E69" i="4"/>
  <c r="L6" i="7"/>
  <c r="D92" i="4" s="1"/>
  <c r="C30" i="4"/>
  <c r="C29" i="4"/>
  <c r="AG4" i="7"/>
  <c r="AE4" i="7"/>
  <c r="Z4" i="12" l="1"/>
  <c r="D62" i="11"/>
  <c r="D63" i="11" s="1"/>
  <c r="H62" i="11" s="1"/>
  <c r="T12" i="7"/>
  <c r="T11" i="7"/>
  <c r="U11" i="7"/>
  <c r="T10" i="7"/>
  <c r="U10" i="7"/>
  <c r="AE5" i="7"/>
  <c r="C84" i="4" s="1"/>
  <c r="U4" i="7"/>
  <c r="U3" i="7"/>
  <c r="AG5" i="7"/>
  <c r="T5" i="7"/>
  <c r="Z5" i="7" s="1"/>
  <c r="T3" i="7"/>
  <c r="T4" i="7"/>
  <c r="D62" i="4"/>
  <c r="F60" i="4"/>
  <c r="B60" i="4"/>
  <c r="D60" i="4"/>
  <c r="J3" i="7"/>
  <c r="I3" i="7"/>
  <c r="H40" i="11" s="1"/>
  <c r="I5" i="7"/>
  <c r="J5" i="7"/>
  <c r="I6" i="7"/>
  <c r="J6" i="7"/>
  <c r="B42" i="4"/>
  <c r="E41" i="4"/>
  <c r="B41" i="4"/>
  <c r="Z12" i="17" l="1"/>
  <c r="G84" i="4"/>
  <c r="V4" i="7"/>
  <c r="V10" i="7"/>
  <c r="V11" i="7"/>
  <c r="Z11" i="4"/>
  <c r="V12" i="7"/>
  <c r="V5" i="7"/>
  <c r="V3" i="7"/>
  <c r="D32" i="4"/>
  <c r="D31" i="4"/>
  <c r="G41" i="4"/>
  <c r="E42" i="4"/>
  <c r="D42" i="4"/>
  <c r="H18" i="4" l="1"/>
  <c r="G62" i="4"/>
  <c r="D11" i="4" l="1"/>
  <c r="J4" i="7" l="1"/>
  <c r="I4" i="7"/>
  <c r="H41" i="11" s="1"/>
  <c r="H17" i="4"/>
  <c r="C21" i="4"/>
  <c r="B17" i="4"/>
  <c r="C52" i="4" l="1"/>
  <c r="D75" i="4"/>
  <c r="D76" i="4" s="1"/>
  <c r="D73" i="4"/>
  <c r="G43" i="11"/>
  <c r="E45" i="11" s="1"/>
  <c r="B81" i="11" s="1"/>
  <c r="Z4" i="7"/>
  <c r="C53" i="4"/>
  <c r="F53" i="4" s="1"/>
  <c r="C41" i="4"/>
  <c r="G42" i="4"/>
  <c r="C42" i="4"/>
  <c r="D15" i="4"/>
  <c r="D14" i="4"/>
  <c r="B16" i="4"/>
  <c r="B15" i="4"/>
  <c r="D16" i="4"/>
  <c r="D17" i="4"/>
  <c r="D74" i="4" l="1"/>
  <c r="F62" i="4"/>
  <c r="H62" i="4" s="1"/>
  <c r="D64" i="4"/>
  <c r="F64" i="4"/>
  <c r="H64" i="4" s="1"/>
  <c r="B62" i="4"/>
  <c r="B64" i="4" s="1"/>
  <c r="F41" i="4"/>
  <c r="H41" i="4"/>
  <c r="H42" i="4"/>
  <c r="F52" i="4"/>
  <c r="H52" i="4" s="1"/>
  <c r="F42" i="4"/>
  <c r="D19" i="4"/>
  <c r="D18" i="4"/>
  <c r="C338" i="9"/>
  <c r="D338" i="9"/>
  <c r="C339" i="9"/>
  <c r="D339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46" i="9"/>
  <c r="D346" i="9"/>
  <c r="C347" i="9"/>
  <c r="D347" i="9"/>
  <c r="C348" i="9"/>
  <c r="D348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C337" i="9"/>
  <c r="D337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C305" i="9"/>
  <c r="D305" i="9"/>
  <c r="C306" i="9"/>
  <c r="D306" i="9"/>
  <c r="C307" i="9"/>
  <c r="D307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C319" i="9"/>
  <c r="D319" i="9"/>
  <c r="C320" i="9"/>
  <c r="D320" i="9"/>
  <c r="C321" i="9"/>
  <c r="D321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C328" i="9"/>
  <c r="D328" i="9"/>
  <c r="C329" i="9"/>
  <c r="D329" i="9"/>
  <c r="C330" i="9"/>
  <c r="D330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C295" i="9"/>
  <c r="C261" i="9"/>
  <c r="D261" i="9"/>
  <c r="C262" i="9"/>
  <c r="D262" i="9"/>
  <c r="C263" i="9"/>
  <c r="D263" i="9"/>
  <c r="C264" i="9"/>
  <c r="D264" i="9"/>
  <c r="C265" i="9"/>
  <c r="D265" i="9"/>
  <c r="C266" i="9"/>
  <c r="D266" i="9"/>
  <c r="C267" i="9"/>
  <c r="D267" i="9"/>
  <c r="C268" i="9"/>
  <c r="D268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C279" i="9"/>
  <c r="D279" i="9"/>
  <c r="C280" i="9"/>
  <c r="D280" i="9"/>
  <c r="C281" i="9"/>
  <c r="D281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91" i="9"/>
  <c r="D291" i="9"/>
  <c r="C292" i="9"/>
  <c r="D292" i="9"/>
  <c r="C293" i="9"/>
  <c r="D293" i="9"/>
  <c r="C294" i="9"/>
  <c r="D294" i="9"/>
  <c r="D295" i="9"/>
  <c r="C260" i="9"/>
  <c r="D260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08" i="9"/>
  <c r="D172" i="9"/>
  <c r="D173" i="9"/>
  <c r="D174" i="9"/>
  <c r="D175" i="9"/>
  <c r="C22" i="15" s="1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171" i="9"/>
  <c r="D22" i="15" l="1"/>
  <c r="AH10" i="14"/>
  <c r="AU2" i="14"/>
  <c r="E64" i="4"/>
  <c r="D67" i="4"/>
  <c r="E67" i="4" s="1"/>
  <c r="F67" i="4"/>
  <c r="H67" i="4" s="1"/>
  <c r="C64" i="4"/>
  <c r="B67" i="4"/>
  <c r="E44" i="4"/>
  <c r="G44" i="4"/>
  <c r="AU4" i="14" l="1"/>
  <c r="BC7" i="14" s="1"/>
  <c r="AU5" i="14"/>
  <c r="BC8" i="14" s="1"/>
  <c r="BB5" i="14"/>
  <c r="BB9" i="14" s="1"/>
  <c r="C40" i="15" s="1"/>
  <c r="BC6" i="14"/>
  <c r="BB6" i="14"/>
  <c r="BC5" i="14"/>
  <c r="BC9" i="14" s="1"/>
  <c r="AJ10" i="14"/>
  <c r="AP12" i="14"/>
  <c r="AP11" i="14"/>
  <c r="AQ10" i="14"/>
  <c r="C69" i="4"/>
  <c r="F80" i="4" s="1"/>
  <c r="C67" i="4"/>
  <c r="E46" i="4"/>
  <c r="H6" i="21" l="1"/>
  <c r="AG8" i="20" s="1"/>
  <c r="C41" i="15"/>
  <c r="BC10" i="14"/>
  <c r="BC11" i="14" s="1"/>
  <c r="AO12" i="14"/>
  <c r="AO11" i="14"/>
  <c r="AO10" i="14"/>
  <c r="AR11" i="14"/>
  <c r="AR12" i="14"/>
  <c r="AR10" i="14"/>
  <c r="BB10" i="14"/>
  <c r="BB12" i="14" s="1"/>
  <c r="BC13" i="14"/>
  <c r="BC15" i="14"/>
  <c r="BC16" i="14"/>
  <c r="BC14" i="14"/>
  <c r="H69" i="4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AE5" i="20" l="1"/>
  <c r="AG5" i="20"/>
  <c r="D11" i="21"/>
  <c r="I4" i="20" s="1"/>
  <c r="AE8" i="20"/>
  <c r="H40" i="15"/>
  <c r="B49" i="15" s="1"/>
  <c r="BB11" i="14"/>
  <c r="BC12" i="14"/>
  <c r="B86" i="4"/>
  <c r="G86" i="4" s="1"/>
  <c r="B99" i="4" s="1"/>
  <c r="J4" i="20" l="1"/>
  <c r="F6" i="27"/>
  <c r="D80" i="27"/>
  <c r="H76" i="27" s="1"/>
  <c r="F82" i="27" s="1"/>
  <c r="B85" i="27" s="1"/>
</calcChain>
</file>

<file path=xl/comments1.xml><?xml version="1.0" encoding="utf-8"?>
<comments xmlns="http://schemas.openxmlformats.org/spreadsheetml/2006/main">
  <authors>
    <author>Ximena</author>
    <author>AVauxiliar1</author>
    <author>Admin</author>
    <author>Usuario</author>
  </authors>
  <commentList>
    <comment ref="H14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x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y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sin soporte lateral para la que puede desarrollarse la resistencia plástica en una sección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AVauxiliar1:</t>
        </r>
        <r>
          <rPr>
            <sz val="9"/>
            <color indexed="81"/>
            <rFont val="Tahoma"/>
            <family val="2"/>
          </rPr>
          <t xml:space="preserve">
CONDICIONES PANDEO LOCAL TABLA F.2.2.4-1</t>
        </r>
      </text>
    </comment>
    <comment ref="E42" authorId="1" shapeId="0">
      <text>
        <r>
          <rPr>
            <b/>
            <sz val="9"/>
            <color indexed="81"/>
            <rFont val="Tahoma"/>
            <family val="2"/>
          </rPr>
          <t>AVauxiliar1:</t>
        </r>
        <r>
          <rPr>
            <sz val="9"/>
            <color indexed="81"/>
            <rFont val="Tahoma"/>
            <family val="2"/>
          </rPr>
          <t xml:space="preserve">
CONDICIONES PANDEO LOCAL TABLA F.2.2.4-1</t>
        </r>
      </text>
    </comment>
    <comment ref="D50" authorId="2" shapeId="0">
      <text>
        <r>
          <rPr>
            <sz val="9"/>
            <color indexed="81"/>
            <rFont val="Tahoma"/>
            <family val="2"/>
          </rPr>
          <t xml:space="preserve">METODO DE ANÁLISIS DE PRIMER ORDEN: K=1 PARA TODO LOS MIEMBROS (F.2.21.3) 
</t>
        </r>
      </text>
    </comment>
    <comment ref="F62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Fex</t>
        </r>
      </text>
    </comment>
    <comment ref="G62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Fez</t>
        </r>
      </text>
    </comment>
    <comment ref="H62" authorId="2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</t>
        </r>
      </text>
    </comment>
    <comment ref="B96" authorId="3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CORTANTE EN EJE DÉBIL PARALELO A EJE X, SE CÁLCULA DE ACUERDO A F.2.7.7, SE ASUME QUE EL CORTANTE ES RESISTIDO POR LAS ALETAS</t>
        </r>
      </text>
    </comment>
    <comment ref="C96" authorId="3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El cortante es resistido por las aletas</t>
        </r>
      </text>
    </comment>
    <comment ref="B97" authorId="3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CORTANTE EN EJE FUERTE PARALELO A EJE Y, SE CÁLCULA DE ACUERDO A F.2.7.1, SE ASUME QUE EL CORTANTE ES RESISTIDO POR EL ALMA</t>
        </r>
      </text>
    </comment>
    <comment ref="C97" authorId="3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El cortante es resistido por el alma</t>
        </r>
      </text>
    </comment>
  </commentList>
</comments>
</file>

<file path=xl/comments10.xml><?xml version="1.0" encoding="utf-8"?>
<comments xmlns="http://schemas.openxmlformats.org/spreadsheetml/2006/main">
  <authors>
    <author>Usuario</author>
    <author>Ximena</author>
    <author>AVauxiliar1</author>
    <author>Admin</author>
  </authors>
  <commentList>
    <comment ref="AV1" authorId="0" shapeId="0">
      <text>
        <r>
          <rPr>
            <b/>
            <sz val="9"/>
            <color indexed="81"/>
            <rFont val="Tahoma"/>
            <family val="2"/>
          </rPr>
          <t>Usuario:los únicos perfiles que tienen comportamiento diferente a corte en el eje débil sería los laminados y rectangulares</t>
        </r>
      </text>
    </comment>
    <comment ref="AE3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SE TOMA Cm=1 SEGÚN F.2.22.2.1.(B)
</t>
        </r>
      </text>
    </comment>
    <comment ref="AG3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SE TOMA Cm=1 SEGÚN F.2.22.2.1.(B)
</t>
        </r>
      </text>
    </comment>
    <comment ref="BG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dos aletas resistentes a corte</t>
        </r>
      </text>
    </comment>
    <comment ref="I5" authorId="2" shapeId="0">
      <text>
        <r>
          <rPr>
            <b/>
            <sz val="9"/>
            <color indexed="81"/>
            <rFont val="Tahoma"/>
            <family val="2"/>
          </rPr>
          <t>según la nota c de la tabla F.3.4-1, el limite de ductilidad para columnas y vigas en PTE es 1.12*RAIZ(E/Fy)</t>
        </r>
      </text>
    </comment>
    <comment ref="L6" authorId="3" shapeId="0">
      <text>
        <r>
          <rPr>
            <b/>
            <sz val="26"/>
            <color indexed="81"/>
            <rFont val="Tahoma"/>
            <family val="2"/>
          </rPr>
          <t>Admin:</t>
        </r>
        <r>
          <rPr>
            <sz val="26"/>
            <color indexed="81"/>
            <rFont val="Tahoma"/>
            <family val="2"/>
          </rPr>
          <t xml:space="preserve">
</t>
        </r>
        <r>
          <rPr>
            <b/>
            <sz val="36"/>
            <color indexed="10"/>
            <rFont val="Arial"/>
            <family val="2"/>
          </rPr>
          <t>NO MODIFICAR</t>
        </r>
      </text>
    </comment>
    <comment ref="AD9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máximo momento de primer órden
</t>
        </r>
      </text>
    </comment>
  </commentList>
</comments>
</file>

<file path=xl/comments11.xml><?xml version="1.0" encoding="utf-8"?>
<comments xmlns="http://schemas.openxmlformats.org/spreadsheetml/2006/main">
  <authors>
    <author>Ximena</author>
    <author>Admin</author>
  </authors>
  <commentList>
    <comment ref="H14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x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y</t>
        </r>
      </text>
    </comment>
    <comment ref="D37" authorId="1" shapeId="0">
      <text>
        <r>
          <rPr>
            <sz val="9"/>
            <color indexed="81"/>
            <rFont val="Tahoma"/>
            <family val="2"/>
          </rPr>
          <t xml:space="preserve">METODO DE ANÁLISIS DE PRIMER ORDEN: K=1 PARA TODO LOS MIEMBROS (F.2.21.3) 
</t>
        </r>
      </text>
    </comment>
    <comment ref="F4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Fex</t>
        </r>
      </text>
    </comment>
    <comment ref="G4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Fez</t>
        </r>
      </text>
    </comment>
    <comment ref="H4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Fe</t>
        </r>
      </text>
    </comment>
  </commentList>
</comments>
</file>

<file path=xl/comments12.xml><?xml version="1.0" encoding="utf-8"?>
<comments xmlns="http://schemas.openxmlformats.org/spreadsheetml/2006/main">
  <authors>
    <author>Usuario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tabla F.2.10.3-4</t>
        </r>
      </text>
    </comment>
  </commentList>
</comments>
</file>

<file path=xl/comments2.xml><?xml version="1.0" encoding="utf-8"?>
<comments xmlns="http://schemas.openxmlformats.org/spreadsheetml/2006/main">
  <authors>
    <author>Ximena</author>
    <author>AVauxiliar1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x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sin soporte lateral para la que puede desarrollarse la resistencia plástica en una sección</t>
        </r>
      </text>
    </comment>
    <comment ref="E40" authorId="1" shapeId="0">
      <text>
        <r>
          <rPr>
            <b/>
            <sz val="9"/>
            <color indexed="81"/>
            <rFont val="Tahoma"/>
            <family val="2"/>
          </rPr>
          <t>AVauxiliar1:</t>
        </r>
        <r>
          <rPr>
            <sz val="9"/>
            <color indexed="81"/>
            <rFont val="Tahoma"/>
            <family val="2"/>
          </rPr>
          <t xml:space="preserve">
CONDICIONES PANDEO LOCAL TABLA F.2.2.4-1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AVauxiliar1:</t>
        </r>
        <r>
          <rPr>
            <sz val="9"/>
            <color indexed="81"/>
            <rFont val="Tahoma"/>
            <family val="2"/>
          </rPr>
          <t xml:space="preserve">
CONDICIONES PANDEO LOCAL TABLA F.2.2.4-1</t>
        </r>
      </text>
    </comment>
  </commentList>
</comments>
</file>

<file path=xl/comments3.xml><?xml version="1.0" encoding="utf-8"?>
<comments xmlns="http://schemas.openxmlformats.org/spreadsheetml/2006/main">
  <authors>
    <author>Ximena</author>
    <author>Usuario</author>
  </authors>
  <commentList>
    <comment ref="H13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longitud libre no arriostrada en el sentido x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Numero de puntos con arriostramiento nodal dentro de la luz</t>
        </r>
      </text>
    </comment>
    <comment ref="H18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Espesor del rigidizador</t>
        </r>
      </text>
    </comment>
    <comment ref="H19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Ancho del rigidizador</t>
        </r>
      </text>
    </comment>
    <comment ref="B40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verificación según f.2.19 para arriostramiento torsional</t>
        </r>
      </text>
    </comment>
    <comment ref="B42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verificación según F.3.4.1.2.1 (ii) para arriostramiento de viga.</t>
        </r>
      </text>
    </comment>
  </commentList>
</comments>
</file>

<file path=xl/comments4.xml><?xml version="1.0" encoding="utf-8"?>
<comments xmlns="http://schemas.openxmlformats.org/spreadsheetml/2006/main">
  <authors>
    <author>Usuario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Usuario: Depende de la forma que se conecta a la columna</t>
        </r>
      </text>
    </comment>
  </commentList>
</comments>
</file>

<file path=xl/comments5.xml><?xml version="1.0" encoding="utf-8"?>
<comments xmlns="http://schemas.openxmlformats.org/spreadsheetml/2006/main">
  <authors>
    <author>Usuario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Usuario: Depende de la forma que se conecta a la columna</t>
        </r>
      </text>
    </comment>
  </commentList>
</comments>
</file>

<file path=xl/comments6.xml><?xml version="1.0" encoding="utf-8"?>
<comments xmlns="http://schemas.openxmlformats.org/spreadsheetml/2006/main">
  <authors>
    <author>Ximena</author>
  </authors>
  <commentList>
    <comment ref="AA426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x</t>
        </r>
      </text>
    </comment>
    <comment ref="AB426" authorId="0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e0</t>
        </r>
      </text>
    </comment>
  </commentList>
</comments>
</file>

<file path=xl/comments7.xml><?xml version="1.0" encoding="utf-8"?>
<comments xmlns="http://schemas.openxmlformats.org/spreadsheetml/2006/main">
  <authors>
    <author>Usuario</author>
    <author>Ximena</author>
    <author>AVauxiliar1</author>
    <author>Admin</author>
  </authors>
  <commentList>
    <comment ref="AV1" authorId="0" shapeId="0">
      <text>
        <r>
          <rPr>
            <b/>
            <sz val="9"/>
            <color indexed="81"/>
            <rFont val="Tahoma"/>
            <family val="2"/>
          </rPr>
          <t>Usuario:los únicos perfiles que tienen comportamiento diferente a corte en el eje débil sería los laminados y rectangulares</t>
        </r>
      </text>
    </comment>
    <comment ref="AE3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SE TOMA Cm=1 SEGÚN F.2.22.2.1.(B)
</t>
        </r>
      </text>
    </comment>
    <comment ref="AG3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SE TOMA Cm=1 SEGÚN F.2.22.2.1.(B)
</t>
        </r>
      </text>
    </comment>
    <comment ref="BG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dos aletas resistentes a corte</t>
        </r>
      </text>
    </comment>
    <comment ref="I5" authorId="2" shapeId="0">
      <text>
        <r>
          <rPr>
            <b/>
            <sz val="9"/>
            <color indexed="81"/>
            <rFont val="Tahoma"/>
            <family val="2"/>
          </rPr>
          <t>según la nota c de la tabla F.3.4-1, el limite de ductilidad para columnas y vigas en PTE es 1.12*RAIZ(E/Fy)</t>
        </r>
      </text>
    </comment>
    <comment ref="L6" authorId="3" shapeId="0">
      <text>
        <r>
          <rPr>
            <b/>
            <sz val="26"/>
            <color indexed="81"/>
            <rFont val="Tahoma"/>
            <family val="2"/>
          </rPr>
          <t>Admin:</t>
        </r>
        <r>
          <rPr>
            <sz val="26"/>
            <color indexed="81"/>
            <rFont val="Tahoma"/>
            <family val="2"/>
          </rPr>
          <t xml:space="preserve">
</t>
        </r>
        <r>
          <rPr>
            <b/>
            <sz val="36"/>
            <color indexed="10"/>
            <rFont val="Arial"/>
            <family val="2"/>
          </rPr>
          <t>NO MODIFICAR</t>
        </r>
      </text>
    </comment>
    <comment ref="AD9" authorId="1" shapeId="0">
      <text>
        <r>
          <rPr>
            <b/>
            <sz val="9"/>
            <color indexed="81"/>
            <rFont val="Tahoma"/>
            <family val="2"/>
          </rPr>
          <t>Ximena:</t>
        </r>
        <r>
          <rPr>
            <sz val="9"/>
            <color indexed="81"/>
            <rFont val="Tahoma"/>
            <family val="2"/>
          </rPr>
          <t xml:space="preserve">
máximo momento de primer órden
</t>
        </r>
      </text>
    </comment>
  </commentList>
</comments>
</file>

<file path=xl/comments8.xml><?xml version="1.0" encoding="utf-8"?>
<comments xmlns="http://schemas.openxmlformats.org/spreadsheetml/2006/main">
  <authors>
    <author>AVauxiliar1</author>
    <author>Admin</author>
  </authors>
  <commentList>
    <comment ref="I5" authorId="0" shapeId="0">
      <text>
        <r>
          <rPr>
            <b/>
            <sz val="9"/>
            <color indexed="81"/>
            <rFont val="Tahoma"/>
            <family val="2"/>
          </rPr>
          <t>según la nota c de la tabla F.3.4-1, el limite de ductilidad para columnas y vigas en PTE es 1.12*RAIZ(E/Fy)</t>
        </r>
      </text>
    </comment>
    <comment ref="L6" authorId="1" shapeId="0">
      <text>
        <r>
          <rPr>
            <b/>
            <sz val="26"/>
            <color indexed="81"/>
            <rFont val="Tahoma"/>
            <family val="2"/>
          </rPr>
          <t>Admin:</t>
        </r>
        <r>
          <rPr>
            <sz val="26"/>
            <color indexed="81"/>
            <rFont val="Tahoma"/>
            <family val="2"/>
          </rPr>
          <t xml:space="preserve">
</t>
        </r>
        <r>
          <rPr>
            <b/>
            <sz val="36"/>
            <color indexed="10"/>
            <rFont val="Arial"/>
            <family val="2"/>
          </rPr>
          <t>NO MODIFICAR</t>
        </r>
      </text>
    </comment>
  </commentList>
</comments>
</file>

<file path=xl/comments9.xml><?xml version="1.0" encoding="utf-8"?>
<comments xmlns="http://schemas.openxmlformats.org/spreadsheetml/2006/main">
  <authors>
    <author>Usuario</author>
    <author>AVauxiliar1</author>
    <author>Admin</author>
  </authors>
  <commentList>
    <comment ref="BA1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No cambiar!!</t>
        </r>
      </text>
    </comment>
    <comment ref="I5" authorId="1" shapeId="0">
      <text>
        <r>
          <rPr>
            <b/>
            <sz val="9"/>
            <color indexed="81"/>
            <rFont val="Tahoma"/>
            <family val="2"/>
          </rPr>
          <t>según la nota c de la tabla F.3.4-1, el limite de ductilidad para columnas y vigas en PTE es 1.12*RAIZ(E/Fy)</t>
        </r>
      </text>
    </comment>
    <comment ref="L6" authorId="2" shapeId="0">
      <text>
        <r>
          <rPr>
            <b/>
            <sz val="26"/>
            <color indexed="81"/>
            <rFont val="Tahoma"/>
            <family val="2"/>
          </rPr>
          <t>Admin:</t>
        </r>
        <r>
          <rPr>
            <sz val="26"/>
            <color indexed="81"/>
            <rFont val="Tahoma"/>
            <family val="2"/>
          </rPr>
          <t xml:space="preserve">
</t>
        </r>
        <r>
          <rPr>
            <b/>
            <sz val="36"/>
            <color indexed="10"/>
            <rFont val="Arial"/>
            <family val="2"/>
          </rPr>
          <t>NO MODIFICAR</t>
        </r>
      </text>
    </comment>
  </commentList>
</comments>
</file>

<file path=xl/sharedStrings.xml><?xml version="1.0" encoding="utf-8"?>
<sst xmlns="http://schemas.openxmlformats.org/spreadsheetml/2006/main" count="7180" uniqueCount="2540">
  <si>
    <t>PROYECTO:</t>
  </si>
  <si>
    <t>VERSIÓN 01</t>
  </si>
  <si>
    <t>REVISOR:</t>
  </si>
  <si>
    <t>APROBACIÓN: 01/07/2019</t>
  </si>
  <si>
    <t>ITEM</t>
  </si>
  <si>
    <t>Ref NSR-10</t>
  </si>
  <si>
    <t>CHEQUEO GENERAL</t>
  </si>
  <si>
    <t>VERIFICACIÓN DE CUMPLIMIENTO</t>
  </si>
  <si>
    <t>REQUISITOS GENERALES DE CONTENIDO</t>
  </si>
  <si>
    <t>SI CUMPLE</t>
  </si>
  <si>
    <t>NO CUMPLE</t>
  </si>
  <si>
    <t>NO APLICA</t>
  </si>
  <si>
    <t xml:space="preserve">OBSERVACIONES </t>
  </si>
  <si>
    <t>Diseñador responsable (Memorial de responsabilidad y copia de matrícula)</t>
  </si>
  <si>
    <t>A.1.5.1</t>
  </si>
  <si>
    <t>Planos (Elementos estructurales y no estructurales)</t>
  </si>
  <si>
    <t>A.1.5.2</t>
  </si>
  <si>
    <t>Memorias de cálculo</t>
  </si>
  <si>
    <t>A.1.5.3</t>
  </si>
  <si>
    <t>Especificaciones de construcción</t>
  </si>
  <si>
    <t>Resolución 0017 de 2017 3.3.3.1.</t>
  </si>
  <si>
    <t>Cantidades totales de materiales estructurales</t>
  </si>
  <si>
    <t xml:space="preserve">DESCRIPCIÓN DE LAS MEMORIAS </t>
  </si>
  <si>
    <t>Descripción del sistema estructural</t>
  </si>
  <si>
    <t xml:space="preserve">Cargas verticales </t>
  </si>
  <si>
    <t xml:space="preserve">Cálculo de fuerzas sísmicas </t>
  </si>
  <si>
    <t>Método de análisis estructural utilizado</t>
  </si>
  <si>
    <t xml:space="preserve">Verificación de derivas </t>
  </si>
  <si>
    <t xml:space="preserve">Uso de equipo de procesamiento automático de información para análisis estructural </t>
  </si>
  <si>
    <t>Coherencia técnica con estudio de suelos y coordinación con proyecto arquitectónico</t>
  </si>
  <si>
    <t xml:space="preserve">PARÁMETROS Y PROCEDIMIENTOS DE DISEÑO </t>
  </si>
  <si>
    <t>3.1</t>
  </si>
  <si>
    <t>Zona de amenaza sísmica</t>
  </si>
  <si>
    <t>3.2</t>
  </si>
  <si>
    <t>Grupo de Uso y Coeficiente de Importancia</t>
  </si>
  <si>
    <t>3.3</t>
  </si>
  <si>
    <t>Espectro elástico de diseño</t>
  </si>
  <si>
    <t>3.4</t>
  </si>
  <si>
    <t>Análisis de irregularidades de la estructura</t>
  </si>
  <si>
    <t>3.5</t>
  </si>
  <si>
    <t>Combinaciones de carga</t>
  </si>
  <si>
    <t>3.6</t>
  </si>
  <si>
    <t>Coeficiente de capacidad de disipación de energía</t>
  </si>
  <si>
    <t>3.7</t>
  </si>
  <si>
    <t>Fuerzas internas</t>
  </si>
  <si>
    <t>3.8</t>
  </si>
  <si>
    <t>Diseño de elementos</t>
  </si>
  <si>
    <t>3.8.1</t>
  </si>
  <si>
    <t xml:space="preserve">Columnas </t>
  </si>
  <si>
    <t>3.8.2</t>
  </si>
  <si>
    <t>Vigas</t>
  </si>
  <si>
    <t>3.8.3</t>
  </si>
  <si>
    <t>3.8.4</t>
  </si>
  <si>
    <t>Riostras</t>
  </si>
  <si>
    <t>Conexiones</t>
  </si>
  <si>
    <t>DETALLES CONSTRUCTIVOS (PLANOS DE CONSTRUCCIÓN)</t>
  </si>
  <si>
    <t>PLANTA DE LOCALIZACIÓN DE COLUMNAS  Dimensiones y localización de todos los elementos verticales de resistencia sísmica: columnas</t>
  </si>
  <si>
    <t>PLANTA DE VIGAS AÉREAS  Dimensiones de todos los elementos: vigas, viguetas y riostras.</t>
  </si>
  <si>
    <t>PLANOS DE ELEMENTOS NO ESTRUCTURALES - Detalles de conexiones y refuerzo de los elementos no estructurales como muros de fachada, muros interiores, antepechos dinteles etc.</t>
  </si>
  <si>
    <t>Especificaciones técnicas</t>
  </si>
  <si>
    <t>Detalles constructivos</t>
  </si>
  <si>
    <t>Designación y configuración de los miembros y sus conexiones, sistema de limpieza y protección anticorrosiva</t>
  </si>
  <si>
    <t>Localización y dimensiones de las zonas protegidas</t>
  </si>
  <si>
    <t>Grado de capacidad de disipación de energía</t>
  </si>
  <si>
    <t>Sistema de resistencia sísmica</t>
  </si>
  <si>
    <t>Cargas vivas y de acabados usados</t>
  </si>
  <si>
    <t>Grupo de uso</t>
  </si>
  <si>
    <t>CANTIDADES DE OBRA</t>
  </si>
  <si>
    <t>5.1</t>
  </si>
  <si>
    <t>Despiece</t>
  </si>
  <si>
    <t>5.2</t>
  </si>
  <si>
    <t>Peso total de la estructura</t>
  </si>
  <si>
    <t>OBSERVACIONES GENERALES</t>
  </si>
  <si>
    <t>Fy</t>
  </si>
  <si>
    <t>Cap. Disipación</t>
  </si>
  <si>
    <t>Perfil</t>
  </si>
  <si>
    <t>DMI</t>
  </si>
  <si>
    <t>LAMINADO</t>
  </si>
  <si>
    <t>DMO</t>
  </si>
  <si>
    <t>DES</t>
  </si>
  <si>
    <t>DESIGNACIÓN</t>
  </si>
  <si>
    <t>DIMENSIONES</t>
  </si>
  <si>
    <t>RELACIONES</t>
  </si>
  <si>
    <t>Ag</t>
  </si>
  <si>
    <t>Peso</t>
  </si>
  <si>
    <t>X-X</t>
  </si>
  <si>
    <t>Y-Y</t>
  </si>
  <si>
    <t>J</t>
  </si>
  <si>
    <t>Cw</t>
  </si>
  <si>
    <t>X1</t>
  </si>
  <si>
    <t>X2 (x10^-5)</t>
  </si>
  <si>
    <t>Distancias</t>
  </si>
  <si>
    <t>d</t>
  </si>
  <si>
    <t>bf</t>
  </si>
  <si>
    <t>tf</t>
  </si>
  <si>
    <t>hw</t>
  </si>
  <si>
    <t>tw</t>
  </si>
  <si>
    <t>r</t>
  </si>
  <si>
    <t>b/t</t>
  </si>
  <si>
    <t>h/t</t>
  </si>
  <si>
    <t>Ix</t>
  </si>
  <si>
    <t>Sx</t>
  </si>
  <si>
    <t>rx</t>
  </si>
  <si>
    <t>Qx</t>
  </si>
  <si>
    <t>Zx</t>
  </si>
  <si>
    <t>Iy</t>
  </si>
  <si>
    <t>Sy</t>
  </si>
  <si>
    <t>ry</t>
  </si>
  <si>
    <t>Qy</t>
  </si>
  <si>
    <t>1,5Sy</t>
  </si>
  <si>
    <t>Zy</t>
  </si>
  <si>
    <t>eY</t>
  </si>
  <si>
    <t>eC</t>
  </si>
  <si>
    <t>mm</t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</si>
  <si>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</si>
  <si>
    <t>kg/m</t>
  </si>
  <si>
    <t>cm4</t>
  </si>
  <si>
    <t>cm3</t>
  </si>
  <si>
    <t>cm</t>
  </si>
  <si>
    <t>cm6</t>
  </si>
  <si>
    <t>MPa</t>
  </si>
  <si>
    <t>MPa^-2</t>
  </si>
  <si>
    <t>N/A</t>
  </si>
  <si>
    <t>IPBI 100</t>
  </si>
  <si>
    <t>IPBI 120</t>
  </si>
  <si>
    <t>IPBI 140</t>
  </si>
  <si>
    <t>IPBI 160</t>
  </si>
  <si>
    <t>IPBI 180</t>
  </si>
  <si>
    <t>IPBI 200</t>
  </si>
  <si>
    <t>IPBI 220</t>
  </si>
  <si>
    <t>IPBI 240</t>
  </si>
  <si>
    <t>IPBI 260</t>
  </si>
  <si>
    <t>IPBI 280</t>
  </si>
  <si>
    <t>IPBI 300</t>
  </si>
  <si>
    <t>IPBI 320</t>
  </si>
  <si>
    <t>IPBI 340</t>
  </si>
  <si>
    <t>IPBI 360</t>
  </si>
  <si>
    <t>IPBI 400</t>
  </si>
  <si>
    <t>IPBI 450</t>
  </si>
  <si>
    <t>IPBI 500</t>
  </si>
  <si>
    <t>IPBI 550</t>
  </si>
  <si>
    <t>IPBI 600</t>
  </si>
  <si>
    <t>IPBI 650</t>
  </si>
  <si>
    <t>IPBI 700</t>
  </si>
  <si>
    <t>IPBI 800</t>
  </si>
  <si>
    <t>IPBI 900</t>
  </si>
  <si>
    <t>IPBI 1000</t>
  </si>
  <si>
    <t>IPBv 100</t>
  </si>
  <si>
    <t>IPBv 120</t>
  </si>
  <si>
    <t>IPBv 140</t>
  </si>
  <si>
    <t>IPBv 160</t>
  </si>
  <si>
    <t>IPBv 180</t>
  </si>
  <si>
    <t>IPBv 200</t>
  </si>
  <si>
    <t>IPBv 220</t>
  </si>
  <si>
    <t>IPBv 240</t>
  </si>
  <si>
    <t>IPBv 260</t>
  </si>
  <si>
    <t>IPBv 280</t>
  </si>
  <si>
    <t>IPBv 300</t>
  </si>
  <si>
    <t>IPBv 320/305</t>
  </si>
  <si>
    <t>IPBv 320</t>
  </si>
  <si>
    <t>IPBv 340</t>
  </si>
  <si>
    <t>IPBv 360</t>
  </si>
  <si>
    <t>IPBv 400</t>
  </si>
  <si>
    <t>IPBv 450</t>
  </si>
  <si>
    <t>IPBv 500</t>
  </si>
  <si>
    <t>IPBv 550</t>
  </si>
  <si>
    <t>IPBv 600</t>
  </si>
  <si>
    <t>IPBv 650</t>
  </si>
  <si>
    <t>IPBv 700</t>
  </si>
  <si>
    <t>IPBv 800</t>
  </si>
  <si>
    <t>IPBv 900</t>
  </si>
  <si>
    <t>IPBv 1000</t>
  </si>
  <si>
    <t>UPN 30x15</t>
  </si>
  <si>
    <t>-</t>
  </si>
  <si>
    <t>UPN 40x20</t>
  </si>
  <si>
    <t>UPN 50x25</t>
  </si>
  <si>
    <t>UPN 60</t>
  </si>
  <si>
    <t>UPN 65</t>
  </si>
  <si>
    <t>UPN 80</t>
  </si>
  <si>
    <t>UPN 100</t>
  </si>
  <si>
    <t>UPN 120</t>
  </si>
  <si>
    <t>UPN 140</t>
  </si>
  <si>
    <t>UPN 160</t>
  </si>
  <si>
    <t>UPN 180</t>
  </si>
  <si>
    <t>UPN 200</t>
  </si>
  <si>
    <t>UPN 220</t>
  </si>
  <si>
    <t>UPN 240</t>
  </si>
  <si>
    <t>UPN 260</t>
  </si>
  <si>
    <t>UPN 280</t>
  </si>
  <si>
    <t>UPN 300</t>
  </si>
  <si>
    <t>UPN 320</t>
  </si>
  <si>
    <t>UPN 350</t>
  </si>
  <si>
    <t>UPN 380</t>
  </si>
  <si>
    <t>UPN 400</t>
  </si>
  <si>
    <t>Ø</t>
  </si>
  <si>
    <t>h</t>
  </si>
  <si>
    <t>b</t>
  </si>
  <si>
    <t>t</t>
  </si>
  <si>
    <t>p</t>
  </si>
  <si>
    <t>g</t>
  </si>
  <si>
    <t>C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</si>
  <si>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/m</t>
    </r>
  </si>
  <si>
    <t>Kg/m</t>
  </si>
  <si>
    <r>
      <t>cm</t>
    </r>
    <r>
      <rPr>
        <vertAlign val="superscript"/>
        <sz val="11"/>
        <color theme="1"/>
        <rFont val="Calibri"/>
        <family val="2"/>
        <scheme val="minor"/>
      </rPr>
      <t>4</t>
    </r>
  </si>
  <si>
    <r>
      <t>cm</t>
    </r>
    <r>
      <rPr>
        <vertAlign val="superscript"/>
        <sz val="11"/>
        <color theme="1"/>
        <rFont val="Calibri"/>
        <family val="2"/>
        <scheme val="minor"/>
      </rPr>
      <t>3</t>
    </r>
  </si>
  <si>
    <t>NA</t>
  </si>
  <si>
    <t>DATOS DE ENTRADA</t>
  </si>
  <si>
    <t>PERFIL</t>
  </si>
  <si>
    <t>GRADO DE DISIPACIÓN DE ENERGÍA</t>
  </si>
  <si>
    <t>Valor</t>
  </si>
  <si>
    <t>Unidad</t>
  </si>
  <si>
    <r>
      <rPr>
        <sz val="14"/>
        <color theme="1"/>
        <rFont val="Arial"/>
        <family val="2"/>
      </rPr>
      <t>t</t>
    </r>
    <r>
      <rPr>
        <sz val="8"/>
        <color theme="1"/>
        <rFont val="Arial"/>
        <family val="2"/>
      </rPr>
      <t>w</t>
    </r>
  </si>
  <si>
    <r>
      <rPr>
        <sz val="14"/>
        <color theme="1"/>
        <rFont val="Arial"/>
        <family val="2"/>
      </rPr>
      <t>r</t>
    </r>
    <r>
      <rPr>
        <sz val="8"/>
        <color theme="1"/>
        <rFont val="Arial"/>
        <family val="2"/>
      </rPr>
      <t>x</t>
    </r>
  </si>
  <si>
    <r>
      <rPr>
        <sz val="14"/>
        <color theme="1"/>
        <rFont val="Arial"/>
        <family val="2"/>
      </rPr>
      <t>r</t>
    </r>
    <r>
      <rPr>
        <sz val="8"/>
        <color theme="1"/>
        <rFont val="Arial"/>
        <family val="2"/>
      </rPr>
      <t>y</t>
    </r>
  </si>
  <si>
    <t>&lt;</t>
  </si>
  <si>
    <t>Cm</t>
  </si>
  <si>
    <t>E [MPa]</t>
  </si>
  <si>
    <t>Fy [MPa]</t>
  </si>
  <si>
    <t>TUBULAR_CUADRADO</t>
  </si>
  <si>
    <t>TUBULAR_RECTANGULAR</t>
  </si>
  <si>
    <t>TUBULAR_CIRCULAR</t>
  </si>
  <si>
    <r>
      <rPr>
        <sz val="14"/>
        <color theme="1"/>
        <rFont val="Arial"/>
        <family val="2"/>
      </rPr>
      <t>A</t>
    </r>
    <r>
      <rPr>
        <sz val="8"/>
        <color theme="1"/>
        <rFont val="Arial"/>
        <family val="2"/>
      </rPr>
      <t>g</t>
    </r>
  </si>
  <si>
    <t>VERIFICACIÓN PANDEO LOCAL F.2.2.4-1</t>
  </si>
  <si>
    <t>VERIFICACIÓN DE DUCTILIDAD F.3.4-1</t>
  </si>
  <si>
    <t>Pu [kN]</t>
  </si>
  <si>
    <t>ELEMENTO</t>
  </si>
  <si>
    <t>TUBULAR RECTANGULAR</t>
  </si>
  <si>
    <t>TUBULAR CIRCULAR</t>
  </si>
  <si>
    <t>DUCTILIDAD MODERADA</t>
  </si>
  <si>
    <t>DUCTILIDA ALTA</t>
  </si>
  <si>
    <t>Ca</t>
  </si>
  <si>
    <t>VERIFICACIÓN DE DUCTILIDAD SEGÚN F.3.4-1</t>
  </si>
  <si>
    <t>bf/2tf (Aletas)</t>
  </si>
  <si>
    <t>hw/tw (Alma)</t>
  </si>
  <si>
    <t>T, CIRCULAR Ø 12,70 mm, t=0,70 mm</t>
  </si>
  <si>
    <t>T, CIRCULAR Ø 12,70 mm, t=0,90 mm</t>
  </si>
  <si>
    <t>T, CIRCULAR Ø 12,70 mm, t=1,25 mm</t>
  </si>
  <si>
    <t>T, CIRCULAR Ø 12,70 mm, t=1,60 mm</t>
  </si>
  <si>
    <t>T, CIRCULAR Ø 15,87 mm, t=0,70 mm</t>
  </si>
  <si>
    <t>T, CIRCULAR Ø 15,87 mm, t=0,90 mm</t>
  </si>
  <si>
    <t>T, CIRCULAR Ø 15,87 mm, t=1,25 mm</t>
  </si>
  <si>
    <t>T, CIRCULAR Ø 15,87 mm, t=1,60 mm</t>
  </si>
  <si>
    <t>T, CIRCULAR Ø 19,05 mm, t=0,70 mm</t>
  </si>
  <si>
    <t>T, CIRCULAR Ø 19,05 mm, t=0,90 mm</t>
  </si>
  <si>
    <t>T, CIRCULAR Ø 19,05 mm, t=1,25 mm</t>
  </si>
  <si>
    <t>T, CIRCULAR Ø 19,05 mm, t=1,60 mm</t>
  </si>
  <si>
    <t>T, CIRCULAR Ø 19,05 mm, t=2,00 mm</t>
  </si>
  <si>
    <t>T, CIRCULAR Ø 22,22 mm, t=0,70 mm</t>
  </si>
  <si>
    <t>T, CIRCULAR Ø 22,22 mm, t=0,90 mm</t>
  </si>
  <si>
    <t>T, CIRCULAR Ø 22,22 mm, t=1,25 mm</t>
  </si>
  <si>
    <t>T, CIRCULAR Ø 22,22 mm, t=1,60 mm</t>
  </si>
  <si>
    <t>T, CIRCULAR Ø 22,22 mm, t=2,00 mm</t>
  </si>
  <si>
    <t>T, CIRCULAR Ø 25,40 mm, t=0,70 mm</t>
  </si>
  <si>
    <t>T, CIRCULAR Ø 25,40 mm, t=0,90 mm</t>
  </si>
  <si>
    <t>T, CIRCULAR Ø 25,40 mm, t=1,25 mm</t>
  </si>
  <si>
    <t>T, CIRCULAR Ø 25,40 mm, t=1,60 mm</t>
  </si>
  <si>
    <t>T, CIRCULAR Ø 25,40 mm, t=2,00 mm</t>
  </si>
  <si>
    <t>T, CIRCULAR Ø 25,40 mm, t=2,50 mm</t>
  </si>
  <si>
    <t>T, CIRCULAR Ø 31,75 mm, t=0,90 mm</t>
  </si>
  <si>
    <t>T, CIRCULAR Ø 31,75 mm, t=1,25 mm</t>
  </si>
  <si>
    <t>T, CIRCULAR Ø 31,75 mm, t=1,60 mm</t>
  </si>
  <si>
    <t>T, CIRCULAR Ø 31,75 mm, t=2,00 mm</t>
  </si>
  <si>
    <t>T, CIRCULAR Ø 31,75 mm, t=2,50 mm</t>
  </si>
  <si>
    <t>T, CIRCULAR Ø 31,75 mm, t=3,20 mm</t>
  </si>
  <si>
    <t>T, CIRCULAR Ø 38,10 mm, t=0,90 mm</t>
  </si>
  <si>
    <t>T, CIRCULAR Ø 38,10 mm, t=1,25 mm</t>
  </si>
  <si>
    <t>T, CIRCULAR Ø 38,10 mm, t=1,60 mm</t>
  </si>
  <si>
    <t>T, CIRCULAR Ø 38,10 mm, t=2,00 mm</t>
  </si>
  <si>
    <t>T, CIRCULAR Ø 38,10 mm, t=2,50 mm</t>
  </si>
  <si>
    <t>T, CIRCULAR Ø 38,10 mm, t=3,20 mm</t>
  </si>
  <si>
    <t>T, CIRCULAR Ø 44,45 mm, t=0,90 mm</t>
  </si>
  <si>
    <t>T, CIRCULAR Ø 44,45 mm, t=1,25 mm</t>
  </si>
  <si>
    <t>T, CIRCULAR Ø 44,45 mm, t=1,60 mm</t>
  </si>
  <si>
    <t>T, CIRCULAR Ø 44,45 mm, t=2,00 mm</t>
  </si>
  <si>
    <t>T, CIRCULAR Ø 44,45 mm, t=2,50 mm</t>
  </si>
  <si>
    <t>T, CIRCULAR Ø 44,45 mm, t=3,20 mm</t>
  </si>
  <si>
    <t>T, CIRCULAR Ø 50,80 mm, t=0,90 mm</t>
  </si>
  <si>
    <t>T, CIRCULAR Ø 50,80 mm, t=1,25 mm</t>
  </si>
  <si>
    <t>T, CIRCULAR Ø 50,80 mm, t=1,60 mm</t>
  </si>
  <si>
    <t>T, CIRCULAR Ø 50,80 mm, t=2,00 mm</t>
  </si>
  <si>
    <t>T, CIRCULAR Ø 50,80 mm, t=2,50 mm</t>
  </si>
  <si>
    <t>T, CIRCULAR Ø 50,80 mm, t=3,20 mm</t>
  </si>
  <si>
    <t>T, CIRCULAR Ø 57,15 mm, t=0,90 mm</t>
  </si>
  <si>
    <t>T, CIRCULAR Ø 57,15 mm, t=1,25 mm</t>
  </si>
  <si>
    <t>T, CIRCULAR Ø 57,15 mm, t=1,60 mm</t>
  </si>
  <si>
    <t>T, CIRCULAR Ø 57,15 mm, t=2,00 mm</t>
  </si>
  <si>
    <t>T, CIRCULAR Ø 57,15 mm, t=2,50 mm</t>
  </si>
  <si>
    <t>T, CIRCULAR Ø 57,15 mm, t=3,20 mm</t>
  </si>
  <si>
    <t>T, CIRCULAR Ø 63,50 mm, t=1,25 mm</t>
  </si>
  <si>
    <t>T, CIRCULAR Ø 63,50 mm, t=1,60 mm</t>
  </si>
  <si>
    <t>T, CIRCULAR Ø 63,50 mm, t=2,00 mm</t>
  </si>
  <si>
    <t>T, CIRCULAR Ø 63,50 mm, t=2,50 mm</t>
  </si>
  <si>
    <t>T, CIRCULAR Ø 63,50 mm, t=3,20 mm</t>
  </si>
  <si>
    <t>T, CIRCULAR Ø 63,50 mm, t=4,00 mm</t>
  </si>
  <si>
    <t>T, CIRCULAR Ø 76,20 mm, t=1,60 mm</t>
  </si>
  <si>
    <t>T, CIRCULAR Ø 76,20 mm, t=2,00 mm</t>
  </si>
  <si>
    <t>T, CIRCULAR Ø 76,20 mm, t=2,50 mm</t>
  </si>
  <si>
    <t>T, CIRCULAR Ø 76,20 mm, t=3,20 mm</t>
  </si>
  <si>
    <t>T, CIRCULAR Ø 76,20 mm, t=4,00 mm</t>
  </si>
  <si>
    <t>T, CIRCULAR Ø 76,20 mm, t=4,76 mm</t>
  </si>
  <si>
    <t xml:space="preserve">T, CIRCULAR Ø 88,90 mm, t=2,50 mm </t>
  </si>
  <si>
    <t xml:space="preserve">T, CIRCULAR Ø 88,90 mm, t=3,20 mm </t>
  </si>
  <si>
    <t xml:space="preserve">T, CIRCULAR Ø 88,90 mm, t=4,00 mm </t>
  </si>
  <si>
    <t xml:space="preserve">T, CIRCULAR Ø 88,90 mm, t=4,76 mm </t>
  </si>
  <si>
    <t xml:space="preserve">T, CIRCULAR Ø 88,90 mm, t=5,50 mm </t>
  </si>
  <si>
    <t xml:space="preserve">T, CIRCULAR Ø 88,90 mm, t=6,35 mm </t>
  </si>
  <si>
    <t>T, CIRCULAR Ø 101,6 mm, t=2,00 mm</t>
  </si>
  <si>
    <t>T, CIRCULAR Ø 101,6 mm, t=2,50 mm</t>
  </si>
  <si>
    <t>T, CIRCULAR Ø 101,6 mm, t=3,20 mm</t>
  </si>
  <si>
    <t>T, CIRCULAR Ø 101,6 mm, t=4,00 mm</t>
  </si>
  <si>
    <t>T, CIRCULAR Ø 101,6 mm, t=4,76 mm</t>
  </si>
  <si>
    <t>T, CIRCULAR Ø 101,6 mm, t=6,35 mm</t>
  </si>
  <si>
    <t>T, CIRCULAR Ø 127,0 mm, t=2,50 mm</t>
  </si>
  <si>
    <t>T, CIRCULAR Ø 127,0 mm, t=3,20 mm</t>
  </si>
  <si>
    <t>T, CIRCULAR Ø 127,0 mm, t=4,00 mm</t>
  </si>
  <si>
    <t>T, CIRCULAR Ø 127,0 mm, t=4,75 mm</t>
  </si>
  <si>
    <t>T, CIRCULAR Ø 127,0 mm, t=6,35 mm</t>
  </si>
  <si>
    <t>T, CIRCULAR Ø 168,3 mm, t=3,20 mm</t>
  </si>
  <si>
    <t>T, CIRCULAR Ø 168,3 mm, t=4,00 mm</t>
  </si>
  <si>
    <t>T, CIRCULAR Ø 168,3 mm, t=4,75 mm</t>
  </si>
  <si>
    <t>T, CIRCULAR Ø 168,3 mm, t=6,35 mm</t>
  </si>
  <si>
    <t>T, CIRCULAR Ø 168,3 mm, t=7,10 mm</t>
  </si>
  <si>
    <t>T, CIRCULAR Ø 219,1 mm, t=4,00 mm</t>
  </si>
  <si>
    <t>T, CIRCULAR Ø 219,1 mm, t=4,76 mm</t>
  </si>
  <si>
    <t>T, CIRCULAR Ø 219,1 mm, t=6,35 mm</t>
  </si>
  <si>
    <t>T, CIRCULAR Ø 219,1 mm, t=7,95 mm</t>
  </si>
  <si>
    <t>T, CIRCULAR Ø 219,1 mm, t=9,53 mm</t>
  </si>
  <si>
    <t>T, CIRCULAR Ø 219,1 mm, t=11,10 mm</t>
  </si>
  <si>
    <t>T, CIRCULAR Ø 219,1 mm, t=12,70 mm</t>
  </si>
  <si>
    <t>T, CIRCULAR Ø 273,0 mm, t=6,35 mm</t>
  </si>
  <si>
    <t>T, CIRCULAR Ø 273,0 mm, t=7,95 mm</t>
  </si>
  <si>
    <t>T, CIRCULAR Ø 273,0 mm, t=9,53 mm</t>
  </si>
  <si>
    <t>T, CIRCULAR Ø 273,0 mm, t=11,10 mm</t>
  </si>
  <si>
    <t>T, CIRCULAR Ø 273,0 mm, t=12,70 mm</t>
  </si>
  <si>
    <t>T, CIRCULAR Ø 323,8 mm, t=6,35 mm</t>
  </si>
  <si>
    <t>T, CIRCULAR Ø 323,8 mm, t=7,95 mm</t>
  </si>
  <si>
    <t>T, CIRCULAR Ø 323,8 mm, t=9,53 mm</t>
  </si>
  <si>
    <t>T, CIRCULAR Ø 323,8 mm, t=11,10 mm</t>
  </si>
  <si>
    <t>T, CIRCULAR Ø 323,8 mm, t=12,70 mm</t>
  </si>
  <si>
    <t>T, CIRCULAR Ø 355,6 mm, t=6,35 mm</t>
  </si>
  <si>
    <t>T, CIRCULAR Ø 355,6 mm, t=7,95 mm</t>
  </si>
  <si>
    <t>T, CIRCULAR Ø 355,6 mm, t=9,53 mm</t>
  </si>
  <si>
    <t>T, CIRCULAR Ø 355,6 mm, t=11,10 mm</t>
  </si>
  <si>
    <t>T, CIRCULAR Ø 355,6 mm, t=12,70 mm</t>
  </si>
  <si>
    <t>T, CIRCULAR Ø 406,4 mm, t=6,35 mm</t>
  </si>
  <si>
    <t>T, CIRCULAR Ø 406,4 mm, t=7,95 mm</t>
  </si>
  <si>
    <t>T, CIRCULAR Ø 406,4 mm, t=9,53 mm</t>
  </si>
  <si>
    <t>T, CIRCULAR Ø 406,4 mm, t=11,10 mm</t>
  </si>
  <si>
    <t>T, CIRCULAR Ø 406,4 mm, t=12,70 mm</t>
  </si>
  <si>
    <t>T, CIRCULAR Ø 457,2 mm, t=6,35 mm</t>
  </si>
  <si>
    <t>T, CIRCULAR Ø 457,2 mm, t=7,95 mm</t>
  </si>
  <si>
    <t>T, CIRCULAR Ø 457,2 mm, t=9,53 mm</t>
  </si>
  <si>
    <t>T, CIRCULAR Ø 457,2 mm, t=11,10 mm</t>
  </si>
  <si>
    <t>T, CIRCULAR Ø 457,2 mm, t=12,70 mm</t>
  </si>
  <si>
    <t>T, CIRCULAR Ø 508,2 mm, t=6,35 mm</t>
  </si>
  <si>
    <t>T, CIRCULAR Ø 508,2 mm, t=9,53 mm</t>
  </si>
  <si>
    <t>T, CIRCULAR Ø 508,2 mm, t=12,70 mm</t>
  </si>
  <si>
    <t>T, CIRCULAR Ø 508,2 mm, t=15,87 mm</t>
  </si>
  <si>
    <t>T, CIRCULAR Ø 558,8 mm, t=6,35 mm</t>
  </si>
  <si>
    <t>T, CIRCULAR Ø 558,8 mm, t=9,53 mm</t>
  </si>
  <si>
    <t>T, CIRCULAR Ø 558,8 mm, t=12,70 mm</t>
  </si>
  <si>
    <t>T, CIRCULAR Ø 609,6 mm, t=6,35 mm</t>
  </si>
  <si>
    <t>T, CIRCULAR Ø 609,6 mm, t=9,53 mm</t>
  </si>
  <si>
    <t>T, CIRCULAR Ø 609,6 mm, t=12,70 mm</t>
  </si>
  <si>
    <t>T, CIRCULAR Ø 609,6 mm, t=15,87 mm</t>
  </si>
  <si>
    <t>T, CIRCULAR Ø 762,0 mm, t=7,92 mm</t>
  </si>
  <si>
    <t>T, CIRCULAR Ø 762,0 mm, t=9,53 mm</t>
  </si>
  <si>
    <t>T, CIRCULAR Ø 762,0 mm, t=12,70 mm</t>
  </si>
  <si>
    <t>T, CIRCULAR Ø 762,0 mm, t=15,87 mm</t>
  </si>
  <si>
    <t>T, CIRCULAR Ø 914,4 mm, t=7,92 mm</t>
  </si>
  <si>
    <t>T, CIRCULAR Ø 914,4 mm, t=9,53 mm</t>
  </si>
  <si>
    <t>T, CIRCULAR Ø 914,4 mm, t=12,70 mm</t>
  </si>
  <si>
    <t>T, CIRCULAR Ø 914,4 mm, t=15,87 mm</t>
  </si>
  <si>
    <t>T, CIRCULAR Ø 914,4 mm, t=19,05 mm</t>
  </si>
  <si>
    <t>T, CIRCULAR Ø 1066,8 mm, t=9,53 mm</t>
  </si>
  <si>
    <t>T, CIRCULAR Ø 1066,8 mm, t=11,10 mm</t>
  </si>
  <si>
    <t>T, CIRCULAR Ø 1066,8 mm, t=12,70 mm</t>
  </si>
  <si>
    <t>T, CIRCULAR Ø 1066,8 mm, t=15,87 mm</t>
  </si>
  <si>
    <t>T, CIRCULAR Ø 1066,8 mm, t=19,05 mm</t>
  </si>
  <si>
    <t>T, CIRCULAR Ø 1219,2 mm, t=9,53 mm</t>
  </si>
  <si>
    <t>T, CIRCULAR Ø 1219,2 mm, t=11,10 mm</t>
  </si>
  <si>
    <t>T, CIRCULAR Ø 1219,2 mm, t=12,70 mm</t>
  </si>
  <si>
    <t>T, CIRCULAR Ø 1219,2 mm, t=15,87 mm</t>
  </si>
  <si>
    <t>T, CIRCULAR Ø 1219,2 mm, t=19,05 mm</t>
  </si>
  <si>
    <t>T, CIRCULAR Ø 1320,8 mm, t=9,53 mm</t>
  </si>
  <si>
    <t>T, CIRCULAR Ø 1320,8 mm, t=11,10 mm</t>
  </si>
  <si>
    <t>T, CIRCULAR Ø 1320,8 mm, t=12,70 mm</t>
  </si>
  <si>
    <t>T, CIRCULAR Ø 1320,8 mm, t=15,87 mm</t>
  </si>
  <si>
    <t>T, CIRCULAR Ø 1320,8 mm, t=19,05 mm</t>
  </si>
  <si>
    <t>T, CIRCULAR Ø 1422,4 mm, t=9,53 mm</t>
  </si>
  <si>
    <t>T, CIRCULAR Ø 1422,4 mm, t=11,10 mm</t>
  </si>
  <si>
    <t>T, CIRCULAR Ø 1422,4 mm, t=12,70 mm</t>
  </si>
  <si>
    <t>T, CIRCULAR Ø 1422,4 mm, t=15,87 mm</t>
  </si>
  <si>
    <t>T, CIRCULAR Ø 1422,4 mm, t=19,05 mm</t>
  </si>
  <si>
    <t>T, CIRCULAR Ø 1524, 0 mm, t=9,53 mm</t>
  </si>
  <si>
    <t>T, CIRCULAR Ø 1524, 0 mm, t=11,10 mm</t>
  </si>
  <si>
    <t>T, CIRCULAR Ø 1524, 0 mm, t=12,70 mm</t>
  </si>
  <si>
    <t>T, CIRCULAR Ø 1524, 0 mm, t=15,87 mm</t>
  </si>
  <si>
    <t>T, CIRCULAR Ø 1524, 0 mm, t=19,05 mm</t>
  </si>
  <si>
    <t>T, CIRCULAR Ø 1828,8 mm, t=12,70 mm</t>
  </si>
  <si>
    <t>T, CIRCULAR Ø 1828,8 mm, t=15,87 mm</t>
  </si>
  <si>
    <t>T, CIRCULAR Ø 1828,8 mm, t=19,05 mm</t>
  </si>
  <si>
    <t>T, CUADRADO B=15 mm, t=0,70 mm</t>
  </si>
  <si>
    <t>T, CUADRADO B=15 mm, t=0,90 mm</t>
  </si>
  <si>
    <t>T, CUADRADO B=15 mm, t=1,25 mm</t>
  </si>
  <si>
    <t>T, CUADRADO B=20 mm, t=0,90 mm</t>
  </si>
  <si>
    <t>T, CUADRADO B=20 mm, t=1,25 mm</t>
  </si>
  <si>
    <t>T, CUADRADO B=20 mm, t=1,60 mm</t>
  </si>
  <si>
    <t>T, CUADRADO B=25 mm, t=0,90 mm</t>
  </si>
  <si>
    <t>T, CUADRADO B=25 mm, t=1,25 mm</t>
  </si>
  <si>
    <t>T, CUADRADO B=25 mm, t=1,60 mm</t>
  </si>
  <si>
    <t>T, CUADRADO B=25 mm, t=2,00 mm</t>
  </si>
  <si>
    <t>T, CUADRADO B=30 mm, t=0,90 mm</t>
  </si>
  <si>
    <t>T, CUADRADO B=30 mm, t=1,25 mm</t>
  </si>
  <si>
    <t>T, CUADRADO B=30 mm, t=1,60 mm</t>
  </si>
  <si>
    <t>T, CUADRADO B=30 mm, t=2,00 mm</t>
  </si>
  <si>
    <t>T, CUADRADO B=40 mm, t=1,25 mm</t>
  </si>
  <si>
    <t>T, CUADRADO B=40 mm, t=1,60 mm</t>
  </si>
  <si>
    <t>T, CUADRADO B=40 mm, t=2,00 mm</t>
  </si>
  <si>
    <t>T, CUADRADO B=40 mm, t=2,50 mm</t>
  </si>
  <si>
    <t>T, CUADRADO B=50 mm, t=1,60 mm</t>
  </si>
  <si>
    <t>T, CUADRADO B=50 mm, t=2,00 mm</t>
  </si>
  <si>
    <t>T, CUADRADO B=50 mm, t=2,50 mm</t>
  </si>
  <si>
    <t>T, CUADRADO B=50 mm, t=3,20 mm</t>
  </si>
  <si>
    <t>T, CUADRADO B=60 mm, t=1,60 mm</t>
  </si>
  <si>
    <t>T, CUADRADO B=60 mm, t=2,00 mm</t>
  </si>
  <si>
    <t>T, CUADRADO B=60 mm, t=2,50 mm</t>
  </si>
  <si>
    <t>T, CUADRADO B=60 mm, t=3,20 mm</t>
  </si>
  <si>
    <t>T, CUADRADO B=60 mm, t=4,00 mm</t>
  </si>
  <si>
    <t>T, CUADRADO B=80 mm, t=2,00 mm</t>
  </si>
  <si>
    <t>T, CUADRADO B=80 mm, t=2,50 mm</t>
  </si>
  <si>
    <t>T, CUADRADO B=80 mm, t=3,20 mm</t>
  </si>
  <si>
    <t>T, CUADRADO B=80 mm, t=4,00 mm</t>
  </si>
  <si>
    <t>T, CUADRADO B=80 mm, t=4,76 mm</t>
  </si>
  <si>
    <t>T, CUADRADO B=90 mm, t=2,50 mm</t>
  </si>
  <si>
    <t>T, CUADRADO B=90 mm, t=3,20 mm</t>
  </si>
  <si>
    <t>T, CUADRADO B=90 mm, t=4,00 mm</t>
  </si>
  <si>
    <t>T, CUADRADO B=90 mm, t=4,76 mm</t>
  </si>
  <si>
    <t>T, CUADRADO B=90 mm, t=6,35 mm</t>
  </si>
  <si>
    <t>T, CUADRADO B=100 mm, t=3,20 mm</t>
  </si>
  <si>
    <t>T, CUADRADO B=100 mm, t=4,00 mm</t>
  </si>
  <si>
    <t>T, CUADRADO B=100 mm, t=4,76 mm</t>
  </si>
  <si>
    <t>T, CUADRADO B=100 mm, t=6,35 mm</t>
  </si>
  <si>
    <t>T, CUADRADO B=110 mm, t=3,20 mm</t>
  </si>
  <si>
    <t>T, CUADRADO B=110 mm, t=4,00 mm</t>
  </si>
  <si>
    <t>T, CUADRADO B=110 mm, t=4,76 mm</t>
  </si>
  <si>
    <t>T, CUADRADO B=110 mm, t=6,35 mm</t>
  </si>
  <si>
    <t>T, CUADRADO B=120 mm, t=4,00 mm</t>
  </si>
  <si>
    <t>T, CUADRADO B=120 mm, t=5,00 mm</t>
  </si>
  <si>
    <t>T, CUADRADO B=120 mm, t=6,00 mm</t>
  </si>
  <si>
    <t>T, CUADRADO B=120 mm, t=8,00 mm</t>
  </si>
  <si>
    <t>T, CUADRADO B=120 mm, t=10,00 mm</t>
  </si>
  <si>
    <t>T, CUADRADO B=120 mm, t=12,00 mm</t>
  </si>
  <si>
    <t>T, CUADRADO B=140 mm, t=4,00 mm</t>
  </si>
  <si>
    <t>T, CUADRADO B=140 mm, t=5,00 mm</t>
  </si>
  <si>
    <t>T, CUADRADO B=140 mm, t=6,00 mm</t>
  </si>
  <si>
    <t>T, CUADRADO B=140 mm, t=8,00 mm</t>
  </si>
  <si>
    <t>T, CUADRADO B=140 mm, t=10,00 mm</t>
  </si>
  <si>
    <t>T, CUADRADO B=140 mm, t=12,00 mm</t>
  </si>
  <si>
    <t>T, CUADRADO B=150 mm, t=4,00 mm</t>
  </si>
  <si>
    <t>T, CUADRADO B=150 mm, t=5,00 mm</t>
  </si>
  <si>
    <t>T, CUADRADO B=150 mm, t=6,00 mm</t>
  </si>
  <si>
    <t>T, CUADRADO B=150 mm, t=8,00 mm</t>
  </si>
  <si>
    <t>T, CUADRADO B=150 mm, t=10,00 mm</t>
  </si>
  <si>
    <t>T, CUADRADO B=150 mm, t=12,00 mm</t>
  </si>
  <si>
    <t>T, CUADRADO B=180 mm, t=5,00 mm</t>
  </si>
  <si>
    <t>T, CUADRADO B=180 mm, t=6,00 mm</t>
  </si>
  <si>
    <t>T, CUADRADO B=180 mm, t=8,00 mm</t>
  </si>
  <si>
    <t>T, CUADRADO B=180 mm, t=10,00 mm</t>
  </si>
  <si>
    <t>T, CUADRADO B=180 mm, t=12,00 mm</t>
  </si>
  <si>
    <t>T, CUADRADO B=200 mm, t=5,00 mm</t>
  </si>
  <si>
    <t>T, CUADRADO B=200 mm, t=6,00 mm</t>
  </si>
  <si>
    <t>T, CUADRADO B=200 mm, t=8,00 mm</t>
  </si>
  <si>
    <t>T, CUADRADO B=200 mm, t=10,00 mm</t>
  </si>
  <si>
    <t>T, CUADRADO B=200 mm, t=12,00 mm</t>
  </si>
  <si>
    <t>T, CUADRADO B=250 mm, t=6,00 mm</t>
  </si>
  <si>
    <t>T, CUADRADO B=250 mm, t=8,00 mm</t>
  </si>
  <si>
    <t>T, CUADRADO B=250 mm, t=10,00 mm</t>
  </si>
  <si>
    <t>T, CUADRADO B=250 mm, t=12,00 mm</t>
  </si>
  <si>
    <t>T, CUADRADO B=300 mm, t=6,00 mm</t>
  </si>
  <si>
    <t>T, CUADRADO B=300 mm, t=8,00 mm</t>
  </si>
  <si>
    <t>T, CUADRADO B=300 mm, t=10,00 mm</t>
  </si>
  <si>
    <t>T, CUADRADO B=300 mm, t=12,00 mm</t>
  </si>
  <si>
    <t>T, CUADRADO B=350 mm, t=6,00 mm</t>
  </si>
  <si>
    <t>T, CUADRADO B=350 mm, t=8,00 mm</t>
  </si>
  <si>
    <t>T, CUADRADO B=350 mm, t=10,00 mm</t>
  </si>
  <si>
    <t>T, CUADRADO B=350 mm, t=12,00 mm</t>
  </si>
  <si>
    <t>T, CUADRADO B=400 mm, t=8,00 mm</t>
  </si>
  <si>
    <t>T, CUADRADO B=400 mm, t=10,00 mm</t>
  </si>
  <si>
    <t>T, CUADRADO B=400 mm, t=12,00 mm</t>
  </si>
  <si>
    <t>T, CUADRADO B=400 mm, t=14,00 mm</t>
  </si>
  <si>
    <t>T, RECTANGULAR B=10 mm H=20 mm, t=0,70 mm</t>
  </si>
  <si>
    <t>T, RECTANGULAR B=10 mm H=20 mm, t=0,90 mm</t>
  </si>
  <si>
    <t>T, RECTANGULAR B=15 mm H=25 mm, t=0,90 mm</t>
  </si>
  <si>
    <t>T, RECTANGULAR B=15 mm H=25 mm, t=1,25 mm</t>
  </si>
  <si>
    <t>T, RECTANGULAR B=20 mm H=30 mm, t=0,90 mm</t>
  </si>
  <si>
    <t>T, RECTANGULAR B=20 mm H=30 mm, t=1,25 mm</t>
  </si>
  <si>
    <t>T, RECTANGULAR B=20 mm H=30 mm, t=1,60 mm</t>
  </si>
  <si>
    <t>T, RECTANGULAR B=20 mm H=40 mm, t=0,90 mm</t>
  </si>
  <si>
    <t>T, RECTANGULAR B=20 mm H=40 mm, t=1,25 mm</t>
  </si>
  <si>
    <t>T, RECTANGULAR B=20 mm H=40 mm, t=1,60 mm</t>
  </si>
  <si>
    <t>T, RECTANGULAR B=30 mm H=40 mm, t=1,25 mm</t>
  </si>
  <si>
    <t>T, RECTANGULAR B=30 mm H=40 mm, t=1,60 mm</t>
  </si>
  <si>
    <t>T, RECTANGULAR B=30 mm H=40 mm, t=2,00 mm</t>
  </si>
  <si>
    <t>T, RECTANGULAR B=30 mm H=50 mm, t=1,25 mm</t>
  </si>
  <si>
    <t>T, RECTANGULAR B=30 mm H=50 mm, t=1,60 mm</t>
  </si>
  <si>
    <t>T, RECTANGULAR B=30 mm H=50 mm, t=2,00 mm</t>
  </si>
  <si>
    <t>T, RECTANGULAR B=30 mm H=50 mm, t=2,50 mm</t>
  </si>
  <si>
    <t>T, RECTANGULAR B=30 mm H=60 mm, t=1,60 mm</t>
  </si>
  <si>
    <t>T, RECTANGULAR B=30 mm H=60 mm, t=2,00 mm</t>
  </si>
  <si>
    <t>T, RECTANGULAR B=30 mm H=60 mm, t=2,50 mm</t>
  </si>
  <si>
    <t>T, RECTANGULAR B=30 mm H=70 mm, t=1,60 mm</t>
  </si>
  <si>
    <t>T, RECTANGULAR B=30 mm H=70 mm, t=2,00 mm</t>
  </si>
  <si>
    <t>T, RECTANGULAR B=30 mm H=70 mm, t=2,50 mm</t>
  </si>
  <si>
    <t>T, RECTANGULAR B=40 mm H=50 mm, t=1,60 mm</t>
  </si>
  <si>
    <t>T, RECTANGULAR B=40 mm H=50 mm, t=2,00 mm</t>
  </si>
  <si>
    <t>T, RECTANGULAR B=40 mm H=50 mm, t=2,50 mm</t>
  </si>
  <si>
    <t>T, RECTANGULAR B=40 mm H=60 mm, t=1,60 mm</t>
  </si>
  <si>
    <t>T, RECTANGULAR B=40 mm H=60 mm, t=2,00 mm</t>
  </si>
  <si>
    <t>T, RECTANGULAR B=40 mm H=60 mm, t=2,50 mm</t>
  </si>
  <si>
    <t>T, RECTANGULAR B=40 mm H=60 mm, t=3,20 mm</t>
  </si>
  <si>
    <t>T, RECTANGULAR B=40 mm H=80 mm, t=1,60 mm</t>
  </si>
  <si>
    <t>T, RECTANGULAR B=40 mm H=80 mm, t=2,00 mm</t>
  </si>
  <si>
    <t>T, RECTANGULAR B=40 mm H=80 mm, t=2,50 mm</t>
  </si>
  <si>
    <t>T, RECTANGULAR B=40 mm H=80 mm, t=3,20 mm</t>
  </si>
  <si>
    <t>T, RECTANGULAR B=40 mm H=80 mm, t=4,00 mm</t>
  </si>
  <si>
    <t>T, RECTANGULAR B=40 mm H=100 mm, t=2,00 mm</t>
  </si>
  <si>
    <t>T, RECTANGULAR B=40 mm H=100 mm, t=2,50 mm</t>
  </si>
  <si>
    <t>T, RECTANGULAR B=40 mm H=100 mm, t=3,20 mm</t>
  </si>
  <si>
    <t>T, RECTANGULAR B=40 mm H=100 mm, t=4,00 mm</t>
  </si>
  <si>
    <t>T, RECTANGULAR B=40 mm H=120 mm, t=2,00 mm</t>
  </si>
  <si>
    <t>T, RECTANGULAR B=40 mm H=120 mm, t=2,50 mm</t>
  </si>
  <si>
    <t>T, RECTANGULAR B=40 mm H=120 mm, t=3,20 mm</t>
  </si>
  <si>
    <t>T, RECTANGULAR B=40 mm H=120 mm, t=4,00 mm</t>
  </si>
  <si>
    <t>T, RECTANGULAR B=40 mm H=140 mm, t=3,20 mm</t>
  </si>
  <si>
    <t>T, RECTANGULAR B=40 mm H=140 mm, t=4,00 mm</t>
  </si>
  <si>
    <t>T, RECTANGULAR B=40 mm H=140 mm, t=4,75 mm</t>
  </si>
  <si>
    <t>T, RECTANGULAR B=40 mm H=140 mm, t=6,35 mm</t>
  </si>
  <si>
    <t>T, RECTANGULAR B=50 mm H=70 mm, t=2,50 mm</t>
  </si>
  <si>
    <t>T, RECTANGULAR B=50 mm H=70 mm, t=3,20 mm</t>
  </si>
  <si>
    <t>T, RECTANGULAR B=50 mm H=70 mm, t=4,00 mm</t>
  </si>
  <si>
    <t>T, RECTANGULAR B=50 mm H=150 mm, t=3,20 mm</t>
  </si>
  <si>
    <t>T, RECTANGULAR B=50 mm H=150 mm, t=4,00 mm</t>
  </si>
  <si>
    <t>T, RECTANGULAR B=50 mm H=150 mm, t=4,75 mm</t>
  </si>
  <si>
    <t>T, RECTANGULAR B=50 mm H=150 mm, t=6,35 mm</t>
  </si>
  <si>
    <t>T, RECTANGULAR B=60 mm H=80 mm, t=2,50 mm</t>
  </si>
  <si>
    <t>T, RECTANGULAR B=60 mm H=80 mm, t=3,20 mm</t>
  </si>
  <si>
    <t>T, RECTANGULAR B=60 mm H=80 mm, t=4,00 mm</t>
  </si>
  <si>
    <t>T, RECTANGULAR B=60 mm H=100 mm, t=3,20 mm</t>
  </si>
  <si>
    <t>T, RECTANGULAR B=60 mm H=100 mm, t=4,00 mm</t>
  </si>
  <si>
    <t>T, RECTANGULAR B=60 mm H=100 mm, t=4,75 mm</t>
  </si>
  <si>
    <t>T, RECTANGULAR B=60 mm H=120 mm, t=3,20 mm</t>
  </si>
  <si>
    <t>T, RECTANGULAR B=60 mm H=120 mm, t=4,00 mm</t>
  </si>
  <si>
    <t>T, RECTANGULAR B=60 mm H=120 mm, t=4,75 mm</t>
  </si>
  <si>
    <t>T, RECTANGULAR B=60 mm H=120 mm, t=6,35 mm</t>
  </si>
  <si>
    <t>T, RECTANGULAR B=70 mm H=150 mm, t=3,20 mm</t>
  </si>
  <si>
    <t>T, RECTANGULAR B=70 mm H=150 mm, t=4,00 mm</t>
  </si>
  <si>
    <t>T, RECTANGULAR B=70 mm H=150 mm, t=4,75 mm</t>
  </si>
  <si>
    <t>T, RECTANGULAR B=70 mm H=150 mm, t=6,35 mm</t>
  </si>
  <si>
    <t>T, RECTANGULAR B=80 mm H=100 mm, t=4,00 mm</t>
  </si>
  <si>
    <t>T, RECTANGULAR B=80 mm H=100 mm, t=4,75 mm</t>
  </si>
  <si>
    <t>T, RECTANGULAR B=80 mm H=100 mm, t=6,35 mm</t>
  </si>
  <si>
    <t>T, RECTANGULAR B=80 mm H=120 mm, t=4,00 mm</t>
  </si>
  <si>
    <t>T, RECTANGULAR B=80 mm H=120 mm, t=4,75 mm</t>
  </si>
  <si>
    <t>T, RECTANGULAR B=80 mm H=120 mm, t=6,35 mm</t>
  </si>
  <si>
    <t>T, RECTANGULAR B=80 mm H=140 mm, t=4,00 mm</t>
  </si>
  <si>
    <t>T, RECTANGULAR B=80 mm H=140 mm, t=4,75 mm</t>
  </si>
  <si>
    <t>T, RECTANGULAR B=80 mm H=140 mm, t=6,35 mm</t>
  </si>
  <si>
    <t>T, RECTANGULAR B=100 mm H=140 mm, t=3,20 mm</t>
  </si>
  <si>
    <t>T, RECTANGULAR B=100 mm H=140 mm, t=4,00 mm</t>
  </si>
  <si>
    <t>T, RECTANGULAR B=100 mm H=140 mm, t=4,75 mm</t>
  </si>
  <si>
    <t>T, RECTANGULAR B=100 mm H=140 mm, t=6,35 mm</t>
  </si>
  <si>
    <t>T, RECTANGULAR B=100 mm H=180 mm, t=3,20 mm</t>
  </si>
  <si>
    <t>T, RECTANGULAR B=100 mm H=180 mm, t=4,00 mm</t>
  </si>
  <si>
    <t>T, RECTANGULAR B=100 mm H=180 mm, t=4,75 mm</t>
  </si>
  <si>
    <t>T, RECTANGULAR B=100 mm H=180 mm, t=6,35 mm</t>
  </si>
  <si>
    <t>T, RECTANGULAR B=100 mm H=200 mm, t=4,00 mm</t>
  </si>
  <si>
    <t>T, RECTANGULAR B=100 mm H=200 mm, t=5,00 mm</t>
  </si>
  <si>
    <t>T, RECTANGULAR B=100 mm H=200 mm, t=6,00 mm</t>
  </si>
  <si>
    <t>T, RECTANGULAR B=100 mm H=200 mm, t=8,00 mm</t>
  </si>
  <si>
    <t>T, RECTANGULAR B=100 mm H=200 mm, t=10,00 mm</t>
  </si>
  <si>
    <t>T, RECTANGULAR B=100 mm H=250 mm, t=5,00 mm</t>
  </si>
  <si>
    <t>T, RECTANGULAR B=100 mm H=250 mm, t=6,00 mm</t>
  </si>
  <si>
    <t>T, RECTANGULAR B=100 mm H=250 mm, t=8,00 mm</t>
  </si>
  <si>
    <t>T, RECTANGULAR B=100 mm H=250 mm, t=10,00 mm</t>
  </si>
  <si>
    <t>T, RECTANGULAR B=100 mm H=250 mm, t=12,00 mm</t>
  </si>
  <si>
    <t>FOTO</t>
  </si>
  <si>
    <t>IPBI</t>
  </si>
  <si>
    <t>IPBV</t>
  </si>
  <si>
    <t>T. CIRCULAR</t>
  </si>
  <si>
    <t>T. CUADRADO</t>
  </si>
  <si>
    <t>T. RECTANGULAR</t>
  </si>
  <si>
    <t xml:space="preserve">PANDEO LOCAL Y DUCTILIDAD </t>
  </si>
  <si>
    <t>PANDEO LATERAL</t>
  </si>
  <si>
    <t>K</t>
  </si>
  <si>
    <t>KL/rx</t>
  </si>
  <si>
    <t>KL/ry</t>
  </si>
  <si>
    <t>ESFUERZO CRÍTICO DE PANDEO</t>
  </si>
  <si>
    <t>C   15x50</t>
  </si>
  <si>
    <t>C   15x40</t>
  </si>
  <si>
    <t>C   15x33,9</t>
  </si>
  <si>
    <t>C   12x30</t>
  </si>
  <si>
    <t>C   12x25</t>
  </si>
  <si>
    <t>C   12x20,7</t>
  </si>
  <si>
    <t>C   10x30</t>
  </si>
  <si>
    <t>C   10x25</t>
  </si>
  <si>
    <t>C   10x20</t>
  </si>
  <si>
    <t>C   10x15,3</t>
  </si>
  <si>
    <t>C   9x20</t>
  </si>
  <si>
    <t>C   9x15</t>
  </si>
  <si>
    <t>C   9x13,4</t>
  </si>
  <si>
    <t>C   8x18,75</t>
  </si>
  <si>
    <t>C   8x13,75</t>
  </si>
  <si>
    <t>C   8x11,5</t>
  </si>
  <si>
    <t>C   7x12,25</t>
  </si>
  <si>
    <t>C   7x9,8</t>
  </si>
  <si>
    <t>C   6x13</t>
  </si>
  <si>
    <t>C   6x10,5</t>
  </si>
  <si>
    <t>C   6x8,2</t>
  </si>
  <si>
    <t>C   5x9</t>
  </si>
  <si>
    <t>C   5x6,7</t>
  </si>
  <si>
    <t>C   4x7,25</t>
  </si>
  <si>
    <t>C   5x5,4</t>
  </si>
  <si>
    <t>C   3x6</t>
  </si>
  <si>
    <t>C   3x5</t>
  </si>
  <si>
    <t>C   3x4,1</t>
  </si>
  <si>
    <t>IPN  80</t>
  </si>
  <si>
    <t>IPN  100</t>
  </si>
  <si>
    <t>IPN  120</t>
  </si>
  <si>
    <t>IPN  140</t>
  </si>
  <si>
    <t>IPN  160</t>
  </si>
  <si>
    <t>IPN  180</t>
  </si>
  <si>
    <t>IPN  200</t>
  </si>
  <si>
    <t>IPN  220</t>
  </si>
  <si>
    <t>IPN  240</t>
  </si>
  <si>
    <t>IPN  260</t>
  </si>
  <si>
    <t>IPN  280</t>
  </si>
  <si>
    <t>IPN  300</t>
  </si>
  <si>
    <t>IPN  320</t>
  </si>
  <si>
    <t>IPN  340</t>
  </si>
  <si>
    <t>IPN  360</t>
  </si>
  <si>
    <t>IPN  380</t>
  </si>
  <si>
    <t>IPN  400</t>
  </si>
  <si>
    <t>IPN  425</t>
  </si>
  <si>
    <t>IPN  450</t>
  </si>
  <si>
    <t>IPN  475</t>
  </si>
  <si>
    <t>IPN  500</t>
  </si>
  <si>
    <t>IPN  550</t>
  </si>
  <si>
    <t>IPN  600</t>
  </si>
  <si>
    <t>IPB  100</t>
  </si>
  <si>
    <t>IPB  120</t>
  </si>
  <si>
    <t>IPB  140</t>
  </si>
  <si>
    <t>IPB  160</t>
  </si>
  <si>
    <t>IPB  180</t>
  </si>
  <si>
    <t>IPB  200</t>
  </si>
  <si>
    <t>IPB  220</t>
  </si>
  <si>
    <t>IPB  240</t>
  </si>
  <si>
    <t>IPB  260</t>
  </si>
  <si>
    <t>IPB  280</t>
  </si>
  <si>
    <t>IPB  300</t>
  </si>
  <si>
    <t>IPB  320</t>
  </si>
  <si>
    <t>IPB  340</t>
  </si>
  <si>
    <t>IPB  360</t>
  </si>
  <si>
    <t>IPB  400</t>
  </si>
  <si>
    <t>IPB  450</t>
  </si>
  <si>
    <t>IPB  500</t>
  </si>
  <si>
    <t>IPB  550</t>
  </si>
  <si>
    <t>IPB  600</t>
  </si>
  <si>
    <t>IPB  650</t>
  </si>
  <si>
    <t>IPB  700</t>
  </si>
  <si>
    <t>IPB  800</t>
  </si>
  <si>
    <t>IPB  900</t>
  </si>
  <si>
    <t>IPB  1000</t>
  </si>
  <si>
    <t>IPE  80</t>
  </si>
  <si>
    <t>IPE  100</t>
  </si>
  <si>
    <t>IPE  120</t>
  </si>
  <si>
    <t>IPE  140</t>
  </si>
  <si>
    <t>IPE  160</t>
  </si>
  <si>
    <t>IPE  180</t>
  </si>
  <si>
    <t>IPE  200</t>
  </si>
  <si>
    <t>IPE  220</t>
  </si>
  <si>
    <t>IPE  240</t>
  </si>
  <si>
    <t>IPE  270</t>
  </si>
  <si>
    <t>IPE  300</t>
  </si>
  <si>
    <t>IPE  330</t>
  </si>
  <si>
    <t>IPE  360</t>
  </si>
  <si>
    <t>IPE  400</t>
  </si>
  <si>
    <t>IPE  450</t>
  </si>
  <si>
    <t>IPE  500</t>
  </si>
  <si>
    <t>IPE  550</t>
  </si>
  <si>
    <t>IPE  600</t>
  </si>
  <si>
    <t>W      44x335</t>
  </si>
  <si>
    <t>W      44x290</t>
  </si>
  <si>
    <t>W      44x262</t>
  </si>
  <si>
    <t>W      44x230</t>
  </si>
  <si>
    <t>W      40x593</t>
  </si>
  <si>
    <t>W      40x503</t>
  </si>
  <si>
    <t>W      40x431</t>
  </si>
  <si>
    <t>W      40x372</t>
  </si>
  <si>
    <t>W      40x321</t>
  </si>
  <si>
    <t>W      40x297</t>
  </si>
  <si>
    <t>W      40x277</t>
  </si>
  <si>
    <t>W      40x249</t>
  </si>
  <si>
    <t>W      40x215</t>
  </si>
  <si>
    <t>W      40x199</t>
  </si>
  <si>
    <t>W      40x174</t>
  </si>
  <si>
    <t>W      40x466</t>
  </si>
  <si>
    <t>W      40x392</t>
  </si>
  <si>
    <t>W      40x331</t>
  </si>
  <si>
    <t>W      40x278</t>
  </si>
  <si>
    <t>W      40x264</t>
  </si>
  <si>
    <t>W      40x235</t>
  </si>
  <si>
    <t>W      40x211</t>
  </si>
  <si>
    <t>W      40x183</t>
  </si>
  <si>
    <t>W      40x167</t>
  </si>
  <si>
    <t>W      40x149</t>
  </si>
  <si>
    <t>W      36x848</t>
  </si>
  <si>
    <t>W      36x798</t>
  </si>
  <si>
    <t>W      36x650</t>
  </si>
  <si>
    <t>W      36x527</t>
  </si>
  <si>
    <t>W      36x439</t>
  </si>
  <si>
    <t>W      36x393</t>
  </si>
  <si>
    <t>W      36x359</t>
  </si>
  <si>
    <t>W      36x328</t>
  </si>
  <si>
    <t>W      36x300</t>
  </si>
  <si>
    <t>W      36x280</t>
  </si>
  <si>
    <t>W      36x260</t>
  </si>
  <si>
    <t>W      36x245</t>
  </si>
  <si>
    <t>W      36x230</t>
  </si>
  <si>
    <t>W      36x256</t>
  </si>
  <si>
    <t>W      36x232</t>
  </si>
  <si>
    <t>W      36x210</t>
  </si>
  <si>
    <t>W      36x194</t>
  </si>
  <si>
    <t>W      36x182</t>
  </si>
  <si>
    <t>W      36x170</t>
  </si>
  <si>
    <t>W      36x150</t>
  </si>
  <si>
    <t>W      36x135</t>
  </si>
  <si>
    <t>W      33x354</t>
  </si>
  <si>
    <t>W      33x318</t>
  </si>
  <si>
    <t>W      33x291</t>
  </si>
  <si>
    <t>W      33x263</t>
  </si>
  <si>
    <t>W      33x241</t>
  </si>
  <si>
    <t>W      33x221</t>
  </si>
  <si>
    <t>W      33x201</t>
  </si>
  <si>
    <t>W      33x169</t>
  </si>
  <si>
    <t>W      33x152</t>
  </si>
  <si>
    <t>W      33x141</t>
  </si>
  <si>
    <t>W      33x130</t>
  </si>
  <si>
    <t>W      33x118</t>
  </si>
  <si>
    <t>W      30x477</t>
  </si>
  <si>
    <t>W      30x391</t>
  </si>
  <si>
    <t>W      30x326</t>
  </si>
  <si>
    <t>W      30x292</t>
  </si>
  <si>
    <t>W      30x261</t>
  </si>
  <si>
    <t>W      30x235</t>
  </si>
  <si>
    <t>W      30x211</t>
  </si>
  <si>
    <t>W      30x191</t>
  </si>
  <si>
    <t>W      30x173</t>
  </si>
  <si>
    <t>W      30x148</t>
  </si>
  <si>
    <t>W      30x132</t>
  </si>
  <si>
    <t>W      30x124</t>
  </si>
  <si>
    <t>W      30x116</t>
  </si>
  <si>
    <t>W      30x108</t>
  </si>
  <si>
    <t>W      30x99</t>
  </si>
  <si>
    <t>W      30x90</t>
  </si>
  <si>
    <t>W      27x539</t>
  </si>
  <si>
    <t>W      27x448</t>
  </si>
  <si>
    <t>W      27x369</t>
  </si>
  <si>
    <t>W      27x307</t>
  </si>
  <si>
    <t>W      27x258</t>
  </si>
  <si>
    <t>W      27x235</t>
  </si>
  <si>
    <t>W      27x217</t>
  </si>
  <si>
    <t>W      27x194</t>
  </si>
  <si>
    <t>W      27x178</t>
  </si>
  <si>
    <t>W      27x161</t>
  </si>
  <si>
    <t>W      27x146</t>
  </si>
  <si>
    <t>W      27x129</t>
  </si>
  <si>
    <t>W      27x114</t>
  </si>
  <si>
    <t>W      27x102</t>
  </si>
  <si>
    <t>W      27x94</t>
  </si>
  <si>
    <t>W      27x84</t>
  </si>
  <si>
    <t>W      24x492</t>
  </si>
  <si>
    <t>W      24x408</t>
  </si>
  <si>
    <t>W      24x335</t>
  </si>
  <si>
    <t>W      24x279</t>
  </si>
  <si>
    <t>W      24x250</t>
  </si>
  <si>
    <t>W      24x229</t>
  </si>
  <si>
    <t>W      24x207</t>
  </si>
  <si>
    <t>W      24x192</t>
  </si>
  <si>
    <t>W      24x176</t>
  </si>
  <si>
    <t>W      24x162</t>
  </si>
  <si>
    <t>W      24x146</t>
  </si>
  <si>
    <t>W      24x131</t>
  </si>
  <si>
    <t>W      24x117</t>
  </si>
  <si>
    <t>W      24x104</t>
  </si>
  <si>
    <t>W      24x103</t>
  </si>
  <si>
    <t>W      24x94</t>
  </si>
  <si>
    <t>W      24x84</t>
  </si>
  <si>
    <t>W      24x76</t>
  </si>
  <si>
    <t>W      24x68</t>
  </si>
  <si>
    <t>W      24x62</t>
  </si>
  <si>
    <t>W      24x55</t>
  </si>
  <si>
    <t>W      21x201</t>
  </si>
  <si>
    <t>W      21x182</t>
  </si>
  <si>
    <t>W      21x166</t>
  </si>
  <si>
    <t>W      21x147</t>
  </si>
  <si>
    <t>W      21x132</t>
  </si>
  <si>
    <t>W      21x122</t>
  </si>
  <si>
    <t>W      21x111</t>
  </si>
  <si>
    <t>W      21x101</t>
  </si>
  <si>
    <t>W      21x93</t>
  </si>
  <si>
    <t>W      21x83</t>
  </si>
  <si>
    <t>W      21x73</t>
  </si>
  <si>
    <t>W      21x68</t>
  </si>
  <si>
    <t>W      21x62</t>
  </si>
  <si>
    <t>W      21x57</t>
  </si>
  <si>
    <t>W      21x50</t>
  </si>
  <si>
    <t>W      21x44</t>
  </si>
  <si>
    <t>W      18x311</t>
  </si>
  <si>
    <t>W      18x283</t>
  </si>
  <si>
    <t>W      18x258</t>
  </si>
  <si>
    <t>W      18x234</t>
  </si>
  <si>
    <t>W      18x211</t>
  </si>
  <si>
    <t>W      18x192</t>
  </si>
  <si>
    <t>W      18x175</t>
  </si>
  <si>
    <t>W      18x158</t>
  </si>
  <si>
    <t>W      18x143</t>
  </si>
  <si>
    <t>W      18x130</t>
  </si>
  <si>
    <t>W      18x119</t>
  </si>
  <si>
    <t>W      18x106</t>
  </si>
  <si>
    <t>W      18x97</t>
  </si>
  <si>
    <t>W      18x86</t>
  </si>
  <si>
    <t>W      18x76</t>
  </si>
  <si>
    <t>W      18x71</t>
  </si>
  <si>
    <t>W      18x65</t>
  </si>
  <si>
    <t>W      18x60</t>
  </si>
  <si>
    <t>W      18x55</t>
  </si>
  <si>
    <t>W     18x50</t>
  </si>
  <si>
    <t>W      18x46</t>
  </si>
  <si>
    <t>W      18x40</t>
  </si>
  <si>
    <t>W      18x35</t>
  </si>
  <si>
    <t>W      16x100</t>
  </si>
  <si>
    <t>W      16x89</t>
  </si>
  <si>
    <t>W      16x77</t>
  </si>
  <si>
    <t>W      16x67</t>
  </si>
  <si>
    <t>W      16x57</t>
  </si>
  <si>
    <t>W      16x50</t>
  </si>
  <si>
    <t>W      16x45</t>
  </si>
  <si>
    <t>W      16x40</t>
  </si>
  <si>
    <t>W      16x36</t>
  </si>
  <si>
    <t>W      16x31</t>
  </si>
  <si>
    <t>W      16x26</t>
  </si>
  <si>
    <t>W      14x808</t>
  </si>
  <si>
    <t>W      14x730</t>
  </si>
  <si>
    <t>W      14x665</t>
  </si>
  <si>
    <t>W      14x605</t>
  </si>
  <si>
    <t>W      14x550</t>
  </si>
  <si>
    <t>W      14x500</t>
  </si>
  <si>
    <t>W      14x455</t>
  </si>
  <si>
    <t>W      14x426</t>
  </si>
  <si>
    <t>W      14x398</t>
  </si>
  <si>
    <t>W      14x370</t>
  </si>
  <si>
    <t>W      14x342</t>
  </si>
  <si>
    <t>W      14x311</t>
  </si>
  <si>
    <t>W      14x283</t>
  </si>
  <si>
    <t>W      14x257</t>
  </si>
  <si>
    <t>W      14x233</t>
  </si>
  <si>
    <t>W      14x211</t>
  </si>
  <si>
    <t>W      14x193</t>
  </si>
  <si>
    <t>W      14x176</t>
  </si>
  <si>
    <t>W      14x159</t>
  </si>
  <si>
    <t>W      14x145</t>
  </si>
  <si>
    <t>W      14x132</t>
  </si>
  <si>
    <t>W      14x120</t>
  </si>
  <si>
    <t>W      14x109</t>
  </si>
  <si>
    <t>W      14x99</t>
  </si>
  <si>
    <t>W      14x90</t>
  </si>
  <si>
    <t>W      14x82</t>
  </si>
  <si>
    <t>W      14x74</t>
  </si>
  <si>
    <t>W      14x68</t>
  </si>
  <si>
    <t>W      14x61</t>
  </si>
  <si>
    <t>W      14x53</t>
  </si>
  <si>
    <t>W      14x48</t>
  </si>
  <si>
    <t>W      14x43</t>
  </si>
  <si>
    <t>W      14x38</t>
  </si>
  <si>
    <t>W      14x34</t>
  </si>
  <si>
    <t>W      14x30</t>
  </si>
  <si>
    <t>W      14x26</t>
  </si>
  <si>
    <t>W      14x22</t>
  </si>
  <si>
    <t>W      12x336</t>
  </si>
  <si>
    <t>W      12x305</t>
  </si>
  <si>
    <t>W      12x279</t>
  </si>
  <si>
    <t>W      12x252</t>
  </si>
  <si>
    <t>W      12x230</t>
  </si>
  <si>
    <t>W      12x210</t>
  </si>
  <si>
    <t>W      12x190</t>
  </si>
  <si>
    <t>W      12x170</t>
  </si>
  <si>
    <t>W      12x152</t>
  </si>
  <si>
    <t>W      12x136</t>
  </si>
  <si>
    <t>W      12x120</t>
  </si>
  <si>
    <t>W      12x106</t>
  </si>
  <si>
    <t>W      12x96</t>
  </si>
  <si>
    <t>W      12x87</t>
  </si>
  <si>
    <t>W      12x79</t>
  </si>
  <si>
    <t>W      12x72</t>
  </si>
  <si>
    <t>W      12x65</t>
  </si>
  <si>
    <t>W      12x58</t>
  </si>
  <si>
    <t>W      12x53</t>
  </si>
  <si>
    <t>W      12x50</t>
  </si>
  <si>
    <t>W      12x45</t>
  </si>
  <si>
    <t>W      12x40</t>
  </si>
  <si>
    <t>W      12x35</t>
  </si>
  <si>
    <t>W      12x30</t>
  </si>
  <si>
    <t>W      12x26</t>
  </si>
  <si>
    <t>W      12x22</t>
  </si>
  <si>
    <t>W      12x19</t>
  </si>
  <si>
    <t>W      12x16</t>
  </si>
  <si>
    <t>W      12x14</t>
  </si>
  <si>
    <t>W      10x112</t>
  </si>
  <si>
    <t>W      10x100</t>
  </si>
  <si>
    <t>W      10x88</t>
  </si>
  <si>
    <t>W      10x77</t>
  </si>
  <si>
    <t>W      10x68</t>
  </si>
  <si>
    <t>W      10x60</t>
  </si>
  <si>
    <t>W      10x54</t>
  </si>
  <si>
    <t>W      10x49</t>
  </si>
  <si>
    <t>W      10x45</t>
  </si>
  <si>
    <t>W      10x39</t>
  </si>
  <si>
    <t>W      10x33</t>
  </si>
  <si>
    <t>W      10x30</t>
  </si>
  <si>
    <t>W      10x26</t>
  </si>
  <si>
    <t>W      10x22</t>
  </si>
  <si>
    <t>W      10x19</t>
  </si>
  <si>
    <t>W      10x17</t>
  </si>
  <si>
    <t>W      10x15</t>
  </si>
  <si>
    <t>W      10x12</t>
  </si>
  <si>
    <t>W      8x67</t>
  </si>
  <si>
    <t>W      8x58</t>
  </si>
  <si>
    <t>W      8x48</t>
  </si>
  <si>
    <t>W      8x40</t>
  </si>
  <si>
    <t>W      8x35</t>
  </si>
  <si>
    <t>W      8x31</t>
  </si>
  <si>
    <t>W      8x28</t>
  </si>
  <si>
    <t>W      8x24</t>
  </si>
  <si>
    <t>W      8x21</t>
  </si>
  <si>
    <t>W      8x18</t>
  </si>
  <si>
    <t>W      8x15</t>
  </si>
  <si>
    <t>W      8x13</t>
  </si>
  <si>
    <t>W      8x10</t>
  </si>
  <si>
    <t>W      6x25</t>
  </si>
  <si>
    <t>W      6x20</t>
  </si>
  <si>
    <t>W      6x15</t>
  </si>
  <si>
    <t>W      6x16</t>
  </si>
  <si>
    <t>W      6x12</t>
  </si>
  <si>
    <t>W      6x9</t>
  </si>
  <si>
    <t>W      5x19</t>
  </si>
  <si>
    <t>W      5x16</t>
  </si>
  <si>
    <t>W      4x13</t>
  </si>
  <si>
    <t>HP   14x117</t>
  </si>
  <si>
    <t>HP   14x102</t>
  </si>
  <si>
    <t>HP   14x89</t>
  </si>
  <si>
    <t>HP   14x73</t>
  </si>
  <si>
    <t>HP   12x84</t>
  </si>
  <si>
    <t>HP   12x74</t>
  </si>
  <si>
    <t>HP   12x63</t>
  </si>
  <si>
    <t>HP   12x53</t>
  </si>
  <si>
    <t>HP   10x57</t>
  </si>
  <si>
    <t>HP   10x42</t>
  </si>
  <si>
    <t>HP   8x36</t>
  </si>
  <si>
    <t>M      12x11,8</t>
  </si>
  <si>
    <t>M      12x10,8</t>
  </si>
  <si>
    <t>M      10x9</t>
  </si>
  <si>
    <t>M      10x8</t>
  </si>
  <si>
    <t>M      8x6,5</t>
  </si>
  <si>
    <t>M      5x18,9</t>
  </si>
  <si>
    <t xml:space="preserve">IPN </t>
  </si>
  <si>
    <t xml:space="preserve">IPB </t>
  </si>
  <si>
    <t xml:space="preserve">HP  </t>
  </si>
  <si>
    <t xml:space="preserve">IPE </t>
  </si>
  <si>
    <t xml:space="preserve">W   </t>
  </si>
  <si>
    <t xml:space="preserve">M   </t>
  </si>
  <si>
    <t xml:space="preserve">UPN </t>
  </si>
  <si>
    <t xml:space="preserve">C   </t>
  </si>
  <si>
    <t>ESTADO LÍMITE</t>
  </si>
  <si>
    <t>PF</t>
  </si>
  <si>
    <t>PT</t>
  </si>
  <si>
    <t>PFT</t>
  </si>
  <si>
    <t>ESTADOS LÍMITE APLICABLES SEGÚN F.2.5.1-1</t>
  </si>
  <si>
    <t>G [MPa]</t>
  </si>
  <si>
    <t>Fcr</t>
  </si>
  <si>
    <t>&gt;</t>
  </si>
  <si>
    <r>
      <t>φ</t>
    </r>
    <r>
      <rPr>
        <vertAlign val="subscript"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P</t>
    </r>
    <r>
      <rPr>
        <vertAlign val="subscript"/>
        <sz val="11"/>
        <color theme="1"/>
        <rFont val="Arial"/>
        <family val="2"/>
      </rPr>
      <t>n</t>
    </r>
    <r>
      <rPr>
        <sz val="11"/>
        <color theme="1"/>
        <rFont val="Arial"/>
        <family val="2"/>
      </rPr>
      <t xml:space="preserve"> [kN]</t>
    </r>
  </si>
  <si>
    <r>
      <t>M</t>
    </r>
    <r>
      <rPr>
        <vertAlign val="superscript"/>
        <sz val="11"/>
        <color theme="1" tint="4.9989318521683403E-2"/>
        <rFont val="Arial"/>
        <family val="2"/>
      </rPr>
      <t>A</t>
    </r>
    <r>
      <rPr>
        <sz val="11"/>
        <color theme="1" tint="4.9989318521683403E-2"/>
        <rFont val="Arial"/>
        <family val="2"/>
      </rPr>
      <t>u [kN*m]</t>
    </r>
  </si>
  <si>
    <r>
      <t>M</t>
    </r>
    <r>
      <rPr>
        <vertAlign val="superscript"/>
        <sz val="11"/>
        <color theme="1" tint="4.9989318521683403E-2"/>
        <rFont val="Arial"/>
        <family val="2"/>
      </rPr>
      <t>B</t>
    </r>
    <r>
      <rPr>
        <sz val="11"/>
        <color theme="1" tint="4.9989318521683403E-2"/>
        <rFont val="Arial"/>
        <family val="2"/>
      </rPr>
      <t>u [kN*m]</t>
    </r>
  </si>
  <si>
    <t>φ</t>
  </si>
  <si>
    <r>
      <t>φ</t>
    </r>
    <r>
      <rPr>
        <b/>
        <vertAlign val="subscript"/>
        <sz val="11"/>
        <color theme="1"/>
        <rFont val="Arial"/>
        <family val="2"/>
      </rPr>
      <t>c</t>
    </r>
    <r>
      <rPr>
        <b/>
        <sz val="11"/>
        <color theme="1"/>
        <rFont val="Arial"/>
        <family val="2"/>
      </rPr>
      <t>P</t>
    </r>
    <r>
      <rPr>
        <b/>
        <vertAlign val="subscript"/>
        <sz val="11"/>
        <color theme="1"/>
        <rFont val="Arial"/>
        <family val="2"/>
      </rPr>
      <t>n</t>
    </r>
  </si>
  <si>
    <r>
      <t>Lb</t>
    </r>
    <r>
      <rPr>
        <vertAlign val="subscript"/>
        <sz val="11"/>
        <color theme="1" tint="4.9989318521683403E-2"/>
        <rFont val="Arial"/>
        <family val="2"/>
      </rPr>
      <t>x</t>
    </r>
    <r>
      <rPr>
        <sz val="11"/>
        <color theme="1" tint="4.9989318521683403E-2"/>
        <rFont val="Arial"/>
        <family val="2"/>
      </rPr>
      <t xml:space="preserve"> [m]</t>
    </r>
  </si>
  <si>
    <r>
      <t>Lb</t>
    </r>
    <r>
      <rPr>
        <vertAlign val="subscript"/>
        <sz val="11"/>
        <color theme="1" tint="4.9989318521683403E-2"/>
        <rFont val="Arial"/>
        <family val="2"/>
      </rPr>
      <t>y</t>
    </r>
    <r>
      <rPr>
        <sz val="11"/>
        <color theme="1" tint="4.9989318521683403E-2"/>
        <rFont val="Arial"/>
        <family val="2"/>
      </rPr>
      <t xml:space="preserve"> [m]</t>
    </r>
  </si>
  <si>
    <t>Xo</t>
  </si>
  <si>
    <t>Yo</t>
  </si>
  <si>
    <t>Lp [m]</t>
  </si>
  <si>
    <t>Revision resistencia de diseño a flexión cálculo de Lr</t>
  </si>
  <si>
    <t>Lr</t>
  </si>
  <si>
    <t>I</t>
  </si>
  <si>
    <t>c</t>
  </si>
  <si>
    <t>ho</t>
  </si>
  <si>
    <t>UPN</t>
  </si>
  <si>
    <t>Aparición de articulaciones plásticas</t>
  </si>
  <si>
    <t>ØMn</t>
  </si>
  <si>
    <t>RESISTENCIA A FLEXIÓN</t>
  </si>
  <si>
    <t>ESTADOS LÍMITE</t>
  </si>
  <si>
    <t>Lb&lt;=Lp</t>
  </si>
  <si>
    <t>Lp&lt;Lb&lt;=Lr</t>
  </si>
  <si>
    <t>Lb&gt;Lr</t>
  </si>
  <si>
    <t>Pandeo flexotorsional en rango inelástico</t>
  </si>
  <si>
    <t>Pandeo flexotorsional en rango elástico</t>
  </si>
  <si>
    <r>
      <t>r</t>
    </r>
    <r>
      <rPr>
        <vertAlign val="subscript"/>
        <sz val="11"/>
        <color theme="1"/>
        <rFont val="Calibri"/>
        <family val="2"/>
        <scheme val="minor"/>
      </rPr>
      <t>ts</t>
    </r>
    <r>
      <rPr>
        <vertAlign val="superscript"/>
        <sz val="11"/>
        <color theme="1"/>
        <rFont val="Calibri"/>
        <family val="2"/>
        <scheme val="minor"/>
      </rPr>
      <t>2 [m]</t>
    </r>
  </si>
  <si>
    <t>Lr [m]</t>
  </si>
  <si>
    <t xml:space="preserve"> </t>
  </si>
  <si>
    <t>Estado límite de flexión:</t>
  </si>
  <si>
    <t>INTERACCIÓN FLEXIÓN COMPRESIÓN</t>
  </si>
  <si>
    <t>=</t>
  </si>
  <si>
    <r>
      <t>P</t>
    </r>
    <r>
      <rPr>
        <vertAlign val="subscript"/>
        <sz val="11"/>
        <color theme="1"/>
        <rFont val="Arial"/>
        <family val="2"/>
      </rPr>
      <t>u</t>
    </r>
  </si>
  <si>
    <r>
      <t>φP</t>
    </r>
    <r>
      <rPr>
        <vertAlign val="subscript"/>
        <sz val="11"/>
        <color theme="1"/>
        <rFont val="Calibri"/>
        <family val="2"/>
      </rPr>
      <t>n</t>
    </r>
  </si>
  <si>
    <t>Pex</t>
  </si>
  <si>
    <t>Pey</t>
  </si>
  <si>
    <t>x</t>
  </si>
  <si>
    <t>y</t>
  </si>
  <si>
    <t>B1x</t>
  </si>
  <si>
    <t>B1y</t>
  </si>
  <si>
    <t>Rm</t>
  </si>
  <si>
    <t>Cortante de piso H [kN]</t>
  </si>
  <si>
    <t>B2x</t>
  </si>
  <si>
    <t>B2y</t>
  </si>
  <si>
    <t>Pe2x</t>
  </si>
  <si>
    <t>Pe2y</t>
  </si>
  <si>
    <t>X</t>
  </si>
  <si>
    <t>Y</t>
  </si>
  <si>
    <t>Mntx</t>
  </si>
  <si>
    <t>Mnty</t>
  </si>
  <si>
    <t>Mltx</t>
  </si>
  <si>
    <t>Mlty</t>
  </si>
  <si>
    <t>[kN*m]</t>
  </si>
  <si>
    <t>≤</t>
  </si>
  <si>
    <t>φMny</t>
  </si>
  <si>
    <t>φMnx</t>
  </si>
  <si>
    <t>Mu [kN*m]</t>
  </si>
  <si>
    <t>Cb</t>
  </si>
  <si>
    <t>Lb [m]</t>
  </si>
  <si>
    <t>Lm [m]</t>
  </si>
  <si>
    <t>φMn</t>
  </si>
  <si>
    <t>Vu [kN]</t>
  </si>
  <si>
    <t>Pu [kN/m]</t>
  </si>
  <si>
    <t>RESISTENCIA DE DISEÑO A LA FLEXIÓN</t>
  </si>
  <si>
    <t>PLASTIFICACIÓN Y PANDEO LATERAL TORSIONAL</t>
  </si>
  <si>
    <t>VERIFICACIÓN DE DIMENSIONAMIENTO SEGÚN F.2.6.13</t>
  </si>
  <si>
    <t>Estado límite de rotura por tensión de la aleta a tensión</t>
  </si>
  <si>
    <t>Fu [MPa]</t>
  </si>
  <si>
    <t># pernos aleta inferior</t>
  </si>
  <si>
    <t>N°  Varilla</t>
  </si>
  <si>
    <t>Diametro (mm)</t>
  </si>
  <si>
    <t>Área (mm2)</t>
  </si>
  <si>
    <t xml:space="preserve">Ø de perno </t>
  </si>
  <si>
    <t>#2</t>
  </si>
  <si>
    <t>#3</t>
  </si>
  <si>
    <t>#4</t>
  </si>
  <si>
    <t>#5</t>
  </si>
  <si>
    <t>#6</t>
  </si>
  <si>
    <t>#7</t>
  </si>
  <si>
    <t>#8</t>
  </si>
  <si>
    <r>
      <t>Yt*Fy*A</t>
    </r>
    <r>
      <rPr>
        <vertAlign val="subscript"/>
        <sz val="11"/>
        <color theme="1"/>
        <rFont val="Calibri"/>
        <family val="2"/>
      </rPr>
      <t>fg</t>
    </r>
    <r>
      <rPr>
        <sz val="11"/>
        <color theme="1"/>
        <rFont val="Calibri"/>
        <family val="2"/>
      </rPr>
      <t xml:space="preserve"> [kN]</t>
    </r>
  </si>
  <si>
    <r>
      <t>Fu*A</t>
    </r>
    <r>
      <rPr>
        <vertAlign val="subscript"/>
        <sz val="11"/>
        <color theme="1"/>
        <rFont val="Arial"/>
        <family val="2"/>
      </rPr>
      <t xml:space="preserve">fn </t>
    </r>
    <r>
      <rPr>
        <sz val="11"/>
        <color theme="1"/>
        <rFont val="Arial"/>
        <family val="2"/>
      </rPr>
      <t xml:space="preserve">[kN]   </t>
    </r>
  </si>
  <si>
    <r>
      <t>A</t>
    </r>
    <r>
      <rPr>
        <vertAlign val="subscript"/>
        <sz val="11"/>
        <color theme="1"/>
        <rFont val="Arial"/>
        <family val="2"/>
      </rPr>
      <t xml:space="preserve">fn  </t>
    </r>
    <r>
      <rPr>
        <sz val="11"/>
        <color theme="1"/>
        <rFont val="Arial"/>
        <family val="2"/>
      </rPr>
      <t>[mm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]</t>
    </r>
  </si>
  <si>
    <r>
      <t>A</t>
    </r>
    <r>
      <rPr>
        <vertAlign val="subscript"/>
        <sz val="11"/>
        <color theme="1"/>
        <rFont val="Arial"/>
        <family val="2"/>
      </rPr>
      <t xml:space="preserve">fg </t>
    </r>
    <r>
      <rPr>
        <sz val="11"/>
        <color theme="1"/>
        <rFont val="Arial"/>
        <family val="2"/>
      </rPr>
      <t>[mm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]</t>
    </r>
  </si>
  <si>
    <r>
      <t>I</t>
    </r>
    <r>
      <rPr>
        <vertAlign val="subscript"/>
        <sz val="11"/>
        <color theme="1"/>
        <rFont val="Arial"/>
        <family val="2"/>
      </rPr>
      <t xml:space="preserve">yc </t>
    </r>
    <r>
      <rPr>
        <sz val="11"/>
        <color theme="1"/>
        <rFont val="Arial"/>
        <family val="2"/>
      </rPr>
      <t>(aleta)  [cm</t>
    </r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>]</t>
    </r>
  </si>
  <si>
    <t xml:space="preserve">REQUERIMIENTOS SÍSMICOS </t>
  </si>
  <si>
    <t>Lb max [m]</t>
  </si>
  <si>
    <r>
      <t>φ</t>
    </r>
    <r>
      <rPr>
        <vertAlign val="subscript"/>
        <sz val="11"/>
        <color theme="1"/>
        <rFont val="Arial"/>
        <family val="2"/>
      </rPr>
      <t>v</t>
    </r>
  </si>
  <si>
    <t>Kv</t>
  </si>
  <si>
    <t>Cv</t>
  </si>
  <si>
    <t>¿hay rigidizadores?</t>
  </si>
  <si>
    <t>CORTANTE</t>
  </si>
  <si>
    <t>h/tw</t>
  </si>
  <si>
    <t>Caso</t>
  </si>
  <si>
    <t>Rango de comparaciones</t>
  </si>
  <si>
    <t>Inferior</t>
  </si>
  <si>
    <t>superior</t>
  </si>
  <si>
    <t>Verificación</t>
  </si>
  <si>
    <t>i</t>
  </si>
  <si>
    <t>ii</t>
  </si>
  <si>
    <r>
      <t>φ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Vn [kN]</t>
    </r>
  </si>
  <si>
    <t>iii</t>
  </si>
  <si>
    <t>ÁREA</t>
  </si>
  <si>
    <t>Vn</t>
  </si>
  <si>
    <t>Vu</t>
  </si>
  <si>
    <r>
      <t>φ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Vnx [kN]</t>
    </r>
  </si>
  <si>
    <r>
      <t>φ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Vny [kN]</t>
    </r>
  </si>
  <si>
    <t>CORTANTE EJE FUERTE (y)</t>
  </si>
  <si>
    <r>
      <t>M</t>
    </r>
    <r>
      <rPr>
        <vertAlign val="subscript"/>
        <sz val="11"/>
        <color theme="1"/>
        <rFont val="Arial"/>
        <family val="2"/>
      </rPr>
      <t>ux</t>
    </r>
    <r>
      <rPr>
        <sz val="11"/>
        <color theme="1"/>
        <rFont val="Arial"/>
        <family val="2"/>
      </rPr>
      <t xml:space="preserve"> =</t>
    </r>
  </si>
  <si>
    <r>
      <t>M</t>
    </r>
    <r>
      <rPr>
        <vertAlign val="subscript"/>
        <sz val="11"/>
        <color theme="1"/>
        <rFont val="Arial"/>
        <family val="2"/>
      </rPr>
      <t>uy</t>
    </r>
    <r>
      <rPr>
        <sz val="11"/>
        <color theme="1"/>
        <rFont val="Arial"/>
        <family val="2"/>
      </rPr>
      <t xml:space="preserve"> =</t>
    </r>
  </si>
  <si>
    <t>CORTANTE PARALELO A EJE Y</t>
  </si>
  <si>
    <t>CORTANTE PARALELO A EJE X</t>
  </si>
  <si>
    <t>CORTANTE EJE DÉBIL (x)</t>
  </si>
  <si>
    <t>b=(bf/2)</t>
  </si>
  <si>
    <t>b/tf</t>
  </si>
  <si>
    <t>TIPO DE ARRIOSTRAMIENTO</t>
  </si>
  <si>
    <t>Cd</t>
  </si>
  <si>
    <t>n</t>
  </si>
  <si>
    <t>RIGIDEZ RIOSTRAS</t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</si>
  <si>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</si>
  <si>
    <r>
      <t>Β</t>
    </r>
    <r>
      <rPr>
        <vertAlign val="subscript"/>
        <sz val="11"/>
        <color theme="1"/>
        <rFont val="Calibri"/>
        <family val="2"/>
      </rPr>
      <t>sec</t>
    </r>
  </si>
  <si>
    <r>
      <t>Β</t>
    </r>
    <r>
      <rPr>
        <vertAlign val="subscript"/>
        <sz val="11"/>
        <color theme="1"/>
        <rFont val="Calibri"/>
        <family val="2"/>
      </rPr>
      <t>t</t>
    </r>
  </si>
  <si>
    <t>TORSIONAL-NODAL</t>
  </si>
  <si>
    <t>TORSIONAL-CONTINUO</t>
  </si>
  <si>
    <r>
      <t>Β</t>
    </r>
    <r>
      <rPr>
        <vertAlign val="subscript"/>
        <sz val="11"/>
        <color theme="1"/>
        <rFont val="Calibri"/>
        <family val="2"/>
        <scheme val="minor"/>
      </rPr>
      <t>sec</t>
    </r>
  </si>
  <si>
    <r>
      <rPr>
        <sz val="11"/>
        <color theme="1"/>
        <rFont val="Calibri"/>
        <family val="2"/>
      </rPr>
      <t>β</t>
    </r>
    <r>
      <rPr>
        <vertAlign val="subscript"/>
        <sz val="9.35"/>
        <color theme="1"/>
        <rFont val="Arial"/>
        <family val="2"/>
      </rPr>
      <t>br</t>
    </r>
    <r>
      <rPr>
        <sz val="9.35"/>
        <color theme="1"/>
        <rFont val="Arial"/>
        <family val="2"/>
      </rPr>
      <t xml:space="preserve"> [N/mm]</t>
    </r>
  </si>
  <si>
    <t>Tipo de arriostramiento</t>
  </si>
  <si>
    <t>Miembro arriostrado</t>
  </si>
  <si>
    <t>Pbr</t>
  </si>
  <si>
    <t>Bbr</t>
  </si>
  <si>
    <t>Viga-ColumnaLateral-Relativo</t>
  </si>
  <si>
    <t>Viga-ColumnaLateral-Nodal</t>
  </si>
  <si>
    <t>Pu [kN/m] del miembro arriostrado</t>
  </si>
  <si>
    <t>Mu [kN*m] del miembro arriostrado</t>
  </si>
  <si>
    <t>Viga-ColumnaRelativo-Lateral N</t>
  </si>
  <si>
    <t>Viga-ColumnaNodal-Torsional N</t>
  </si>
  <si>
    <t>Viga-ColumnaRelativo-Torsional C</t>
  </si>
  <si>
    <t>Viga-ColumnaNodal-Torsional C</t>
  </si>
  <si>
    <t>si</t>
  </si>
  <si>
    <t>ColumnaRelativo</t>
  </si>
  <si>
    <t>ColumnaNodal</t>
  </si>
  <si>
    <t>COLUMNA</t>
  </si>
  <si>
    <t>VIGA</t>
  </si>
  <si>
    <t>FORMA DE LA CONEXIÓN</t>
  </si>
  <si>
    <t>Patín-alma</t>
  </si>
  <si>
    <t>Columa</t>
  </si>
  <si>
    <t>Viga</t>
  </si>
  <si>
    <r>
      <t>M</t>
    </r>
    <r>
      <rPr>
        <sz val="11"/>
        <color theme="1" tint="4.9989318521683403E-2"/>
        <rFont val="Arial"/>
        <family val="2"/>
      </rPr>
      <t>u [kN*m]</t>
    </r>
  </si>
  <si>
    <t>Fy Columna [MPa]</t>
  </si>
  <si>
    <t>Fy Viga [MPa]</t>
  </si>
  <si>
    <t>Tipo de pernos</t>
  </si>
  <si>
    <t>Rosca incluida en plano de corte</t>
  </si>
  <si>
    <t>A307</t>
  </si>
  <si>
    <t>A325</t>
  </si>
  <si>
    <t>SI</t>
  </si>
  <si>
    <t>NO</t>
  </si>
  <si>
    <t>RESISTENCIA DE PERNOS</t>
  </si>
  <si>
    <t>ROSCA INCLUIDA EN PLANO DE CORTE</t>
  </si>
  <si>
    <t>A490</t>
  </si>
  <si>
    <t>Piezan roscada</t>
  </si>
  <si>
    <t>Fu pieza roscada [MPa]</t>
  </si>
  <si>
    <t>Fnv Pernos [MPa]</t>
  </si>
  <si>
    <t>Fy Platina [MPa]</t>
  </si>
  <si>
    <t>Fu Platina [MPa]</t>
  </si>
  <si>
    <t>Pernos</t>
  </si>
  <si>
    <t>Numero de pernos</t>
  </si>
  <si>
    <t>Ø Perno</t>
  </si>
  <si>
    <t>≥</t>
  </si>
  <si>
    <t>Si</t>
  </si>
  <si>
    <t>Resistencia de pernos</t>
  </si>
  <si>
    <t>Fluencia por cortante</t>
  </si>
  <si>
    <t>dist. Min. Al borde [mm]</t>
  </si>
  <si>
    <t>Long. Min. Platina</t>
  </si>
  <si>
    <t>Long. Real</t>
  </si>
  <si>
    <t>Filas de pernos</t>
  </si>
  <si>
    <t>CONEXIÓN A CORTE</t>
  </si>
  <si>
    <t>CONEXIÓN A MOMENTO</t>
  </si>
  <si>
    <t>L Platina [mm]</t>
  </si>
  <si>
    <t>t Platina [In]</t>
  </si>
  <si>
    <t>Anv</t>
  </si>
  <si>
    <t>Rotura por cortante</t>
  </si>
  <si>
    <t>Aplastamiento y desgarramiento</t>
  </si>
  <si>
    <r>
      <rPr>
        <sz val="11"/>
        <color theme="1"/>
        <rFont val="Calibri"/>
        <family val="2"/>
      </rPr>
      <t>φ</t>
    </r>
    <r>
      <rPr>
        <sz val="9.35"/>
        <color theme="1"/>
        <rFont val="Arial"/>
        <family val="2"/>
      </rPr>
      <t xml:space="preserve"> R</t>
    </r>
    <r>
      <rPr>
        <vertAlign val="subscript"/>
        <sz val="9.35"/>
        <color theme="1"/>
        <rFont val="Arial"/>
        <family val="2"/>
      </rPr>
      <t xml:space="preserve">nv </t>
    </r>
  </si>
  <si>
    <t>φ Rn</t>
  </si>
  <si>
    <t>φ Rnv</t>
  </si>
  <si>
    <t>Desgarramiento en bloque</t>
  </si>
  <si>
    <t>d al borde (perpendicular al plano de corte) [mm]</t>
  </si>
  <si>
    <t>SOLDADURA</t>
  </si>
  <si>
    <t>Fexx [MPa]</t>
  </si>
  <si>
    <t>Min. W [mm]</t>
  </si>
  <si>
    <t>Awe</t>
  </si>
  <si>
    <t>t de la parte mas delgada a unir [mm]</t>
  </si>
  <si>
    <t>Resistencia soldadura (tipo filete)</t>
  </si>
  <si>
    <t>Fnw</t>
  </si>
  <si>
    <r>
      <t>Ɵ</t>
    </r>
    <r>
      <rPr>
        <vertAlign val="subscript"/>
        <sz val="11"/>
        <color theme="1"/>
        <rFont val="Arial"/>
        <family val="2"/>
      </rPr>
      <t>Mu</t>
    </r>
    <r>
      <rPr>
        <sz val="11"/>
        <color theme="1"/>
        <rFont val="Arial"/>
        <family val="2"/>
      </rPr>
      <t xml:space="preserve"> (aplicación carga)</t>
    </r>
  </si>
  <si>
    <r>
      <t>Ɵ</t>
    </r>
    <r>
      <rPr>
        <vertAlign val="subscript"/>
        <sz val="11"/>
        <color theme="1"/>
        <rFont val="Arial"/>
        <family val="2"/>
      </rPr>
      <t>Vu</t>
    </r>
    <r>
      <rPr>
        <sz val="11"/>
        <color theme="1"/>
        <rFont val="Arial"/>
        <family val="2"/>
      </rPr>
      <t xml:space="preserve"> (aplicación carga)</t>
    </r>
  </si>
  <si>
    <t>REVISIÓN A CORTANTE</t>
  </si>
  <si>
    <t>REVISIÓN A MOMENTO</t>
  </si>
  <si>
    <r>
      <t>V</t>
    </r>
    <r>
      <rPr>
        <vertAlign val="subscript"/>
        <sz val="11"/>
        <color theme="1" tint="4.9989318521683403E-2"/>
        <rFont val="Arial"/>
        <family val="2"/>
      </rPr>
      <t>Mu</t>
    </r>
  </si>
  <si>
    <t>d al borde (paralela al plano de corte) [mm]</t>
  </si>
  <si>
    <t>VigaLateral-Relativo</t>
  </si>
  <si>
    <t>VigaLateral-Nodal</t>
  </si>
  <si>
    <t>VigaTorsional-Nodal</t>
  </si>
  <si>
    <t>VigaTorsional-Continuo</t>
  </si>
  <si>
    <t>Mu [kN*m] de la riostra</t>
  </si>
  <si>
    <t>Espaciamiento del arriostramiento</t>
  </si>
  <si>
    <t>Lb [m] (entre riostras)</t>
  </si>
  <si>
    <t>Viga-ColumnaNodal-Lateral R</t>
  </si>
  <si>
    <t>Viga-ColumnaRelativo-Torsional N</t>
  </si>
  <si>
    <t>RIOSTRA</t>
  </si>
  <si>
    <t>MIEMBRO ARRIOSTRADO</t>
  </si>
  <si>
    <t>Carga muerta</t>
  </si>
  <si>
    <t>Carga viva</t>
  </si>
  <si>
    <t>Ancho aferente nodo</t>
  </si>
  <si>
    <t>Largo aferente nodo</t>
  </si>
  <si>
    <t>Luz de la viga</t>
  </si>
  <si>
    <t>Luz entre rótulas plásticas</t>
  </si>
  <si>
    <t>Vu de la conexión [kN]</t>
  </si>
  <si>
    <t>Cortante de viga</t>
  </si>
  <si>
    <t>CARGAS DE DISEÑO</t>
  </si>
  <si>
    <t>Mu min</t>
  </si>
  <si>
    <t>VERIFICACIONES DE DISEÑO DE ELEMENTOS SOMETIDOS A COMPRESIÓN</t>
  </si>
  <si>
    <t>VERIFICACIONES DE DISEÑO DE ELEMENTOS SOMETIDOS A FLEXO COMPRESIÓN DE PÓRTICOS RESISTENTES A MOMENTO</t>
  </si>
  <si>
    <t>VERIFICACIONES DE DISEÑO DE ELEMENTOS SOMETIDOS A FLEXIÓN SIMPLE PÓRTICOS RESISTENTES A MOMENTO</t>
  </si>
  <si>
    <t>VERIFICACIONES DE DISEÑO DE RIOSTRAS DE PÓRTICOS RESISTENTES A MOMENTO</t>
  </si>
  <si>
    <t>L [m] (de la riostra)</t>
  </si>
  <si>
    <t>Kn [N/mm]</t>
  </si>
  <si>
    <t>COLOMBIA</t>
  </si>
  <si>
    <t>BOGOTÁ</t>
  </si>
  <si>
    <t>T (s)</t>
  </si>
  <si>
    <t>Sa</t>
  </si>
  <si>
    <t>importancia</t>
  </si>
  <si>
    <t>II</t>
  </si>
  <si>
    <t>III</t>
  </si>
  <si>
    <t>IV</t>
  </si>
  <si>
    <t>UBICACIÓN</t>
  </si>
  <si>
    <t>TIPO DE USO</t>
  </si>
  <si>
    <t>TIPO DE SUELO</t>
  </si>
  <si>
    <t>Departamento :</t>
  </si>
  <si>
    <t>Nariño</t>
  </si>
  <si>
    <t>Grupo de uso :</t>
  </si>
  <si>
    <t>D</t>
  </si>
  <si>
    <t>perfil de suelo</t>
  </si>
  <si>
    <t>Ciudad :</t>
  </si>
  <si>
    <t>Ipiales</t>
  </si>
  <si>
    <t>I :</t>
  </si>
  <si>
    <t>Fa :</t>
  </si>
  <si>
    <t>A</t>
  </si>
  <si>
    <t>ALUVIAL-100</t>
  </si>
  <si>
    <t>Z. Amenaza Sísmica</t>
  </si>
  <si>
    <t>Fv :</t>
  </si>
  <si>
    <t>B</t>
  </si>
  <si>
    <t>E</t>
  </si>
  <si>
    <t>F</t>
  </si>
  <si>
    <t xml:space="preserve">Tipo de Perfil </t>
  </si>
  <si>
    <t>Nota</t>
  </si>
  <si>
    <t>ZONA</t>
  </si>
  <si>
    <t>CERROS</t>
  </si>
  <si>
    <t>PIEDEMONTE A</t>
  </si>
  <si>
    <t>PIEDEMONTE B</t>
  </si>
  <si>
    <t>PIEDEMONTE C</t>
  </si>
  <si>
    <t>LACUSTRE-50</t>
  </si>
  <si>
    <t>LACUSTRE-100</t>
  </si>
  <si>
    <t>LACUSTRE-200</t>
  </si>
  <si>
    <t>LACUSTRE-300</t>
  </si>
  <si>
    <t>LACUSTRE-500</t>
  </si>
  <si>
    <t>LACUSTRE ALUVIAL-200</t>
  </si>
  <si>
    <t>LACUSTRE ALUVIAL-300</t>
  </si>
  <si>
    <t>ALUVIAL-50</t>
  </si>
  <si>
    <t>ALUVIAL-200</t>
  </si>
  <si>
    <t>ALUVIAL-300</t>
  </si>
  <si>
    <t>DEPOSITO LADERA</t>
  </si>
  <si>
    <t>Av =&lt; 0.1</t>
  </si>
  <si>
    <t>Av = 0.2</t>
  </si>
  <si>
    <t>Av = 0.3</t>
  </si>
  <si>
    <t>Av = 0.4</t>
  </si>
  <si>
    <t>Av =&gt; 0.5</t>
  </si>
  <si>
    <t>Santander</t>
  </si>
  <si>
    <t>Amazonas</t>
  </si>
  <si>
    <t>Antioquia</t>
  </si>
  <si>
    <t>Arauca</t>
  </si>
  <si>
    <t>San_Andrés</t>
  </si>
  <si>
    <t>Atlántico</t>
  </si>
  <si>
    <t>Bolivar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</si>
  <si>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</si>
  <si>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</si>
  <si>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</si>
  <si>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</si>
  <si>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</si>
  <si>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</si>
  <si>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</si>
  <si>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</si>
  <si>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</si>
  <si>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</si>
  <si>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</si>
  <si>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</si>
  <si>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</si>
  <si>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</si>
  <si>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</si>
  <si>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Norte_de_Santander</t>
  </si>
  <si>
    <t>Putumayo</t>
  </si>
  <si>
    <t>Quindío</t>
  </si>
  <si>
    <t>Risaralda</t>
  </si>
  <si>
    <t>Sucre</t>
  </si>
  <si>
    <t>Tolima</t>
  </si>
  <si>
    <t>Valle_del_Cauca</t>
  </si>
  <si>
    <t>Vaupés</t>
  </si>
  <si>
    <t>Vichada</t>
  </si>
  <si>
    <t>Leticia</t>
  </si>
  <si>
    <t>Medellín</t>
  </si>
  <si>
    <t>San Andrés</t>
  </si>
  <si>
    <t>Barranquilla</t>
  </si>
  <si>
    <t>Cartagena</t>
  </si>
  <si>
    <t>Tunja</t>
  </si>
  <si>
    <t>Manizales</t>
  </si>
  <si>
    <t>Florencia</t>
  </si>
  <si>
    <t>Yopal</t>
  </si>
  <si>
    <t>Popayán</t>
  </si>
  <si>
    <t>Valledupar</t>
  </si>
  <si>
    <t>Quibdó</t>
  </si>
  <si>
    <t>Montería</t>
  </si>
  <si>
    <t>Agua de Dios</t>
  </si>
  <si>
    <t>Puerto Inírida</t>
  </si>
  <si>
    <t>Riohacha</t>
  </si>
  <si>
    <t>San José Del Guaviare</t>
  </si>
  <si>
    <t>Neiva</t>
  </si>
  <si>
    <t>Santa Marta</t>
  </si>
  <si>
    <t>Villavicencio</t>
  </si>
  <si>
    <t>Pasto</t>
  </si>
  <si>
    <t>Cúcuta</t>
  </si>
  <si>
    <t>Mocoa</t>
  </si>
  <si>
    <t>Armenia</t>
  </si>
  <si>
    <t>Pereira</t>
  </si>
  <si>
    <t>Bucaramanga</t>
  </si>
  <si>
    <t>Sincelejo</t>
  </si>
  <si>
    <t>Ibagué</t>
  </si>
  <si>
    <t>Cali</t>
  </si>
  <si>
    <t>Mitú</t>
  </si>
  <si>
    <t>Puerto Carreño</t>
  </si>
  <si>
    <t>El Encanto</t>
  </si>
  <si>
    <t>Abejorral</t>
  </si>
  <si>
    <t>Arauquita</t>
  </si>
  <si>
    <t>Providencia y Santa Catalina</t>
  </si>
  <si>
    <t>Baranoa</t>
  </si>
  <si>
    <t>Achí</t>
  </si>
  <si>
    <t>Almeida</t>
  </si>
  <si>
    <t>Aguadas</t>
  </si>
  <si>
    <t>Albania (Caq)</t>
  </si>
  <si>
    <t>Aguazul</t>
  </si>
  <si>
    <t>Almaguer</t>
  </si>
  <si>
    <t>Aguachica</t>
  </si>
  <si>
    <t>Acandí</t>
  </si>
  <si>
    <t>Ayapel</t>
  </si>
  <si>
    <t>Albán</t>
  </si>
  <si>
    <t>Barranco Mina</t>
  </si>
  <si>
    <t>Albania</t>
  </si>
  <si>
    <t>Calamar</t>
  </si>
  <si>
    <t>Acevedo</t>
  </si>
  <si>
    <t>Algarrobo</t>
  </si>
  <si>
    <t>Acacias</t>
  </si>
  <si>
    <t>Albán (Nar)</t>
  </si>
  <si>
    <t>Abrego</t>
  </si>
  <si>
    <t>Colón (Put)</t>
  </si>
  <si>
    <t>Buenavista (Qui)</t>
  </si>
  <si>
    <t>Apía</t>
  </si>
  <si>
    <t>Aguada</t>
  </si>
  <si>
    <t>Buenavista (suc)</t>
  </si>
  <si>
    <t>Alpujarra</t>
  </si>
  <si>
    <t>Alcalá</t>
  </si>
  <si>
    <t>Carurú</t>
  </si>
  <si>
    <t>Cumaribo</t>
  </si>
  <si>
    <t>La Chorrera</t>
  </si>
  <si>
    <t>Abriaquí</t>
  </si>
  <si>
    <t>Cravo Norte</t>
  </si>
  <si>
    <t>Campo de la Cruz</t>
  </si>
  <si>
    <t>Altos del Rosario</t>
  </si>
  <si>
    <t>Aquitania</t>
  </si>
  <si>
    <t>Anserma</t>
  </si>
  <si>
    <t>Belén de los Andaquíes</t>
  </si>
  <si>
    <t>Chámeza</t>
  </si>
  <si>
    <t>Argelia</t>
  </si>
  <si>
    <t>Agustín Codazzi</t>
  </si>
  <si>
    <t>Alto Baudó</t>
  </si>
  <si>
    <t>Buenavista</t>
  </si>
  <si>
    <t>Anapóima</t>
  </si>
  <si>
    <t>Cacahual</t>
  </si>
  <si>
    <t>Barrancas</t>
  </si>
  <si>
    <t>El Retorno</t>
  </si>
  <si>
    <t>Agrado</t>
  </si>
  <si>
    <t>Aracataca</t>
  </si>
  <si>
    <t>Barranca de Upía</t>
  </si>
  <si>
    <t>Aldana</t>
  </si>
  <si>
    <t>Arboledas</t>
  </si>
  <si>
    <t>Orito</t>
  </si>
  <si>
    <t>Calarcá</t>
  </si>
  <si>
    <t>Balboa (Ris)</t>
  </si>
  <si>
    <t>Albania (San)</t>
  </si>
  <si>
    <t>Caimito</t>
  </si>
  <si>
    <t>Alvarado</t>
  </si>
  <si>
    <t>Andalucía</t>
  </si>
  <si>
    <t>Pacoa</t>
  </si>
  <si>
    <t>La Primavera</t>
  </si>
  <si>
    <t>La Pedrera</t>
  </si>
  <si>
    <t>Alejandría</t>
  </si>
  <si>
    <t>Fortul</t>
  </si>
  <si>
    <t>Candelaria</t>
  </si>
  <si>
    <t>Arenal</t>
  </si>
  <si>
    <t>Arcabuco</t>
  </si>
  <si>
    <t>Aranzazu</t>
  </si>
  <si>
    <t>Cartagena del Chairá</t>
  </si>
  <si>
    <t>Hato Corozal</t>
  </si>
  <si>
    <t>Balboa</t>
  </si>
  <si>
    <t>Astréa</t>
  </si>
  <si>
    <t>Atrato</t>
  </si>
  <si>
    <t>Canalete</t>
  </si>
  <si>
    <t>Anolaima</t>
  </si>
  <si>
    <t>La Guadalupe</t>
  </si>
  <si>
    <t>Dibulla</t>
  </si>
  <si>
    <t>Miraflores</t>
  </si>
  <si>
    <t>Aipe</t>
  </si>
  <si>
    <t>Ariguaní</t>
  </si>
  <si>
    <t>Cabuyaro</t>
  </si>
  <si>
    <t>Ancuyá</t>
  </si>
  <si>
    <t>Bochalema</t>
  </si>
  <si>
    <t>Puerto Asís</t>
  </si>
  <si>
    <t>Circasia</t>
  </si>
  <si>
    <t>Belén de Umbría</t>
  </si>
  <si>
    <t>Aratoca</t>
  </si>
  <si>
    <t>Chalán</t>
  </si>
  <si>
    <t>Ambalema</t>
  </si>
  <si>
    <t>Ansermanuevo</t>
  </si>
  <si>
    <t>Papunahua</t>
  </si>
  <si>
    <t>Santa Rosalía</t>
  </si>
  <si>
    <t>La Victoria</t>
  </si>
  <si>
    <t>Amagá</t>
  </si>
  <si>
    <t>Puerto Rondón</t>
  </si>
  <si>
    <t>Galapa</t>
  </si>
  <si>
    <t>Arjona</t>
  </si>
  <si>
    <t>Belén (Boy)</t>
  </si>
  <si>
    <t>Belalcázar</t>
  </si>
  <si>
    <t>Currillo</t>
  </si>
  <si>
    <t>La Salina</t>
  </si>
  <si>
    <t>Bolívar (Cau)</t>
  </si>
  <si>
    <t>Becerril</t>
  </si>
  <si>
    <t>Bagadó</t>
  </si>
  <si>
    <t>Cereté</t>
  </si>
  <si>
    <t>Apulo</t>
  </si>
  <si>
    <t>Mapiripaná</t>
  </si>
  <si>
    <t>Distracción</t>
  </si>
  <si>
    <t>Algeciras</t>
  </si>
  <si>
    <t>Cerro San Antonio</t>
  </si>
  <si>
    <t>Castilla la Nueva</t>
  </si>
  <si>
    <t>Arboleda</t>
  </si>
  <si>
    <t>Bucarasica</t>
  </si>
  <si>
    <t>Puerto Caicedo</t>
  </si>
  <si>
    <t>Córdoba (Qui)</t>
  </si>
  <si>
    <t>Dos Quebradas</t>
  </si>
  <si>
    <t>Barbosa</t>
  </si>
  <si>
    <t>Coloso</t>
  </si>
  <si>
    <t>Anzoátegui</t>
  </si>
  <si>
    <t>Taraira</t>
  </si>
  <si>
    <t>Mirití-Paraná</t>
  </si>
  <si>
    <t>Amalfi</t>
  </si>
  <si>
    <t>Saravena</t>
  </si>
  <si>
    <t>Juan de Acosta</t>
  </si>
  <si>
    <t>Arroyo hondo</t>
  </si>
  <si>
    <t>Berbeo</t>
  </si>
  <si>
    <t>Chinchiná</t>
  </si>
  <si>
    <t>El Doncello</t>
  </si>
  <si>
    <t>Maní</t>
  </si>
  <si>
    <t>Buenos Aires</t>
  </si>
  <si>
    <t>Bosconia</t>
  </si>
  <si>
    <t>Bahía Solano</t>
  </si>
  <si>
    <t>Chimá</t>
  </si>
  <si>
    <t>Arbeláez</t>
  </si>
  <si>
    <t>Morichal</t>
  </si>
  <si>
    <t>El Molino</t>
  </si>
  <si>
    <t>Mira</t>
  </si>
  <si>
    <t>Chivolo</t>
  </si>
  <si>
    <t>Cumaral</t>
  </si>
  <si>
    <t>Barbacoas</t>
  </si>
  <si>
    <t>Cáchira</t>
  </si>
  <si>
    <t>Puerto Guzmán</t>
  </si>
  <si>
    <t>Filandia</t>
  </si>
  <si>
    <t>Guática</t>
  </si>
  <si>
    <t>Barichara</t>
  </si>
  <si>
    <t>Corozal</t>
  </si>
  <si>
    <t>Armero</t>
  </si>
  <si>
    <t>Bolívar (Val)</t>
  </si>
  <si>
    <t>Yavarate</t>
  </si>
  <si>
    <t>Puerto Alegría</t>
  </si>
  <si>
    <t>Andes (Ant)</t>
  </si>
  <si>
    <t>Tame</t>
  </si>
  <si>
    <t>Luruaco</t>
  </si>
  <si>
    <t>Barranco de Loba</t>
  </si>
  <si>
    <t>Beteitiva</t>
  </si>
  <si>
    <t>Filadelfia</t>
  </si>
  <si>
    <t>El Paujil</t>
  </si>
  <si>
    <t>Monterrey</t>
  </si>
  <si>
    <t>Cajibío</t>
  </si>
  <si>
    <t>Chimichagua</t>
  </si>
  <si>
    <t>Bajo Baudó</t>
  </si>
  <si>
    <t>Chinú</t>
  </si>
  <si>
    <t>Beltrán</t>
  </si>
  <si>
    <t>Pana Pana</t>
  </si>
  <si>
    <t>Fonseca</t>
  </si>
  <si>
    <t>Baraya</t>
  </si>
  <si>
    <t>Ciénaga</t>
  </si>
  <si>
    <t>El Calvario</t>
  </si>
  <si>
    <t>Belén</t>
  </si>
  <si>
    <t>Cácota</t>
  </si>
  <si>
    <t>Puerto Leguízamo</t>
  </si>
  <si>
    <t>Génova</t>
  </si>
  <si>
    <t>La Celia</t>
  </si>
  <si>
    <t>Barrancabermeja</t>
  </si>
  <si>
    <t>El Roble</t>
  </si>
  <si>
    <t>Ataco</t>
  </si>
  <si>
    <t>Buenaventura</t>
  </si>
  <si>
    <t>Puerto Arica</t>
  </si>
  <si>
    <t>Angelópolis</t>
  </si>
  <si>
    <t>Malambo</t>
  </si>
  <si>
    <t>Boavita</t>
  </si>
  <si>
    <t>La Dorada</t>
  </si>
  <si>
    <t>La Montañita</t>
  </si>
  <si>
    <t>Nunchía</t>
  </si>
  <si>
    <t>Caldonó</t>
  </si>
  <si>
    <t>Chiriguaná</t>
  </si>
  <si>
    <t>Belén de Bajirá</t>
  </si>
  <si>
    <t>Ciénaga de Oro</t>
  </si>
  <si>
    <t>Bituima</t>
  </si>
  <si>
    <t>Puerto Colombia (Gua)</t>
  </si>
  <si>
    <t>Hatonuevo</t>
  </si>
  <si>
    <t>Campoalegre</t>
  </si>
  <si>
    <t>Concordia</t>
  </si>
  <si>
    <t>El Castillo</t>
  </si>
  <si>
    <t>Buesaco</t>
  </si>
  <si>
    <t>Chinácota</t>
  </si>
  <si>
    <t>San Francisco (Put)</t>
  </si>
  <si>
    <t>La Tebaida</t>
  </si>
  <si>
    <t>La Virginia</t>
  </si>
  <si>
    <t>Betulia (San)</t>
  </si>
  <si>
    <t>Galeras</t>
  </si>
  <si>
    <t>Cajamarca</t>
  </si>
  <si>
    <t>Buga</t>
  </si>
  <si>
    <t>Puerto Nariño</t>
  </si>
  <si>
    <t>Angostura</t>
  </si>
  <si>
    <t>Manatí</t>
  </si>
  <si>
    <t>Cantagallo</t>
  </si>
  <si>
    <t>La Merced</t>
  </si>
  <si>
    <t>Milán</t>
  </si>
  <si>
    <t>Orocué</t>
  </si>
  <si>
    <t>Caloto</t>
  </si>
  <si>
    <t>Curumaní</t>
  </si>
  <si>
    <t>Bojayá</t>
  </si>
  <si>
    <t>Cotorra</t>
  </si>
  <si>
    <t>Bojacá</t>
  </si>
  <si>
    <t>San Felipe</t>
  </si>
  <si>
    <t>La Jagua del Pilar</t>
  </si>
  <si>
    <t>Colombia</t>
  </si>
  <si>
    <t>El Banco</t>
  </si>
  <si>
    <t>El Dorado</t>
  </si>
  <si>
    <t>Chachagui</t>
  </si>
  <si>
    <t>Chitagá</t>
  </si>
  <si>
    <t>San Miguel</t>
  </si>
  <si>
    <t>Montenegro</t>
  </si>
  <si>
    <t>Marsella</t>
  </si>
  <si>
    <t>Bolívar</t>
  </si>
  <si>
    <t>Guarandá</t>
  </si>
  <si>
    <t>Carmen Apicalá</t>
  </si>
  <si>
    <t>Bugalagrande</t>
  </si>
  <si>
    <t>Puerto Santander</t>
  </si>
  <si>
    <t>Anorí</t>
  </si>
  <si>
    <t>Palmar de Varela</t>
  </si>
  <si>
    <t>Cicuco</t>
  </si>
  <si>
    <t>Briceño</t>
  </si>
  <si>
    <t>Manzanares</t>
  </si>
  <si>
    <t>Morelia</t>
  </si>
  <si>
    <t>Paz de Ariporo</t>
  </si>
  <si>
    <t>Corinto</t>
  </si>
  <si>
    <t>El Copey</t>
  </si>
  <si>
    <t>Cantón de San Pablo</t>
  </si>
  <si>
    <t>La Apartada</t>
  </si>
  <si>
    <t>Cabrera (Cun)</t>
  </si>
  <si>
    <t>Maicao</t>
  </si>
  <si>
    <t>Elías</t>
  </si>
  <si>
    <t>El Piñon</t>
  </si>
  <si>
    <t>Fuente de Oro</t>
  </si>
  <si>
    <t>Colón</t>
  </si>
  <si>
    <t>Convención</t>
  </si>
  <si>
    <t>Santiago</t>
  </si>
  <si>
    <t>Pijáo</t>
  </si>
  <si>
    <t>Mistrató</t>
  </si>
  <si>
    <t>Cabrera</t>
  </si>
  <si>
    <t>La Unión</t>
  </si>
  <si>
    <t>Casabianca</t>
  </si>
  <si>
    <t>Caicedonia</t>
  </si>
  <si>
    <t>Tarapacá</t>
  </si>
  <si>
    <t>Anzá</t>
  </si>
  <si>
    <t>Piojo</t>
  </si>
  <si>
    <t>Clemencia</t>
  </si>
  <si>
    <t>Buenavista (Boy)</t>
  </si>
  <si>
    <t>Marmato</t>
  </si>
  <si>
    <t>Puerto Rico (Caq)</t>
  </si>
  <si>
    <t>Pore</t>
  </si>
  <si>
    <t>El Tambo</t>
  </si>
  <si>
    <t>El Paso</t>
  </si>
  <si>
    <t>Carmen del Darién</t>
  </si>
  <si>
    <t>Lorica</t>
  </si>
  <si>
    <t>Cachipay</t>
  </si>
  <si>
    <t>Manaure (Gua)</t>
  </si>
  <si>
    <t>Garzón</t>
  </si>
  <si>
    <t>El Reten</t>
  </si>
  <si>
    <t>Granada</t>
  </si>
  <si>
    <t>Consacá</t>
  </si>
  <si>
    <t>Cucutilla</t>
  </si>
  <si>
    <t>Sibundoy</t>
  </si>
  <si>
    <t>Quimbaya</t>
  </si>
  <si>
    <t>Pueblo Rico</t>
  </si>
  <si>
    <t>California</t>
  </si>
  <si>
    <t>Los Palmitos</t>
  </si>
  <si>
    <t>Chaparral</t>
  </si>
  <si>
    <t>Calima</t>
  </si>
  <si>
    <t>Apartadó</t>
  </si>
  <si>
    <t>Polonuevo</t>
  </si>
  <si>
    <t>Córdoba (Bol)</t>
  </si>
  <si>
    <t>Busbanzá</t>
  </si>
  <si>
    <t>Marquetalia</t>
  </si>
  <si>
    <t>San José de la Fragua</t>
  </si>
  <si>
    <t>Recetor</t>
  </si>
  <si>
    <t>Florencia (Cau)</t>
  </si>
  <si>
    <t>Gamarra</t>
  </si>
  <si>
    <t>Certeguí</t>
  </si>
  <si>
    <t>Los Córdobas</t>
  </si>
  <si>
    <t>Cajicá</t>
  </si>
  <si>
    <t>San Juan del Cesar</t>
  </si>
  <si>
    <t>Gigante</t>
  </si>
  <si>
    <t>Fundación</t>
  </si>
  <si>
    <t>Guamal (Met)</t>
  </si>
  <si>
    <t>Contadero</t>
  </si>
  <si>
    <t>Durania</t>
  </si>
  <si>
    <t>Valle del Guamuez</t>
  </si>
  <si>
    <t>Salento</t>
  </si>
  <si>
    <t>Quinchía</t>
  </si>
  <si>
    <t>Capitanejo</t>
  </si>
  <si>
    <t>Majagual</t>
  </si>
  <si>
    <t>Coello</t>
  </si>
  <si>
    <t>Candelaria (Val)</t>
  </si>
  <si>
    <t>Arboletes</t>
  </si>
  <si>
    <t>Ponedera</t>
  </si>
  <si>
    <t>El Carmen de Bolívar</t>
  </si>
  <si>
    <t>Caldas (Boy)</t>
  </si>
  <si>
    <t>Marulanda</t>
  </si>
  <si>
    <t>San Vicente del Caguán</t>
  </si>
  <si>
    <t>Sabanalarga (Cas)</t>
  </si>
  <si>
    <t>Guapí</t>
  </si>
  <si>
    <t>González</t>
  </si>
  <si>
    <t>Condoto</t>
  </si>
  <si>
    <t>Moñitos</t>
  </si>
  <si>
    <t>Caparrapí</t>
  </si>
  <si>
    <t>Uribía</t>
  </si>
  <si>
    <t>Guadalupe (Hui)</t>
  </si>
  <si>
    <t>Guamal</t>
  </si>
  <si>
    <t>La Macarena</t>
  </si>
  <si>
    <t>El Carmen</t>
  </si>
  <si>
    <t>Villagarzón</t>
  </si>
  <si>
    <t>Santa Rosa de Cabal</t>
  </si>
  <si>
    <t>Carcasi</t>
  </si>
  <si>
    <t>Morroa</t>
  </si>
  <si>
    <t>Coyaima</t>
  </si>
  <si>
    <t>Cartago</t>
  </si>
  <si>
    <t>Puerto Colombia</t>
  </si>
  <si>
    <t>El Guamo (Bol)</t>
  </si>
  <si>
    <t>Campohermoso</t>
  </si>
  <si>
    <t>Neira</t>
  </si>
  <si>
    <t>Solano</t>
  </si>
  <si>
    <t>Sácama</t>
  </si>
  <si>
    <t>Inzá</t>
  </si>
  <si>
    <t>La Gloria</t>
  </si>
  <si>
    <t>El Carmen de Atrato</t>
  </si>
  <si>
    <t>Momil</t>
  </si>
  <si>
    <t>Cáqueza</t>
  </si>
  <si>
    <t>Urumita</t>
  </si>
  <si>
    <t>Hobo</t>
  </si>
  <si>
    <t>Nueva Granada</t>
  </si>
  <si>
    <t>La Uribe</t>
  </si>
  <si>
    <t>Cuaspud</t>
  </si>
  <si>
    <t>El Tarra</t>
  </si>
  <si>
    <t>Santuario</t>
  </si>
  <si>
    <t>Cepitá</t>
  </si>
  <si>
    <t>Ovejas</t>
  </si>
  <si>
    <t>Cunday</t>
  </si>
  <si>
    <t>Dagua</t>
  </si>
  <si>
    <t>Armenia (Ant)</t>
  </si>
  <si>
    <t>Repelón</t>
  </si>
  <si>
    <t>El Peñón (Bol)</t>
  </si>
  <si>
    <t>Cerinza</t>
  </si>
  <si>
    <t>Norcasia</t>
  </si>
  <si>
    <t>Solita</t>
  </si>
  <si>
    <t>San Luis de Palenque</t>
  </si>
  <si>
    <t>Jambaló</t>
  </si>
  <si>
    <t>La Jagua de Ibirico</t>
  </si>
  <si>
    <t>El Litoral del San Juan</t>
  </si>
  <si>
    <t>Montelíbano</t>
  </si>
  <si>
    <t>Carmen de Carupa</t>
  </si>
  <si>
    <t>Villanueva (Gua)</t>
  </si>
  <si>
    <t>Iquira</t>
  </si>
  <si>
    <t>Pedraza</t>
  </si>
  <si>
    <t>Lejanías</t>
  </si>
  <si>
    <t>Cumbal</t>
  </si>
  <si>
    <t>El Zulia</t>
  </si>
  <si>
    <t>Cerrito</t>
  </si>
  <si>
    <t>Palmito</t>
  </si>
  <si>
    <t>Dolores</t>
  </si>
  <si>
    <t>El Águila</t>
  </si>
  <si>
    <t>Barbosa (Ant)</t>
  </si>
  <si>
    <t>Sabanagrande</t>
  </si>
  <si>
    <t>Hatillo de Loba</t>
  </si>
  <si>
    <t>Chinavita</t>
  </si>
  <si>
    <t>Pácora</t>
  </si>
  <si>
    <t>Valparaíso</t>
  </si>
  <si>
    <t>Támara</t>
  </si>
  <si>
    <t>La Sierra</t>
  </si>
  <si>
    <t>La Paz (Ces)</t>
  </si>
  <si>
    <t>Itsmína</t>
  </si>
  <si>
    <t>Planeta Rica</t>
  </si>
  <si>
    <t>Chaguaní</t>
  </si>
  <si>
    <t>Isnos</t>
  </si>
  <si>
    <t>Pijino del Carmen</t>
  </si>
  <si>
    <t>Mapiripán</t>
  </si>
  <si>
    <t>Cumbitará</t>
  </si>
  <si>
    <t>Gramalote</t>
  </si>
  <si>
    <t>Charalá</t>
  </si>
  <si>
    <t>Sampués</t>
  </si>
  <si>
    <t>Espinal</t>
  </si>
  <si>
    <t>El Cairo</t>
  </si>
  <si>
    <t>Bello</t>
  </si>
  <si>
    <t>Sabanalarga</t>
  </si>
  <si>
    <t>Magangue</t>
  </si>
  <si>
    <t>Chiquinquirá</t>
  </si>
  <si>
    <t>Palestina (Cal)</t>
  </si>
  <si>
    <t>Tauramena</t>
  </si>
  <si>
    <t>La Vega (Cau)</t>
  </si>
  <si>
    <t>Manaure</t>
  </si>
  <si>
    <t>Juradó</t>
  </si>
  <si>
    <t>Pueblo Nuevo</t>
  </si>
  <si>
    <t>Chía</t>
  </si>
  <si>
    <t>La Argentina</t>
  </si>
  <si>
    <t>Pivijay</t>
  </si>
  <si>
    <t>Mesetas</t>
  </si>
  <si>
    <t>El Charco</t>
  </si>
  <si>
    <t>Hacarí</t>
  </si>
  <si>
    <t>Charta</t>
  </si>
  <si>
    <t>San Benito Abad</t>
  </si>
  <si>
    <t>Falán</t>
  </si>
  <si>
    <t>El Cerrito</t>
  </si>
  <si>
    <t>Belmira</t>
  </si>
  <si>
    <t>Santa Lucía</t>
  </si>
  <si>
    <t>Mahates</t>
  </si>
  <si>
    <t>Chíquiza</t>
  </si>
  <si>
    <t>Pensilvania</t>
  </si>
  <si>
    <t>Trinidad</t>
  </si>
  <si>
    <t>López</t>
  </si>
  <si>
    <t>Pailitas</t>
  </si>
  <si>
    <t>Lloró</t>
  </si>
  <si>
    <t>Puerto Escondido</t>
  </si>
  <si>
    <t>Chipaque</t>
  </si>
  <si>
    <t>La Plata</t>
  </si>
  <si>
    <t>Plato</t>
  </si>
  <si>
    <t>Puerto Concordia</t>
  </si>
  <si>
    <t>El Peñol (Nar)</t>
  </si>
  <si>
    <t>Herrán</t>
  </si>
  <si>
    <t>Chima</t>
  </si>
  <si>
    <t>San Juan Betulia</t>
  </si>
  <si>
    <t>Flandes</t>
  </si>
  <si>
    <t>El Dovio</t>
  </si>
  <si>
    <t>Betania</t>
  </si>
  <si>
    <t>Santo Tomás</t>
  </si>
  <si>
    <t>Margarita</t>
  </si>
  <si>
    <t>Chiscas</t>
  </si>
  <si>
    <t>Riosucio</t>
  </si>
  <si>
    <t>Villanueva (Cas)</t>
  </si>
  <si>
    <t>Mercaderes</t>
  </si>
  <si>
    <t>Pelaya</t>
  </si>
  <si>
    <t>Medio Atrato</t>
  </si>
  <si>
    <t>Puerto Libertador</t>
  </si>
  <si>
    <t>Choachí</t>
  </si>
  <si>
    <t>Nátaga</t>
  </si>
  <si>
    <t>Puebloviejo</t>
  </si>
  <si>
    <t>Puerto Gaitán</t>
  </si>
  <si>
    <t>El Rosario</t>
  </si>
  <si>
    <t>La Esperanza</t>
  </si>
  <si>
    <t>Chipatá</t>
  </si>
  <si>
    <t>San Marcos</t>
  </si>
  <si>
    <t>Fresno</t>
  </si>
  <si>
    <t>Florida</t>
  </si>
  <si>
    <t>Betulia</t>
  </si>
  <si>
    <t>Soledad</t>
  </si>
  <si>
    <t>María la Baja</t>
  </si>
  <si>
    <t>Chita</t>
  </si>
  <si>
    <t>Miranda</t>
  </si>
  <si>
    <t>Pueblo Bello</t>
  </si>
  <si>
    <t>Medio Baudó</t>
  </si>
  <si>
    <t>Purísima</t>
  </si>
  <si>
    <t>Chocontá</t>
  </si>
  <si>
    <t>Oporapa</t>
  </si>
  <si>
    <t>Remolino</t>
  </si>
  <si>
    <t>Puerto Lleras</t>
  </si>
  <si>
    <t>El Tablón</t>
  </si>
  <si>
    <t>La Playa</t>
  </si>
  <si>
    <t>Cimitarra</t>
  </si>
  <si>
    <t>San Onofre</t>
  </si>
  <si>
    <t>Guamo</t>
  </si>
  <si>
    <t>Ginebra</t>
  </si>
  <si>
    <t>Briceño (Ant)</t>
  </si>
  <si>
    <t>Suán</t>
  </si>
  <si>
    <t>Mompós</t>
  </si>
  <si>
    <t>Chitaraque</t>
  </si>
  <si>
    <t>Salamina (Cal)</t>
  </si>
  <si>
    <t>Morales (Cau)</t>
  </si>
  <si>
    <t>Río de Oro</t>
  </si>
  <si>
    <t>Medio San Juan</t>
  </si>
  <si>
    <t>Sahagún</t>
  </si>
  <si>
    <t>Cogua</t>
  </si>
  <si>
    <t>Paicol</t>
  </si>
  <si>
    <t>Sabanas de San Ángel</t>
  </si>
  <si>
    <t>Puerto López</t>
  </si>
  <si>
    <t>El Tambo (Nar)</t>
  </si>
  <si>
    <t>La bateca</t>
  </si>
  <si>
    <t>Concepción (San)</t>
  </si>
  <si>
    <t>San Pedro (Suc)</t>
  </si>
  <si>
    <t>Hervéo</t>
  </si>
  <si>
    <t>Guacarí</t>
  </si>
  <si>
    <t>Buriticá</t>
  </si>
  <si>
    <t>Tubará</t>
  </si>
  <si>
    <t>Montecristo</t>
  </si>
  <si>
    <t>Chivatá</t>
  </si>
  <si>
    <t>Samaná</t>
  </si>
  <si>
    <t>Padilla</t>
  </si>
  <si>
    <t>San Alberto</t>
  </si>
  <si>
    <t>Nóvita</t>
  </si>
  <si>
    <t>San Andrés de Sotavento</t>
  </si>
  <si>
    <t>Cota</t>
  </si>
  <si>
    <t>Palermo</t>
  </si>
  <si>
    <t>Salamina</t>
  </si>
  <si>
    <t>Puerto Rico</t>
  </si>
  <si>
    <t>Francisco Pizarro</t>
  </si>
  <si>
    <t>Los Patios</t>
  </si>
  <si>
    <t>Confines</t>
  </si>
  <si>
    <t>Sincé</t>
  </si>
  <si>
    <t>Honda</t>
  </si>
  <si>
    <t>Jamundí</t>
  </si>
  <si>
    <t>Cañasgordas</t>
  </si>
  <si>
    <t>Usiacurí</t>
  </si>
  <si>
    <t>Morales</t>
  </si>
  <si>
    <t>Chivor</t>
  </si>
  <si>
    <t>San José</t>
  </si>
  <si>
    <t>Páez (Cau)</t>
  </si>
  <si>
    <t>San Diego</t>
  </si>
  <si>
    <t>Nuquí</t>
  </si>
  <si>
    <t>San Antero</t>
  </si>
  <si>
    <t>Cucunubá</t>
  </si>
  <si>
    <t>Palestina</t>
  </si>
  <si>
    <t>San Sebastián de Buenavista</t>
  </si>
  <si>
    <t>Restrepo (Met)</t>
  </si>
  <si>
    <t>Funes</t>
  </si>
  <si>
    <t>Lourdes</t>
  </si>
  <si>
    <t>Contratación</t>
  </si>
  <si>
    <t>Sucre (Suc)</t>
  </si>
  <si>
    <t>Icononzo</t>
  </si>
  <si>
    <t>La Cumbre</t>
  </si>
  <si>
    <t>Cáceres</t>
  </si>
  <si>
    <t>Pinillos</t>
  </si>
  <si>
    <t>Ciénega</t>
  </si>
  <si>
    <t>Supía</t>
  </si>
  <si>
    <t>Patía</t>
  </si>
  <si>
    <t>San Martín (Ces)</t>
  </si>
  <si>
    <t>Río Iro</t>
  </si>
  <si>
    <t>San Bernardo del Viento</t>
  </si>
  <si>
    <t>El Colegio</t>
  </si>
  <si>
    <t>Pital</t>
  </si>
  <si>
    <t>San Zenón</t>
  </si>
  <si>
    <t>San Carlos Guaroa</t>
  </si>
  <si>
    <t>Guachucal</t>
  </si>
  <si>
    <t>Mutiscua</t>
  </si>
  <si>
    <t>Coromoro</t>
  </si>
  <si>
    <t>Tolú</t>
  </si>
  <si>
    <t>Lérida</t>
  </si>
  <si>
    <t>La Unión (Val)</t>
  </si>
  <si>
    <t>Caicedo</t>
  </si>
  <si>
    <t>Regidor</t>
  </si>
  <si>
    <t>Cómbita</t>
  </si>
  <si>
    <t>Victoria</t>
  </si>
  <si>
    <t>Piamonte</t>
  </si>
  <si>
    <t>Tamalameque</t>
  </si>
  <si>
    <t>Río Quito</t>
  </si>
  <si>
    <t>San Carlos</t>
  </si>
  <si>
    <t>El Peñón (Cun)</t>
  </si>
  <si>
    <t>Pitalito</t>
  </si>
  <si>
    <t>Santa Ana</t>
  </si>
  <si>
    <t>San Juan de Arama</t>
  </si>
  <si>
    <t>Guaitarilla</t>
  </si>
  <si>
    <t>Ocaña</t>
  </si>
  <si>
    <t>Curití</t>
  </si>
  <si>
    <t>Toluviejo</t>
  </si>
  <si>
    <t>Líbano</t>
  </si>
  <si>
    <t>La Victoria (Val)</t>
  </si>
  <si>
    <t>Río Viejo</t>
  </si>
  <si>
    <t>Coper</t>
  </si>
  <si>
    <t>Villamaría</t>
  </si>
  <si>
    <t>Piendamó</t>
  </si>
  <si>
    <t>Rio sucio</t>
  </si>
  <si>
    <t>San Pelayo</t>
  </si>
  <si>
    <t>El Rosal</t>
  </si>
  <si>
    <t>Rivera</t>
  </si>
  <si>
    <t>Santa Bárbara de Pinto</t>
  </si>
  <si>
    <t>San Juanito</t>
  </si>
  <si>
    <t>Gualmatán</t>
  </si>
  <si>
    <t>Pamplona</t>
  </si>
  <si>
    <t>El Carmen de Chucurí</t>
  </si>
  <si>
    <t>Mariquita</t>
  </si>
  <si>
    <t>Obando</t>
  </si>
  <si>
    <t>Campamento</t>
  </si>
  <si>
    <t>San Cristóbal</t>
  </si>
  <si>
    <t>Corrales</t>
  </si>
  <si>
    <t>Viterbo</t>
  </si>
  <si>
    <t>Puerto Tejada</t>
  </si>
  <si>
    <t>San José del Palmar</t>
  </si>
  <si>
    <t>Tierralta</t>
  </si>
  <si>
    <t>Facatativá</t>
  </si>
  <si>
    <t>Saladoblanco</t>
  </si>
  <si>
    <t>Sitionuevo</t>
  </si>
  <si>
    <t>San Luis de Cubarral</t>
  </si>
  <si>
    <t>Iles</t>
  </si>
  <si>
    <t>Pamplonita</t>
  </si>
  <si>
    <t>El Florian</t>
  </si>
  <si>
    <t>Melgar</t>
  </si>
  <si>
    <t>Palmira</t>
  </si>
  <si>
    <t>Caracolí</t>
  </si>
  <si>
    <t>San Estanislao</t>
  </si>
  <si>
    <t>Covarachia</t>
  </si>
  <si>
    <t>Puracé</t>
  </si>
  <si>
    <t>Sipí</t>
  </si>
  <si>
    <t>Valencia</t>
  </si>
  <si>
    <t>Fómeque</t>
  </si>
  <si>
    <t>San Agustín</t>
  </si>
  <si>
    <t>Tenerife</t>
  </si>
  <si>
    <t>San Martín</t>
  </si>
  <si>
    <t>Imúes</t>
  </si>
  <si>
    <t>El Guacamayo</t>
  </si>
  <si>
    <t>Murillo</t>
  </si>
  <si>
    <t>Pradera</t>
  </si>
  <si>
    <t>Caramanta</t>
  </si>
  <si>
    <t>San Fernando</t>
  </si>
  <si>
    <t>Cubará</t>
  </si>
  <si>
    <t>Rosas</t>
  </si>
  <si>
    <t>Tadó</t>
  </si>
  <si>
    <t>Fosca</t>
  </si>
  <si>
    <t>Santa María</t>
  </si>
  <si>
    <t>Zapayán</t>
  </si>
  <si>
    <t>Vista Hermosa</t>
  </si>
  <si>
    <t>Ragonvalia</t>
  </si>
  <si>
    <t>El Peñón (San)</t>
  </si>
  <si>
    <t>Natagaima</t>
  </si>
  <si>
    <t>Restrepo</t>
  </si>
  <si>
    <t>Carepa</t>
  </si>
  <si>
    <t>San Jacinto</t>
  </si>
  <si>
    <t>Cucaita</t>
  </si>
  <si>
    <t>San Sebastián</t>
  </si>
  <si>
    <t>Unguía</t>
  </si>
  <si>
    <t>Funza</t>
  </si>
  <si>
    <t>Suazá</t>
  </si>
  <si>
    <t>Zona Bananera</t>
  </si>
  <si>
    <t>La Cruz</t>
  </si>
  <si>
    <t>Salazar</t>
  </si>
  <si>
    <t>El Playón</t>
  </si>
  <si>
    <t>Ortega</t>
  </si>
  <si>
    <t>Riofrío</t>
  </si>
  <si>
    <t>Carmen De Viboral</t>
  </si>
  <si>
    <t>San Jacinto del Cauca</t>
  </si>
  <si>
    <t>Cuitiva</t>
  </si>
  <si>
    <t>Santa Rosa (Cau)</t>
  </si>
  <si>
    <t>Unión Panamericana</t>
  </si>
  <si>
    <t>Fúquene</t>
  </si>
  <si>
    <t>Tarquí</t>
  </si>
  <si>
    <t>La Florida</t>
  </si>
  <si>
    <t>San Calixto</t>
  </si>
  <si>
    <t>Encino</t>
  </si>
  <si>
    <t>Palocabildo</t>
  </si>
  <si>
    <t>Roldanillo</t>
  </si>
  <si>
    <t>Carolina</t>
  </si>
  <si>
    <t>San Juan Nepomuceno</t>
  </si>
  <si>
    <t>Duitama</t>
  </si>
  <si>
    <t>Santander de Quilichao</t>
  </si>
  <si>
    <t>Fusagasugá</t>
  </si>
  <si>
    <t>Tello</t>
  </si>
  <si>
    <t>La Llanada</t>
  </si>
  <si>
    <t>San Cayetano</t>
  </si>
  <si>
    <t>Enciso</t>
  </si>
  <si>
    <t>Piedras</t>
  </si>
  <si>
    <t>San Pedro</t>
  </si>
  <si>
    <t>Caucásia</t>
  </si>
  <si>
    <t>San Martín de Loba</t>
  </si>
  <si>
    <t>El Cocuy</t>
  </si>
  <si>
    <t>Silvia</t>
  </si>
  <si>
    <t>Gachalá</t>
  </si>
  <si>
    <t>Teruel</t>
  </si>
  <si>
    <t>La Tola</t>
  </si>
  <si>
    <t>Santiago (NS)</t>
  </si>
  <si>
    <t>Floridablanca</t>
  </si>
  <si>
    <t>Planadas</t>
  </si>
  <si>
    <t>Sevilla</t>
  </si>
  <si>
    <t>Chigorodó</t>
  </si>
  <si>
    <t>San Pablo (Bol)</t>
  </si>
  <si>
    <t>El Espino</t>
  </si>
  <si>
    <t>Sotará</t>
  </si>
  <si>
    <t>Gachancipá</t>
  </si>
  <si>
    <t>Tesalia</t>
  </si>
  <si>
    <t>La Unión (Nar)</t>
  </si>
  <si>
    <t>Sardinata</t>
  </si>
  <si>
    <t>Galán</t>
  </si>
  <si>
    <t>Prado</t>
  </si>
  <si>
    <t>Toro</t>
  </si>
  <si>
    <t>Cisneros</t>
  </si>
  <si>
    <t>Santa Catalina</t>
  </si>
  <si>
    <t>Firavitoba</t>
  </si>
  <si>
    <t>Suárez (Cau)</t>
  </si>
  <si>
    <t>Gachetá</t>
  </si>
  <si>
    <t>Timaná</t>
  </si>
  <si>
    <t>Leiva</t>
  </si>
  <si>
    <t>Silos</t>
  </si>
  <si>
    <t>Gámbita</t>
  </si>
  <si>
    <t>Purificación</t>
  </si>
  <si>
    <t>Trujillo</t>
  </si>
  <si>
    <t>Ciudad Bolívar</t>
  </si>
  <si>
    <t>Santa Rosa</t>
  </si>
  <si>
    <t>Floresta</t>
  </si>
  <si>
    <t>Gama</t>
  </si>
  <si>
    <t>Villavieja</t>
  </si>
  <si>
    <t>Linares</t>
  </si>
  <si>
    <t>Teorama</t>
  </si>
  <si>
    <t>Goepsa</t>
  </si>
  <si>
    <t>Rioblanco</t>
  </si>
  <si>
    <t>Tuluá</t>
  </si>
  <si>
    <t>Cocorná</t>
  </si>
  <si>
    <t>Santa Rosa del Sur</t>
  </si>
  <si>
    <t>Gachantiva</t>
  </si>
  <si>
    <t>Timbío</t>
  </si>
  <si>
    <t>Girardot</t>
  </si>
  <si>
    <t>Yaguará</t>
  </si>
  <si>
    <t>Los Andes</t>
  </si>
  <si>
    <t>Tibú</t>
  </si>
  <si>
    <t>Girón</t>
  </si>
  <si>
    <t>Roncesvalles</t>
  </si>
  <si>
    <t>Ulloa</t>
  </si>
  <si>
    <t>Concepción</t>
  </si>
  <si>
    <t>Simití</t>
  </si>
  <si>
    <t>Gámeza</t>
  </si>
  <si>
    <t>Timbiquí</t>
  </si>
  <si>
    <t>Granada (Cun)</t>
  </si>
  <si>
    <t>Magüí</t>
  </si>
  <si>
    <t>Toledo (NS)</t>
  </si>
  <si>
    <t>Guaca</t>
  </si>
  <si>
    <t>Rovira</t>
  </si>
  <si>
    <t>Versalles</t>
  </si>
  <si>
    <t>Concordia (Ant)</t>
  </si>
  <si>
    <t>Soplaviento</t>
  </si>
  <si>
    <t>Garagoa</t>
  </si>
  <si>
    <t>Toribío</t>
  </si>
  <si>
    <t>Guachetá</t>
  </si>
  <si>
    <t>Mallama</t>
  </si>
  <si>
    <t>Villa Caro</t>
  </si>
  <si>
    <t>Guadalupe</t>
  </si>
  <si>
    <t>Saldaña</t>
  </si>
  <si>
    <t>Vijes</t>
  </si>
  <si>
    <t>Copacabana</t>
  </si>
  <si>
    <t>Talaigua Nuevo</t>
  </si>
  <si>
    <t>Guacamayas</t>
  </si>
  <si>
    <t>Totoró</t>
  </si>
  <si>
    <t>Guaduas</t>
  </si>
  <si>
    <t>Mosquera (Nar)</t>
  </si>
  <si>
    <t>Villa del Rosario</t>
  </si>
  <si>
    <t>Guapotá</t>
  </si>
  <si>
    <t>SanAntonio</t>
  </si>
  <si>
    <t>Yotocó</t>
  </si>
  <si>
    <t>Dabeiba</t>
  </si>
  <si>
    <t>Tiquisio</t>
  </si>
  <si>
    <t>Guateque</t>
  </si>
  <si>
    <t>Villa Rica</t>
  </si>
  <si>
    <t>Guasca</t>
  </si>
  <si>
    <t>Olaya Herrera</t>
  </si>
  <si>
    <t>Guavatá</t>
  </si>
  <si>
    <t>San Luis (Tol)</t>
  </si>
  <si>
    <t>Yumbo</t>
  </si>
  <si>
    <t>Don Matías</t>
  </si>
  <si>
    <t>Turbaco</t>
  </si>
  <si>
    <t>Guayatá</t>
  </si>
  <si>
    <t>Guataquí</t>
  </si>
  <si>
    <t>Ospina</t>
  </si>
  <si>
    <t>Hato</t>
  </si>
  <si>
    <t>Santa Isabel</t>
  </si>
  <si>
    <t>Zarzal</t>
  </si>
  <si>
    <t>Ebéjico</t>
  </si>
  <si>
    <t>Turbaná</t>
  </si>
  <si>
    <t>Guicán</t>
  </si>
  <si>
    <t>Guatavita</t>
  </si>
  <si>
    <t>Policarpa</t>
  </si>
  <si>
    <t>Jesús Maria</t>
  </si>
  <si>
    <t>Suárez</t>
  </si>
  <si>
    <t>El Bagre</t>
  </si>
  <si>
    <t>Villanueva</t>
  </si>
  <si>
    <t>Iza</t>
  </si>
  <si>
    <t>Guayabal de Síquima</t>
  </si>
  <si>
    <t>Potosí</t>
  </si>
  <si>
    <t>Jordán</t>
  </si>
  <si>
    <t>Vallede San Juan</t>
  </si>
  <si>
    <t>Entrerríos</t>
  </si>
  <si>
    <t>Zambrano</t>
  </si>
  <si>
    <t>Jenesano</t>
  </si>
  <si>
    <t>Guayabetal</t>
  </si>
  <si>
    <t>Providencia</t>
  </si>
  <si>
    <t>La Belleza</t>
  </si>
  <si>
    <t>Venadillo</t>
  </si>
  <si>
    <t>Envigado</t>
  </si>
  <si>
    <t>Jericó (Boy)</t>
  </si>
  <si>
    <t>Gutiérrez</t>
  </si>
  <si>
    <t>Puerres</t>
  </si>
  <si>
    <t>La Paz</t>
  </si>
  <si>
    <t>Villahermosa</t>
  </si>
  <si>
    <t>Fredonia</t>
  </si>
  <si>
    <t>La Capilla</t>
  </si>
  <si>
    <t>Jerusalén</t>
  </si>
  <si>
    <t>Pupiales</t>
  </si>
  <si>
    <t>Landázuri</t>
  </si>
  <si>
    <t>Villarrica</t>
  </si>
  <si>
    <t>Frontino</t>
  </si>
  <si>
    <t>La Uvita</t>
  </si>
  <si>
    <t>Junín</t>
  </si>
  <si>
    <t>Ricaurte (Nar)</t>
  </si>
  <si>
    <t>Lebrija</t>
  </si>
  <si>
    <t>Giraldo</t>
  </si>
  <si>
    <t>La Victoria (Boy)</t>
  </si>
  <si>
    <t>La Calera</t>
  </si>
  <si>
    <t>Roberto Payán</t>
  </si>
  <si>
    <t>Los Santos</t>
  </si>
  <si>
    <t>Girardota</t>
  </si>
  <si>
    <t>Labranzagrande</t>
  </si>
  <si>
    <t>La Mesa</t>
  </si>
  <si>
    <t>Samaniego</t>
  </si>
  <si>
    <t>Macaravita</t>
  </si>
  <si>
    <t>Gómez Plata</t>
  </si>
  <si>
    <t>Macanal</t>
  </si>
  <si>
    <t>La Palma</t>
  </si>
  <si>
    <t>San Bernardo (Nar)</t>
  </si>
  <si>
    <t>Málaga</t>
  </si>
  <si>
    <t>Granada (Ant)</t>
  </si>
  <si>
    <t>Maripí</t>
  </si>
  <si>
    <t>La Peña</t>
  </si>
  <si>
    <t>San Lorenzo</t>
  </si>
  <si>
    <t>Matanza</t>
  </si>
  <si>
    <t>Guadalupe (Ant)</t>
  </si>
  <si>
    <t>Miraflores (Boy)</t>
  </si>
  <si>
    <t>LaVega</t>
  </si>
  <si>
    <t>San Pablo</t>
  </si>
  <si>
    <t>Mogotes</t>
  </si>
  <si>
    <t>Guarne</t>
  </si>
  <si>
    <t>Mongua</t>
  </si>
  <si>
    <t>Lenguazaque</t>
  </si>
  <si>
    <t>San Pedro de Cartago</t>
  </si>
  <si>
    <t>Molagavita</t>
  </si>
  <si>
    <t>Guatapé</t>
  </si>
  <si>
    <t>Monguí</t>
  </si>
  <si>
    <t>Machetá</t>
  </si>
  <si>
    <t>Sandoná</t>
  </si>
  <si>
    <t>Ocamonte</t>
  </si>
  <si>
    <t>Heliconia</t>
  </si>
  <si>
    <t>Moniquirá</t>
  </si>
  <si>
    <t>Madrid</t>
  </si>
  <si>
    <t>Santa Bárbara (Nar)</t>
  </si>
  <si>
    <t>Oiba</t>
  </si>
  <si>
    <t>Hispania</t>
  </si>
  <si>
    <t>Motavita</t>
  </si>
  <si>
    <t>Manta</t>
  </si>
  <si>
    <t>Santacruz</t>
  </si>
  <si>
    <t>Onzága</t>
  </si>
  <si>
    <t>Itagüí</t>
  </si>
  <si>
    <t>Muzo</t>
  </si>
  <si>
    <t>Medina</t>
  </si>
  <si>
    <t>Sapuyés</t>
  </si>
  <si>
    <t>Palmar</t>
  </si>
  <si>
    <t>Ituango</t>
  </si>
  <si>
    <t>Nobsa</t>
  </si>
  <si>
    <t>Mosquera</t>
  </si>
  <si>
    <t>Taminango</t>
  </si>
  <si>
    <t>Palmas del Socorro</t>
  </si>
  <si>
    <t>Jardín</t>
  </si>
  <si>
    <t>Nuevo Colón</t>
  </si>
  <si>
    <t>Nariño (Cun)</t>
  </si>
  <si>
    <t>Tangua</t>
  </si>
  <si>
    <t>Páramo</t>
  </si>
  <si>
    <t>Jericó</t>
  </si>
  <si>
    <t>Oicatá</t>
  </si>
  <si>
    <t>Nemocón</t>
  </si>
  <si>
    <t>Tumaco</t>
  </si>
  <si>
    <t>Piedecuesta</t>
  </si>
  <si>
    <t>La Ceja</t>
  </si>
  <si>
    <t>Otanche</t>
  </si>
  <si>
    <t>Nilo</t>
  </si>
  <si>
    <t>Túquerres</t>
  </si>
  <si>
    <t>Pinchote</t>
  </si>
  <si>
    <t>La Estrella</t>
  </si>
  <si>
    <t>Pachavita</t>
  </si>
  <si>
    <t>Nimáima</t>
  </si>
  <si>
    <t>Yacuanquer</t>
  </si>
  <si>
    <t>Puente Nacional</t>
  </si>
  <si>
    <t>La Pintada</t>
  </si>
  <si>
    <t>Páez</t>
  </si>
  <si>
    <t>Nocáima</t>
  </si>
  <si>
    <t>Puerto Parra</t>
  </si>
  <si>
    <t>La Unión (Ant)</t>
  </si>
  <si>
    <t>Paipa</t>
  </si>
  <si>
    <t>Pacho</t>
  </si>
  <si>
    <t>Puerto Wilches</t>
  </si>
  <si>
    <t>Liborina</t>
  </si>
  <si>
    <t>Pajarito</t>
  </si>
  <si>
    <t>Paime</t>
  </si>
  <si>
    <t>Rionegro (San)</t>
  </si>
  <si>
    <t>Maceo</t>
  </si>
  <si>
    <t>Panqueba</t>
  </si>
  <si>
    <t>Pandi</t>
  </si>
  <si>
    <t>Sabana de Torres</t>
  </si>
  <si>
    <t>Marinilla</t>
  </si>
  <si>
    <t>Pauna</t>
  </si>
  <si>
    <t>Paratebueno</t>
  </si>
  <si>
    <t>San Andrés (San)</t>
  </si>
  <si>
    <t>Montebello</t>
  </si>
  <si>
    <t>Paya</t>
  </si>
  <si>
    <t>Pasca</t>
  </si>
  <si>
    <t>San Benito</t>
  </si>
  <si>
    <t>Murindó</t>
  </si>
  <si>
    <t>Paz De Río</t>
  </si>
  <si>
    <t>Puerto Salgar</t>
  </si>
  <si>
    <t>San Gil</t>
  </si>
  <si>
    <t>Mutatá</t>
  </si>
  <si>
    <t>Pesca</t>
  </si>
  <si>
    <t>Pulí</t>
  </si>
  <si>
    <t>San José de Miranda</t>
  </si>
  <si>
    <t>Pisba</t>
  </si>
  <si>
    <t>Quebradanegra</t>
  </si>
  <si>
    <t>San Miguel (San)</t>
  </si>
  <si>
    <t>Nechí</t>
  </si>
  <si>
    <t>Puerto Boyacá</t>
  </si>
  <si>
    <t>Quetame</t>
  </si>
  <si>
    <t>San Vicente del Chucurí</t>
  </si>
  <si>
    <t>Necoclí</t>
  </si>
  <si>
    <t>Quipama</t>
  </si>
  <si>
    <t>Quipile</t>
  </si>
  <si>
    <t>Santa Bárbara (San)</t>
  </si>
  <si>
    <t>Olaya</t>
  </si>
  <si>
    <t>Ramiriquí</t>
  </si>
  <si>
    <t>Ricaurte</t>
  </si>
  <si>
    <t>Santa Helena del Opón</t>
  </si>
  <si>
    <t>Peñol</t>
  </si>
  <si>
    <t>Ráquira</t>
  </si>
  <si>
    <t>San Antonio de Tequendama</t>
  </si>
  <si>
    <t>Simacota</t>
  </si>
  <si>
    <t>Peque</t>
  </si>
  <si>
    <t>Rondón</t>
  </si>
  <si>
    <t>San Bernardo</t>
  </si>
  <si>
    <t>Socorro</t>
  </si>
  <si>
    <t>Pueblorrico</t>
  </si>
  <si>
    <t>Saboyá</t>
  </si>
  <si>
    <t>San Cayetano (Cun)</t>
  </si>
  <si>
    <t>Suaita</t>
  </si>
  <si>
    <t>Puerto Berrío</t>
  </si>
  <si>
    <t>Sáchica</t>
  </si>
  <si>
    <t>San Francisco</t>
  </si>
  <si>
    <t>Sucre (San)</t>
  </si>
  <si>
    <t>Puerto Nare</t>
  </si>
  <si>
    <t>Samacá</t>
  </si>
  <si>
    <t>San Juan de Rioseco</t>
  </si>
  <si>
    <t>Suratá</t>
  </si>
  <si>
    <t>Puerto Triunfo</t>
  </si>
  <si>
    <t>San Eduardo</t>
  </si>
  <si>
    <t>Sasaima</t>
  </si>
  <si>
    <t>Tona</t>
  </si>
  <si>
    <t>Remedios</t>
  </si>
  <si>
    <t>San José de Pare</t>
  </si>
  <si>
    <t>Sesquilé</t>
  </si>
  <si>
    <t>Villanueva (San)</t>
  </si>
  <si>
    <t>Retiro</t>
  </si>
  <si>
    <t>San Luis de Gaceno</t>
  </si>
  <si>
    <t>Sibaté</t>
  </si>
  <si>
    <t>Zapatoca</t>
  </si>
  <si>
    <t>Rionegro</t>
  </si>
  <si>
    <t>San Mateo</t>
  </si>
  <si>
    <t>Silvania</t>
  </si>
  <si>
    <t>Valle San José</t>
  </si>
  <si>
    <t>Sabanalarga (Ant)</t>
  </si>
  <si>
    <t>San Miguel de Sema</t>
  </si>
  <si>
    <t>Simijaca</t>
  </si>
  <si>
    <t>Vélez</t>
  </si>
  <si>
    <t>Sabaneta</t>
  </si>
  <si>
    <t>San Pablo Borbur</t>
  </si>
  <si>
    <t>Soacha</t>
  </si>
  <si>
    <t>Vetas</t>
  </si>
  <si>
    <t>Salgar</t>
  </si>
  <si>
    <t>Santa Rosa de Viterbo</t>
  </si>
  <si>
    <t>Sopó</t>
  </si>
  <si>
    <t>San Joaquín</t>
  </si>
  <si>
    <t>San Andrés (Ant)</t>
  </si>
  <si>
    <t>Santa María (Boy)</t>
  </si>
  <si>
    <t>Subachoque</t>
  </si>
  <si>
    <t>San Carlos (Ant)</t>
  </si>
  <si>
    <t>Santa Sofía</t>
  </si>
  <si>
    <t>Suesca</t>
  </si>
  <si>
    <t>San Francisco (Ant)</t>
  </si>
  <si>
    <t>Santana</t>
  </si>
  <si>
    <t>Supatá</t>
  </si>
  <si>
    <t>San Jerónimo</t>
  </si>
  <si>
    <t>Sativanorte</t>
  </si>
  <si>
    <t>Susa</t>
  </si>
  <si>
    <t>San José de la Montaña</t>
  </si>
  <si>
    <t>Sativasur</t>
  </si>
  <si>
    <t>Sutatausa</t>
  </si>
  <si>
    <t>San Juan de Urabá</t>
  </si>
  <si>
    <t>Siachoque</t>
  </si>
  <si>
    <t>Tábio</t>
  </si>
  <si>
    <t>San Luis</t>
  </si>
  <si>
    <t>Soatá</t>
  </si>
  <si>
    <t>Tausa</t>
  </si>
  <si>
    <t>San Pedro (Ant)</t>
  </si>
  <si>
    <t>Socha</t>
  </si>
  <si>
    <t>Tena</t>
  </si>
  <si>
    <t>San Pedro de Urabá</t>
  </si>
  <si>
    <t>Socotá</t>
  </si>
  <si>
    <t>Tenjo</t>
  </si>
  <si>
    <t>San Rafael</t>
  </si>
  <si>
    <t>Sogamoso</t>
  </si>
  <si>
    <t>Tibacuy</t>
  </si>
  <si>
    <t>San Roque</t>
  </si>
  <si>
    <t>Somondoco</t>
  </si>
  <si>
    <t>Tibiritá</t>
  </si>
  <si>
    <t>San Vicente</t>
  </si>
  <si>
    <t>Sora</t>
  </si>
  <si>
    <t>Tocaima</t>
  </si>
  <si>
    <t>Santa Bárbara</t>
  </si>
  <si>
    <t>Soracá</t>
  </si>
  <si>
    <t>Tocancipá</t>
  </si>
  <si>
    <t>Santa Rosa de Osos</t>
  </si>
  <si>
    <t>Sotaquirá</t>
  </si>
  <si>
    <t>Topaipí</t>
  </si>
  <si>
    <t>Santafé de Antioquia</t>
  </si>
  <si>
    <t>Susacón</t>
  </si>
  <si>
    <t>Ubalá</t>
  </si>
  <si>
    <t>Santo Domingo</t>
  </si>
  <si>
    <t>Sutamarchán</t>
  </si>
  <si>
    <t>Ubaque</t>
  </si>
  <si>
    <t>Santuario (Ant)</t>
  </si>
  <si>
    <t>Sutatenza</t>
  </si>
  <si>
    <t>Ubaté</t>
  </si>
  <si>
    <t>Segovia</t>
  </si>
  <si>
    <t>Tasco</t>
  </si>
  <si>
    <t>Une</t>
  </si>
  <si>
    <t>Sonsón</t>
  </si>
  <si>
    <t>Tenza</t>
  </si>
  <si>
    <t>Útica</t>
  </si>
  <si>
    <t>Sopetrán</t>
  </si>
  <si>
    <t>Tibaná</t>
  </si>
  <si>
    <t>Venecia</t>
  </si>
  <si>
    <t>Támesis</t>
  </si>
  <si>
    <t>Tibasosa</t>
  </si>
  <si>
    <t>Vergara</t>
  </si>
  <si>
    <t>Tarazá</t>
  </si>
  <si>
    <t>Tinjacá</t>
  </si>
  <si>
    <t>Vianí</t>
  </si>
  <si>
    <t>Tarso</t>
  </si>
  <si>
    <t>Tipacoque</t>
  </si>
  <si>
    <t>Villagómez</t>
  </si>
  <si>
    <t>Titiribí</t>
  </si>
  <si>
    <t>Toca</t>
  </si>
  <si>
    <t>Villapinzón</t>
  </si>
  <si>
    <t>Toledo</t>
  </si>
  <si>
    <t>Toguí</t>
  </si>
  <si>
    <t>Villeta</t>
  </si>
  <si>
    <t>Turbo</t>
  </si>
  <si>
    <t>Tópaga</t>
  </si>
  <si>
    <t>Viotá</t>
  </si>
  <si>
    <t>Uramita</t>
  </si>
  <si>
    <t>Tota</t>
  </si>
  <si>
    <t>Yacopí</t>
  </si>
  <si>
    <t>Urrao</t>
  </si>
  <si>
    <t>Tunungua</t>
  </si>
  <si>
    <t>Zipacón</t>
  </si>
  <si>
    <t>Valdivia</t>
  </si>
  <si>
    <t>Turmequé</t>
  </si>
  <si>
    <t>Zipaquirá</t>
  </si>
  <si>
    <t>Valparaíso (Ant)</t>
  </si>
  <si>
    <t>Tuta</t>
  </si>
  <si>
    <t>Vegachí</t>
  </si>
  <si>
    <t>Tutazá</t>
  </si>
  <si>
    <t>Venecia (Ant)</t>
  </si>
  <si>
    <t>Úmbita</t>
  </si>
  <si>
    <t>Vigía del Fuerte</t>
  </si>
  <si>
    <t>Ventaquemada</t>
  </si>
  <si>
    <t>Yalí</t>
  </si>
  <si>
    <t>Villa de Leyva</t>
  </si>
  <si>
    <t>Yarumal</t>
  </si>
  <si>
    <t>Viracachá</t>
  </si>
  <si>
    <t>Yolombó</t>
  </si>
  <si>
    <t>Zetaquirá</t>
  </si>
  <si>
    <t>Yondó</t>
  </si>
  <si>
    <t>Zaragoza</t>
  </si>
  <si>
    <r>
      <rPr>
        <sz val="12"/>
        <color theme="1"/>
        <rFont val="Arial"/>
        <family val="2"/>
      </rPr>
      <t>A</t>
    </r>
    <r>
      <rPr>
        <sz val="8"/>
        <color theme="1"/>
        <rFont val="Arial"/>
        <family val="2"/>
      </rPr>
      <t xml:space="preserve">a </t>
    </r>
    <r>
      <rPr>
        <sz val="10"/>
        <color theme="1"/>
        <rFont val="Arial"/>
        <family val="2"/>
      </rPr>
      <t>:</t>
    </r>
  </si>
  <si>
    <r>
      <rPr>
        <sz val="12"/>
        <color theme="1"/>
        <rFont val="Arial"/>
        <family val="2"/>
      </rPr>
      <t>A</t>
    </r>
    <r>
      <rPr>
        <sz val="8"/>
        <color theme="1"/>
        <rFont val="Arial"/>
        <family val="2"/>
      </rPr>
      <t xml:space="preserve">v </t>
    </r>
    <r>
      <rPr>
        <sz val="10"/>
        <color theme="1"/>
        <rFont val="Arial"/>
        <family val="2"/>
      </rPr>
      <t>:</t>
    </r>
  </si>
  <si>
    <r>
      <rPr>
        <sz val="12"/>
        <color theme="1"/>
        <rFont val="Arial"/>
        <family val="2"/>
      </rPr>
      <t>T</t>
    </r>
    <r>
      <rPr>
        <sz val="8"/>
        <color theme="1"/>
        <rFont val="Arial"/>
        <family val="2"/>
      </rPr>
      <t xml:space="preserve">C </t>
    </r>
    <r>
      <rPr>
        <sz val="10"/>
        <color theme="1"/>
        <rFont val="Arial"/>
        <family val="2"/>
      </rPr>
      <t>:</t>
    </r>
  </si>
  <si>
    <r>
      <rPr>
        <sz val="12"/>
        <color theme="1"/>
        <rFont val="Arial"/>
        <family val="2"/>
      </rPr>
      <t>T</t>
    </r>
    <r>
      <rPr>
        <sz val="8"/>
        <color theme="1"/>
        <rFont val="Arial"/>
        <family val="2"/>
      </rPr>
      <t xml:space="preserve">L  </t>
    </r>
    <r>
      <rPr>
        <sz val="10"/>
        <color theme="1"/>
        <rFont val="Arial"/>
        <family val="2"/>
      </rPr>
      <t>:</t>
    </r>
  </si>
  <si>
    <r>
      <rPr>
        <b/>
        <sz val="11"/>
        <color theme="1"/>
        <rFont val="Arial"/>
        <family val="2"/>
      </rPr>
      <t>Aa</t>
    </r>
    <r>
      <rPr>
        <b/>
        <sz val="10"/>
        <color theme="1"/>
        <rFont val="Arial"/>
        <family val="2"/>
      </rPr>
      <t xml:space="preserve"> =&lt; 0.1</t>
    </r>
  </si>
  <si>
    <r>
      <rPr>
        <b/>
        <sz val="11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a = 0.2</t>
    </r>
  </si>
  <si>
    <r>
      <rPr>
        <b/>
        <sz val="11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a = 0.3</t>
    </r>
  </si>
  <si>
    <r>
      <rPr>
        <b/>
        <sz val="11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a = 0.4</t>
    </r>
  </si>
  <si>
    <r>
      <rPr>
        <b/>
        <sz val="11"/>
        <color theme="1"/>
        <rFont val="Arial"/>
        <family val="2"/>
      </rPr>
      <t>A</t>
    </r>
    <r>
      <rPr>
        <b/>
        <sz val="10"/>
        <color theme="1"/>
        <rFont val="Arial"/>
        <family val="2"/>
      </rPr>
      <t>a =&gt; 0.5</t>
    </r>
  </si>
  <si>
    <r>
      <rPr>
        <b/>
        <sz val="12"/>
        <color theme="1"/>
        <rFont val="Arial"/>
        <family val="2"/>
      </rPr>
      <t>F</t>
    </r>
    <r>
      <rPr>
        <b/>
        <sz val="8"/>
        <color theme="1"/>
        <rFont val="Arial"/>
        <family val="2"/>
      </rPr>
      <t>a</t>
    </r>
  </si>
  <si>
    <r>
      <rPr>
        <b/>
        <sz val="12"/>
        <color theme="1"/>
        <rFont val="Arial"/>
        <family val="2"/>
      </rPr>
      <t>F</t>
    </r>
    <r>
      <rPr>
        <b/>
        <sz val="8"/>
        <color theme="1"/>
        <rFont val="Arial"/>
        <family val="2"/>
      </rPr>
      <t>v</t>
    </r>
  </si>
  <si>
    <r>
      <rPr>
        <b/>
        <sz val="12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>C</t>
    </r>
    <r>
      <rPr>
        <b/>
        <sz val="10"/>
        <color theme="1"/>
        <rFont val="Arial"/>
        <family val="2"/>
      </rPr>
      <t xml:space="preserve"> </t>
    </r>
  </si>
  <si>
    <r>
      <rPr>
        <b/>
        <sz val="12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>L</t>
    </r>
  </si>
  <si>
    <r>
      <rPr>
        <b/>
        <sz val="12"/>
        <color theme="1"/>
        <rFont val="Arial"/>
        <family val="2"/>
      </rPr>
      <t>A</t>
    </r>
    <r>
      <rPr>
        <b/>
        <sz val="8"/>
        <color theme="1"/>
        <rFont val="Arial"/>
        <family val="2"/>
      </rPr>
      <t>0</t>
    </r>
  </si>
  <si>
    <t>Bogotá</t>
  </si>
  <si>
    <t>Municipio</t>
  </si>
  <si>
    <t>Aa</t>
  </si>
  <si>
    <t>Av</t>
  </si>
  <si>
    <t>Z de amenaza sísmica</t>
  </si>
  <si>
    <t>Ae</t>
  </si>
  <si>
    <t>Ad</t>
  </si>
  <si>
    <t>Baja</t>
  </si>
  <si>
    <t>Intermedia</t>
  </si>
  <si>
    <t>Alta</t>
  </si>
  <si>
    <t>La Vega</t>
  </si>
  <si>
    <t>Calamar (Gua)</t>
  </si>
  <si>
    <t>Buenavista (Suc)</t>
  </si>
  <si>
    <t>Tipo de perfil</t>
  </si>
  <si>
    <t>Véase nota A.2.4-3</t>
  </si>
  <si>
    <t>Tipo de sistema estructural:</t>
  </si>
  <si>
    <t>Estructura con ausencia de redundancia?</t>
  </si>
  <si>
    <t>Ro:</t>
  </si>
  <si>
    <t>Ωo:</t>
  </si>
  <si>
    <t>IRREGULARIDAD EN PLANTA</t>
  </si>
  <si>
    <t>TIPO 1P</t>
  </si>
  <si>
    <t>Irregularidad Torsional</t>
  </si>
  <si>
    <t>Verificación:</t>
  </si>
  <si>
    <t>φp:</t>
  </si>
  <si>
    <t>TIPO 2P</t>
  </si>
  <si>
    <t>Retroceso en las esquinas</t>
  </si>
  <si>
    <t>A:</t>
  </si>
  <si>
    <t>B:</t>
  </si>
  <si>
    <t>C:</t>
  </si>
  <si>
    <t>D:</t>
  </si>
  <si>
    <t>TIPO 3P</t>
  </si>
  <si>
    <t>Irregularidad del diafragma</t>
  </si>
  <si>
    <t>Caso:</t>
  </si>
  <si>
    <t>E:</t>
  </si>
  <si>
    <t>TIPO 4P</t>
  </si>
  <si>
    <t>Desplazamiento de los planos de Acción</t>
  </si>
  <si>
    <t>TIPO 5P</t>
  </si>
  <si>
    <t>Sistemas no paralelos</t>
  </si>
  <si>
    <t>IRREGULARIDAD EN ALTURA</t>
  </si>
  <si>
    <t>TIPO 1A</t>
  </si>
  <si>
    <t>Piso flexible</t>
  </si>
  <si>
    <t>Tipo 1bA</t>
  </si>
  <si>
    <t>φa:</t>
  </si>
  <si>
    <t>TIPO 2A</t>
  </si>
  <si>
    <t>Distribución de masa</t>
  </si>
  <si>
    <t>TIPO 3A</t>
  </si>
  <si>
    <t>Geométrica</t>
  </si>
  <si>
    <t>TIPO 4A</t>
  </si>
  <si>
    <t>Desplazamiento dentro del plano de acción</t>
  </si>
  <si>
    <t>TIPO 5A</t>
  </si>
  <si>
    <t>Piso débil</t>
  </si>
  <si>
    <t>Tipo 5bA</t>
  </si>
  <si>
    <t>COEFICIENTE DE DISIPACIÓN DE ENERGÍA (R )</t>
  </si>
  <si>
    <t>R:</t>
  </si>
  <si>
    <t>φr:</t>
  </si>
  <si>
    <t>VERIFICACIÓN DEL COEFICIENTE DE DISIPACIÓN DE ENERGÍA ( R )</t>
  </si>
  <si>
    <t>Sistema de pórticos resistente a momentos con capacidad especial de disipación de energía (DES)</t>
  </si>
  <si>
    <t>Sistema de pórticos resistente a momentos con capacidad moderada de disipación de energía (DMO)</t>
  </si>
  <si>
    <t>Sistema de pórticos resistente a momentos con capacidad mínima de disipación de energía (DMI)</t>
  </si>
  <si>
    <t>R0</t>
  </si>
  <si>
    <t>omega</t>
  </si>
  <si>
    <t>CARACTERÍSTICAS DEL SISTEMA ESTRUCTURAL</t>
  </si>
  <si>
    <t>irregularidad torsional</t>
  </si>
  <si>
    <t>No tiene</t>
  </si>
  <si>
    <t>Tipo 1aP</t>
  </si>
  <si>
    <t>Tipo 1bP</t>
  </si>
  <si>
    <t>Si tiene</t>
  </si>
  <si>
    <t>irregularidad del diafragma</t>
  </si>
  <si>
    <t>Ninguno</t>
  </si>
  <si>
    <t>Desplazamiento en los planos de acción</t>
  </si>
  <si>
    <t>Tipo 1aA</t>
  </si>
  <si>
    <t>Distribución de masas</t>
  </si>
  <si>
    <r>
      <t>m</t>
    </r>
    <r>
      <rPr>
        <vertAlign val="subscript"/>
        <sz val="12"/>
        <color theme="1"/>
        <rFont val="Arial"/>
        <family val="2"/>
      </rPr>
      <t>C</t>
    </r>
  </si>
  <si>
    <r>
      <t>m</t>
    </r>
    <r>
      <rPr>
        <vertAlign val="subscript"/>
        <sz val="12"/>
        <color theme="1"/>
        <rFont val="Arial"/>
        <family val="2"/>
      </rPr>
      <t>D</t>
    </r>
  </si>
  <si>
    <r>
      <t>m</t>
    </r>
    <r>
      <rPr>
        <vertAlign val="subscript"/>
        <sz val="12"/>
        <color theme="1"/>
        <rFont val="Arial"/>
        <family val="2"/>
      </rPr>
      <t>E</t>
    </r>
  </si>
  <si>
    <r>
      <t>k</t>
    </r>
    <r>
      <rPr>
        <vertAlign val="subscript"/>
        <sz val="12"/>
        <color theme="1"/>
        <rFont val="Arial"/>
        <family val="2"/>
      </rPr>
      <t>C</t>
    </r>
  </si>
  <si>
    <r>
      <t>k</t>
    </r>
    <r>
      <rPr>
        <vertAlign val="subscript"/>
        <sz val="12"/>
        <color theme="1"/>
        <rFont val="Arial"/>
        <family val="2"/>
      </rPr>
      <t>D</t>
    </r>
  </si>
  <si>
    <r>
      <t>k</t>
    </r>
    <r>
      <rPr>
        <vertAlign val="subscript"/>
        <sz val="12"/>
        <color theme="1"/>
        <rFont val="Arial"/>
        <family val="2"/>
      </rPr>
      <t>E</t>
    </r>
  </si>
  <si>
    <r>
      <t>k</t>
    </r>
    <r>
      <rPr>
        <vertAlign val="subscript"/>
        <sz val="12"/>
        <color theme="1"/>
        <rFont val="Arial"/>
        <family val="2"/>
      </rPr>
      <t>F</t>
    </r>
  </si>
  <si>
    <t>a</t>
  </si>
  <si>
    <t>Desplazamiento de los planos de acción</t>
  </si>
  <si>
    <t>Tipo 5aA</t>
  </si>
  <si>
    <t>Resist. Piso C</t>
  </si>
  <si>
    <t>Resist. Piso B</t>
  </si>
  <si>
    <t>uniones soldadas en obra</t>
  </si>
  <si>
    <t>R verificado</t>
  </si>
  <si>
    <t>R de diseño</t>
  </si>
  <si>
    <t>Ω de diseño</t>
  </si>
  <si>
    <t xml:space="preserve">R diseño </t>
  </si>
  <si>
    <t>Uniones soldadas en obra</t>
  </si>
  <si>
    <t>Ω verificado</t>
  </si>
  <si>
    <t>Especificaciones y tamaños de materiales de conexión</t>
  </si>
  <si>
    <t>Grado de disipación de energía</t>
  </si>
  <si>
    <t>Coordinación técnica con los planos arquitectónicos</t>
  </si>
  <si>
    <t>Intensidad de los movimientos sísmicos</t>
  </si>
  <si>
    <r>
      <t>Momento último en eje de flexión considerando efectos de segundo orden P-</t>
    </r>
    <r>
      <rPr>
        <b/>
        <sz val="11"/>
        <color theme="1"/>
        <rFont val="Calibri"/>
        <family val="2"/>
      </rPr>
      <t>Δ y P-</t>
    </r>
    <r>
      <rPr>
        <b/>
        <sz val="11"/>
        <color theme="1"/>
        <rFont val="Arial"/>
        <family val="2"/>
      </rPr>
      <t>σ por el método aproximado</t>
    </r>
  </si>
  <si>
    <t>Espesor W corte [mm]</t>
  </si>
  <si>
    <t>Espesor W momento [mm]</t>
  </si>
  <si>
    <t>Metodología de Interventoría Técnica de diseños estructurales de edificaciones en acero según norma NSR-10</t>
  </si>
  <si>
    <t>CONEXIÓN</t>
  </si>
  <si>
    <t>Patín-Alma</t>
  </si>
  <si>
    <t>Alma-alma</t>
  </si>
  <si>
    <t>Torsional-Nodal</t>
  </si>
  <si>
    <t>VERIFICACIÓN DE CONEXIONES A MOMENTO</t>
  </si>
  <si>
    <t>VERIFICACIÓN DE CONEXIONES SIMPLES A CORTE</t>
  </si>
  <si>
    <t xml:space="preserve">A.2.5 </t>
  </si>
  <si>
    <t>A.2.6 ó decreto 523 de 2010</t>
  </si>
  <si>
    <t>B.2.4</t>
  </si>
  <si>
    <t>A.3.1.1 (f), A.3.3.3 y Tabla A.3-3</t>
  </si>
  <si>
    <t>A.3.3 y Tabla A.3.6 y A.3.7</t>
  </si>
  <si>
    <t>Título F</t>
  </si>
  <si>
    <t>A.3.4, A.3.7, F.2.3, F.2.21</t>
  </si>
  <si>
    <t>A.1.5.3.1 y resolución 0017 de 2017 3.3.2.1.2, F.3.1.5</t>
  </si>
  <si>
    <t>A.2.3, A.3, F3.2.1 Y APÉNDICE A-4</t>
  </si>
  <si>
    <t>F.2.5, F.2.7,F.2.8 y F.3.4 y F.3.5</t>
  </si>
  <si>
    <t>F.2.20, F.2.7 y F.3.5</t>
  </si>
  <si>
    <t>F.2.10, F.2.2.3.5, F.3.4.2 y F.3.5</t>
  </si>
  <si>
    <t>F.2.6, F.2.7, F.3.4 y F.3.5</t>
  </si>
  <si>
    <t>Firma de profesionales involucrados.</t>
  </si>
  <si>
    <t>A.6</t>
  </si>
  <si>
    <t>Resolución 0017 de 2017</t>
  </si>
  <si>
    <t>Uso de equipo de procesamiento automático de información para diseño de elementos y sus respectivas comprobaciones</t>
  </si>
  <si>
    <t>A.1.5.3.1 y Resolución 0017 de 2017</t>
  </si>
  <si>
    <t>A.1.5.3.1 y resolución 0017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</si>
</sst>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"/>
    <numFmt numFmtId="165" formatCode="0.00000"/>
    <numFmt numFmtId="166" formatCode="0.000"/>
    <numFmt numFmtId="167" formatCode="0.0\ &quot;mm&quot;"/>
    <numFmt numFmtId="168" formatCode="0.0\ &quot;mm2&quot;"/>
    <numFmt numFmtId="169" formatCode="0.0\ &quot;kN&quot;"/>
    <numFmt numFmtId="170" formatCode="0.00\ &quot;mm&quot;"/>
    <numFmt numFmtId="171" formatCode="0.0\ &quot;kN/m2&quot;"/>
    <numFmt numFmtId="172" formatCode="0.0\ &quot;m&quot;"/>
    <numFmt numFmtId="173" formatCode="0.00\ &quot;cm3&quot;"/>
    <numFmt numFmtId="174" formatCode="0.00\ &quot;s&quot;"/>
    <numFmt numFmtId="175" formatCode="0.00\ &quot;m&quot;"/>
  </numFmts>
  <fonts count="58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indexed="9"/>
      <name val="Arial"/>
      <family val="2"/>
    </font>
    <font>
      <b/>
      <u/>
      <sz val="11"/>
      <color indexed="9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2"/>
      <color rgb="FF3857F0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26"/>
      <color indexed="81"/>
      <name val="Tahoma"/>
      <family val="2"/>
    </font>
    <font>
      <sz val="26"/>
      <color indexed="81"/>
      <name val="Tahoma"/>
      <family val="2"/>
    </font>
    <font>
      <b/>
      <sz val="36"/>
      <color indexed="10"/>
      <name val="Arial"/>
      <family val="2"/>
    </font>
    <font>
      <b/>
      <sz val="12"/>
      <color theme="1" tint="0.499984740745262"/>
      <name val="Arial"/>
      <family val="2"/>
    </font>
    <font>
      <sz val="11"/>
      <color theme="1" tint="4.9989318521683403E-2"/>
      <name val="Arial"/>
      <family val="2"/>
    </font>
    <font>
      <sz val="11"/>
      <color rgb="FF3857F0"/>
      <name val="Arial"/>
      <family val="2"/>
    </font>
    <font>
      <vertAlign val="subscript"/>
      <sz val="11"/>
      <color theme="1"/>
      <name val="Arial"/>
      <family val="2"/>
    </font>
    <font>
      <sz val="20"/>
      <color indexed="81"/>
      <name val="Tahoma"/>
      <family val="2"/>
    </font>
    <font>
      <b/>
      <sz val="20"/>
      <color theme="1"/>
      <name val="Arial"/>
      <family val="2"/>
    </font>
    <font>
      <vertAlign val="superscript"/>
      <sz val="11"/>
      <color theme="1" tint="4.9989318521683403E-2"/>
      <name val="Arial"/>
      <family val="2"/>
    </font>
    <font>
      <vertAlign val="subscript"/>
      <sz val="11"/>
      <color theme="1" tint="4.9989318521683403E-2"/>
      <name val="Arial"/>
      <family val="2"/>
    </font>
    <font>
      <b/>
      <vertAlign val="subscript"/>
      <sz val="11"/>
      <color theme="1"/>
      <name val="Arial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11"/>
      <color rgb="FFFF0000"/>
      <name val="Arial"/>
      <family val="2"/>
    </font>
    <font>
      <sz val="9.35"/>
      <color theme="1"/>
      <name val="Arial"/>
      <family val="2"/>
    </font>
    <font>
      <vertAlign val="subscript"/>
      <sz val="9.35"/>
      <color theme="1"/>
      <name val="Arial"/>
      <family val="2"/>
    </font>
    <font>
      <sz val="24"/>
      <color indexed="81"/>
      <name val="Tahoma"/>
      <family val="2"/>
    </font>
    <font>
      <sz val="12"/>
      <color theme="1" tint="0.49998474074526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rgb="FF141199"/>
      <name val="Arial"/>
      <family val="2"/>
    </font>
    <font>
      <sz val="10"/>
      <color rgb="FF002060"/>
      <name val="Arial"/>
      <family val="2"/>
    </font>
    <font>
      <sz val="1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11"/>
      <color rgb="FF141199"/>
      <name val="Arial"/>
      <family val="2"/>
    </font>
    <font>
      <b/>
      <sz val="8"/>
      <color theme="1"/>
      <name val="Arial"/>
      <family val="2"/>
    </font>
    <font>
      <sz val="10"/>
      <color rgb="FF3857F0"/>
      <name val="Arial"/>
      <family val="2"/>
    </font>
    <font>
      <sz val="12"/>
      <color rgb="FFFF0000"/>
      <name val="Arial"/>
      <family val="2"/>
    </font>
    <font>
      <vertAlign val="subscript"/>
      <sz val="12"/>
      <color theme="1"/>
      <name val="Arial"/>
      <family val="2"/>
    </font>
    <font>
      <sz val="12"/>
      <color theme="0"/>
      <name val="Arial"/>
      <family val="2"/>
    </font>
    <font>
      <b/>
      <sz val="10"/>
      <name val="Arial"/>
      <family val="2"/>
    </font>
    <font>
      <b/>
      <sz val="1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60093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/>
      <top style="medium">
        <color theme="1" tint="0.34998626667073579"/>
      </top>
      <bottom/>
      <diagonal/>
    </border>
    <border>
      <left style="thin">
        <color theme="0" tint="-0.24994659260841701"/>
      </left>
      <right/>
      <top style="medium">
        <color theme="1" tint="0.34998626667073579"/>
      </top>
      <bottom/>
      <diagonal/>
    </border>
    <border>
      <left/>
      <right style="thin">
        <color theme="0" tint="-0.24994659260841701"/>
      </right>
      <top style="medium">
        <color theme="1" tint="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0" tint="-0.24994659260841701"/>
      </left>
      <right/>
      <top/>
      <bottom style="medium">
        <color theme="1" tint="0.34998626667073579"/>
      </bottom>
      <diagonal/>
    </border>
    <border>
      <left/>
      <right style="thin">
        <color theme="0" tint="-0.24994659260841701"/>
      </right>
      <top/>
      <bottom style="medium">
        <color theme="1" tint="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1">
    <xf numFmtId="0" fontId="0" fillId="0" borderId="0"/>
  </cellStyleXfs>
  <cellXfs count="692">
    <xf numFmtId="0" fontId="0" fillId="0" borderId="0" xfId="0"/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0" borderId="0" xfId="0" applyFont="1"/>
    <xf numFmtId="0" fontId="3" fillId="3" borderId="0" xfId="0" applyFont="1" applyFill="1" applyBorder="1"/>
    <xf numFmtId="0" fontId="3" fillId="3" borderId="0" xfId="0" applyFont="1" applyFill="1"/>
    <xf numFmtId="0" fontId="2" fillId="0" borderId="0" xfId="0" applyFont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justify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justify" vertical="center"/>
    </xf>
    <xf numFmtId="0" fontId="2" fillId="3" borderId="0" xfId="0" applyFont="1" applyFill="1" applyAlignment="1">
      <alignment horizontal="center"/>
    </xf>
    <xf numFmtId="0" fontId="1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justify" vertical="center"/>
    </xf>
    <xf numFmtId="0" fontId="4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justify" vertical="top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2" xfId="0" applyBorder="1"/>
    <xf numFmtId="0" fontId="0" fillId="0" borderId="3" xfId="0" applyBorder="1"/>
    <xf numFmtId="164" fontId="0" fillId="0" borderId="2" xfId="0" applyNumberFormat="1" applyBorder="1"/>
    <xf numFmtId="2" fontId="0" fillId="0" borderId="2" xfId="0" applyNumberFormat="1" applyBorder="1"/>
    <xf numFmtId="2" fontId="0" fillId="5" borderId="2" xfId="0" applyNumberFormat="1" applyFill="1" applyBorder="1"/>
    <xf numFmtId="0" fontId="0" fillId="0" borderId="5" xfId="0" applyFill="1" applyBorder="1"/>
    <xf numFmtId="0" fontId="0" fillId="6" borderId="2" xfId="0" applyFill="1" applyBorder="1"/>
    <xf numFmtId="0" fontId="0" fillId="0" borderId="2" xfId="0" applyBorder="1" applyAlignment="1"/>
    <xf numFmtId="0" fontId="0" fillId="0" borderId="3" xfId="0" applyBorder="1" applyAlignment="1"/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3" fillId="3" borderId="10" xfId="0" applyFont="1" applyFill="1" applyBorder="1" applyAlignment="1">
      <alignment horizontal="center" vertical="center"/>
    </xf>
    <xf numFmtId="0" fontId="10" fillId="3" borderId="2" xfId="0" applyFont="1" applyFill="1" applyBorder="1"/>
    <xf numFmtId="2" fontId="3" fillId="3" borderId="2" xfId="0" applyNumberFormat="1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 vertical="center"/>
    </xf>
    <xf numFmtId="0" fontId="19" fillId="3" borderId="0" xfId="0" applyFont="1" applyFill="1" applyAlignment="1"/>
    <xf numFmtId="2" fontId="3" fillId="0" borderId="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2" fontId="3" fillId="3" borderId="2" xfId="0" applyNumberFormat="1" applyFont="1" applyFill="1" applyBorder="1"/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0" fontId="19" fillId="3" borderId="0" xfId="0" applyFont="1" applyFill="1"/>
    <xf numFmtId="0" fontId="3" fillId="0" borderId="3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2" fontId="3" fillId="3" borderId="17" xfId="0" applyNumberFormat="1" applyFont="1" applyFill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18" xfId="0" applyFont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top" wrapText="1"/>
    </xf>
    <xf numFmtId="2" fontId="15" fillId="0" borderId="6" xfId="0" applyNumberFormat="1" applyFont="1" applyFill="1" applyBorder="1" applyAlignment="1">
      <alignment horizontal="right" vertical="top" wrapText="1" indent="2"/>
    </xf>
    <xf numFmtId="2" fontId="15" fillId="0" borderId="9" xfId="0" applyNumberFormat="1" applyFont="1" applyFill="1" applyBorder="1" applyAlignment="1">
      <alignment horizontal="center" vertical="top" wrapText="1"/>
    </xf>
    <xf numFmtId="2" fontId="15" fillId="0" borderId="9" xfId="0" applyNumberFormat="1" applyFont="1" applyFill="1" applyBorder="1" applyAlignment="1">
      <alignment horizontal="right" vertical="top" wrapText="1" indent="2"/>
    </xf>
    <xf numFmtId="2" fontId="15" fillId="0" borderId="6" xfId="0" applyNumberFormat="1" applyFont="1" applyFill="1" applyBorder="1" applyAlignment="1">
      <alignment horizontal="right" vertical="top" wrapText="1" indent="3"/>
    </xf>
    <xf numFmtId="2" fontId="15" fillId="0" borderId="6" xfId="0" applyNumberFormat="1" applyFont="1" applyFill="1" applyBorder="1" applyAlignment="1">
      <alignment horizontal="left" vertical="top" wrapText="1" indent="2"/>
    </xf>
    <xf numFmtId="2" fontId="15" fillId="0" borderId="6" xfId="0" applyNumberFormat="1" applyFont="1" applyFill="1" applyBorder="1" applyAlignment="1">
      <alignment horizontal="left" vertical="top" wrapText="1" indent="1"/>
    </xf>
    <xf numFmtId="2" fontId="16" fillId="0" borderId="6" xfId="0" applyNumberFormat="1" applyFont="1" applyFill="1" applyBorder="1" applyAlignment="1">
      <alignment horizontal="center" vertical="top" shrinkToFit="1"/>
    </xf>
    <xf numFmtId="2" fontId="15" fillId="0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Border="1" applyAlignment="1">
      <alignment horizontal="center" vertical="center"/>
    </xf>
    <xf numFmtId="0" fontId="25" fillId="7" borderId="2" xfId="0" applyFont="1" applyFill="1" applyBorder="1"/>
    <xf numFmtId="0" fontId="25" fillId="3" borderId="2" xfId="0" applyFont="1" applyFill="1" applyBorder="1"/>
    <xf numFmtId="0" fontId="24" fillId="3" borderId="2" xfId="0" applyFont="1" applyFill="1" applyBorder="1"/>
    <xf numFmtId="0" fontId="3" fillId="3" borderId="0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23" fillId="3" borderId="0" xfId="0" applyFont="1" applyFill="1" applyBorder="1" applyAlignment="1">
      <alignment horizontal="center" vertical="center" wrapText="1"/>
    </xf>
    <xf numFmtId="2" fontId="25" fillId="7" borderId="2" xfId="0" applyNumberFormat="1" applyFont="1" applyFill="1" applyBorder="1"/>
    <xf numFmtId="0" fontId="3" fillId="3" borderId="0" xfId="0" applyFont="1" applyFill="1" applyAlignment="1"/>
    <xf numFmtId="0" fontId="3" fillId="3" borderId="2" xfId="0" applyFont="1" applyFill="1" applyBorder="1" applyAlignment="1"/>
    <xf numFmtId="2" fontId="3" fillId="3" borderId="2" xfId="0" applyNumberFormat="1" applyFont="1" applyFill="1" applyBorder="1" applyAlignment="1">
      <alignment horizontal="center"/>
    </xf>
    <xf numFmtId="2" fontId="3" fillId="3" borderId="34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Border="1" applyAlignment="1"/>
    <xf numFmtId="0" fontId="0" fillId="0" borderId="2" xfId="0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right"/>
    </xf>
    <xf numFmtId="2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2" fontId="3" fillId="3" borderId="3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2" fontId="3" fillId="3" borderId="2" xfId="0" applyNumberFormat="1" applyFont="1" applyFill="1" applyBorder="1" applyAlignment="1">
      <alignment horizontal="right" vertical="center"/>
    </xf>
    <xf numFmtId="2" fontId="3" fillId="3" borderId="2" xfId="0" applyNumberFormat="1" applyFont="1" applyFill="1" applyBorder="1" applyAlignment="1">
      <alignment horizontal="right"/>
    </xf>
    <xf numFmtId="0" fontId="0" fillId="0" borderId="0" xfId="0" applyAlignment="1">
      <alignment horizontal="center" vertical="center"/>
    </xf>
    <xf numFmtId="166" fontId="0" fillId="0" borderId="0" xfId="0" applyNumberFormat="1"/>
    <xf numFmtId="0" fontId="3" fillId="3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5" fillId="7" borderId="4" xfId="0" applyFont="1" applyFill="1" applyBorder="1"/>
    <xf numFmtId="0" fontId="24" fillId="7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2" fontId="3" fillId="3" borderId="33" xfId="0" applyNumberFormat="1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3" borderId="32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vertical="center" wrapText="1"/>
    </xf>
    <xf numFmtId="2" fontId="3" fillId="3" borderId="21" xfId="0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5" fillId="7" borderId="2" xfId="0" applyFont="1" applyFill="1" applyBorder="1" applyAlignment="1">
      <alignment horizontal="right" vertical="center"/>
    </xf>
    <xf numFmtId="0" fontId="25" fillId="7" borderId="10" xfId="0" applyFont="1" applyFill="1" applyBorder="1" applyAlignment="1">
      <alignment horizontal="right" vertical="center"/>
    </xf>
    <xf numFmtId="2" fontId="25" fillId="7" borderId="2" xfId="0" applyNumberFormat="1" applyFont="1" applyFill="1" applyBorder="1" applyAlignment="1">
      <alignment horizontal="right" vertical="center"/>
    </xf>
    <xf numFmtId="0" fontId="3" fillId="0" borderId="0" xfId="0" applyFont="1" applyBorder="1"/>
    <xf numFmtId="2" fontId="3" fillId="3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3" borderId="2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2" fontId="3" fillId="3" borderId="2" xfId="0" applyNumberFormat="1" applyFont="1" applyFill="1" applyBorder="1" applyAlignment="1">
      <alignment horizontal="center" vertical="center"/>
    </xf>
    <xf numFmtId="0" fontId="0" fillId="0" borderId="30" xfId="0" applyBorder="1"/>
    <xf numFmtId="0" fontId="0" fillId="0" borderId="35" xfId="0" applyBorder="1"/>
    <xf numFmtId="0" fontId="0" fillId="0" borderId="31" xfId="0" applyBorder="1"/>
    <xf numFmtId="0" fontId="0" fillId="0" borderId="0" xfId="0" applyBorder="1"/>
    <xf numFmtId="0" fontId="0" fillId="0" borderId="39" xfId="0" applyBorder="1"/>
    <xf numFmtId="2" fontId="0" fillId="0" borderId="0" xfId="0" applyNumberFormat="1" applyBorder="1"/>
    <xf numFmtId="0" fontId="0" fillId="0" borderId="34" xfId="0" applyBorder="1"/>
    <xf numFmtId="0" fontId="0" fillId="0" borderId="33" xfId="0" applyBorder="1"/>
    <xf numFmtId="1" fontId="0" fillId="0" borderId="38" xfId="0" applyNumberFormat="1" applyBorder="1" applyAlignment="1">
      <alignment horizontal="right"/>
    </xf>
    <xf numFmtId="1" fontId="25" fillId="7" borderId="2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24" fillId="3" borderId="0" xfId="0" applyFont="1" applyFill="1" applyBorder="1" applyAlignment="1"/>
    <xf numFmtId="2" fontId="3" fillId="3" borderId="0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4" fillId="7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4" fillId="7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3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24" fillId="3" borderId="34" xfId="0" applyFont="1" applyFill="1" applyBorder="1" applyAlignment="1">
      <alignment horizontal="center" wrapText="1"/>
    </xf>
    <xf numFmtId="1" fontId="25" fillId="3" borderId="34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Border="1"/>
    <xf numFmtId="2" fontId="3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3" borderId="40" xfId="0" applyNumberFormat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2" xfId="0" applyFont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wrapText="1"/>
    </xf>
    <xf numFmtId="1" fontId="25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2" fontId="0" fillId="0" borderId="25" xfId="0" applyNumberFormat="1" applyBorder="1"/>
    <xf numFmtId="0" fontId="0" fillId="0" borderId="26" xfId="0" applyBorder="1"/>
    <xf numFmtId="0" fontId="24" fillId="3" borderId="0" xfId="0" applyFont="1" applyFill="1" applyBorder="1" applyAlignment="1">
      <alignment horizontal="center" wrapText="1"/>
    </xf>
    <xf numFmtId="0" fontId="0" fillId="0" borderId="43" xfId="0" applyBorder="1"/>
    <xf numFmtId="0" fontId="0" fillId="0" borderId="0" xfId="0" applyBorder="1" applyAlignment="1"/>
    <xf numFmtId="0" fontId="24" fillId="3" borderId="2" xfId="0" applyFont="1" applyFill="1" applyBorder="1" applyAlignment="1">
      <alignment vertical="center"/>
    </xf>
    <xf numFmtId="2" fontId="25" fillId="7" borderId="11" xfId="0" applyNumberFormat="1" applyFont="1" applyFill="1" applyBorder="1" applyAlignment="1">
      <alignment horizontal="right" vertical="center"/>
    </xf>
    <xf numFmtId="2" fontId="25" fillId="3" borderId="0" xfId="0" applyNumberFormat="1" applyFont="1" applyFill="1" applyBorder="1" applyAlignment="1">
      <alignment horizontal="right" vertical="center"/>
    </xf>
    <xf numFmtId="0" fontId="3" fillId="7" borderId="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3" fillId="3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2" fontId="0" fillId="0" borderId="0" xfId="0" applyNumberFormat="1" applyFont="1" applyBorder="1"/>
    <xf numFmtId="0" fontId="3" fillId="3" borderId="0" xfId="0" applyFont="1" applyFill="1" applyBorder="1" applyAlignment="1">
      <alignment horizontal="center"/>
    </xf>
    <xf numFmtId="0" fontId="6" fillId="3" borderId="0" xfId="0" applyFont="1" applyFill="1" applyBorder="1"/>
    <xf numFmtId="0" fontId="3" fillId="3" borderId="0" xfId="0" applyFont="1" applyFill="1" applyBorder="1" applyAlignment="1">
      <alignment horizontal="center" vertical="center"/>
    </xf>
    <xf numFmtId="0" fontId="3" fillId="3" borderId="0" xfId="0" applyNumberFormat="1" applyFont="1" applyFill="1" applyBorder="1" applyAlignment="1"/>
    <xf numFmtId="0" fontId="3" fillId="3" borderId="0" xfId="0" applyNumberFormat="1" applyFont="1" applyFill="1" applyBorder="1" applyAlignment="1">
      <alignment horizontal="center" vertical="center"/>
    </xf>
    <xf numFmtId="12" fontId="3" fillId="3" borderId="0" xfId="0" applyNumberFormat="1" applyFont="1" applyFill="1" applyBorder="1" applyAlignment="1"/>
    <xf numFmtId="0" fontId="3" fillId="3" borderId="0" xfId="0" applyNumberFormat="1" applyFont="1" applyFill="1" applyBorder="1"/>
    <xf numFmtId="0" fontId="3" fillId="3" borderId="0" xfId="0" applyNumberFormat="1" applyFont="1" applyFill="1" applyBorder="1" applyAlignment="1">
      <alignment vertical="center"/>
    </xf>
    <xf numFmtId="0" fontId="25" fillId="3" borderId="0" xfId="0" applyFont="1" applyFill="1" applyBorder="1"/>
    <xf numFmtId="12" fontId="25" fillId="3" borderId="0" xfId="0" applyNumberFormat="1" applyFont="1" applyFill="1" applyBorder="1"/>
    <xf numFmtId="2" fontId="25" fillId="3" borderId="0" xfId="0" applyNumberFormat="1" applyFont="1" applyFill="1" applyBorder="1"/>
    <xf numFmtId="0" fontId="6" fillId="3" borderId="0" xfId="0" applyFont="1" applyFill="1" applyBorder="1" applyAlignment="1"/>
    <xf numFmtId="12" fontId="25" fillId="3" borderId="2" xfId="0" applyNumberFormat="1" applyFont="1" applyFill="1" applyBorder="1"/>
    <xf numFmtId="12" fontId="25" fillId="3" borderId="2" xfId="0" applyNumberFormat="1" applyFont="1" applyFill="1" applyBorder="1" applyAlignment="1">
      <alignment horizontal="right"/>
    </xf>
    <xf numFmtId="0" fontId="0" fillId="0" borderId="0" xfId="0" applyNumberFormat="1" applyFont="1" applyBorder="1" applyAlignment="1">
      <alignment horizontal="right"/>
    </xf>
    <xf numFmtId="0" fontId="25" fillId="7" borderId="2" xfId="0" applyFont="1" applyFill="1" applyBorder="1" applyAlignment="1"/>
    <xf numFmtId="0" fontId="0" fillId="0" borderId="0" xfId="0" applyAlignment="1">
      <alignment horizontal="center" vertical="center" wrapText="1"/>
    </xf>
    <xf numFmtId="2" fontId="25" fillId="3" borderId="0" xfId="0" applyNumberFormat="1" applyFont="1" applyFill="1" applyBorder="1" applyAlignment="1">
      <alignment horizontal="center" vertical="center"/>
    </xf>
    <xf numFmtId="12" fontId="25" fillId="3" borderId="0" xfId="0" applyNumberFormat="1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vertical="center" wrapText="1"/>
    </xf>
    <xf numFmtId="170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12" fontId="3" fillId="3" borderId="0" xfId="0" applyNumberFormat="1" applyFont="1" applyFill="1"/>
    <xf numFmtId="2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5" fillId="7" borderId="11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36" fillId="3" borderId="35" xfId="0" applyFont="1" applyFill="1" applyBorder="1" applyAlignment="1"/>
    <xf numFmtId="0" fontId="3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vertical="center"/>
    </xf>
    <xf numFmtId="2" fontId="25" fillId="7" borderId="2" xfId="0" applyNumberFormat="1" applyFont="1" applyFill="1" applyBorder="1" applyAlignment="1">
      <alignment horizontal="right" vertical="center"/>
    </xf>
    <xf numFmtId="2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71" fontId="3" fillId="7" borderId="2" xfId="0" applyNumberFormat="1" applyFont="1" applyFill="1" applyBorder="1" applyAlignment="1">
      <alignment vertical="center"/>
    </xf>
    <xf numFmtId="172" fontId="25" fillId="7" borderId="2" xfId="0" applyNumberFormat="1" applyFont="1" applyFill="1" applyBorder="1" applyAlignment="1">
      <alignment vertical="center"/>
    </xf>
    <xf numFmtId="173" fontId="3" fillId="3" borderId="2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/>
    <xf numFmtId="169" fontId="25" fillId="7" borderId="2" xfId="0" applyNumberFormat="1" applyFont="1" applyFill="1" applyBorder="1" applyAlignment="1">
      <alignment vertical="center"/>
    </xf>
    <xf numFmtId="0" fontId="41" fillId="3" borderId="0" xfId="0" applyFont="1" applyFill="1"/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2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2" fontId="3" fillId="3" borderId="0" xfId="0" applyNumberFormat="1" applyFont="1" applyFill="1" applyBorder="1" applyAlignment="1">
      <alignment horizontal="right"/>
    </xf>
    <xf numFmtId="0" fontId="24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/>
    </xf>
    <xf numFmtId="0" fontId="4" fillId="3" borderId="0" xfId="0" applyFont="1" applyFill="1" applyAlignment="1">
      <alignment horizontal="justify" vertical="center"/>
    </xf>
    <xf numFmtId="0" fontId="42" fillId="3" borderId="0" xfId="0" applyFont="1" applyFill="1"/>
    <xf numFmtId="0" fontId="42" fillId="0" borderId="0" xfId="0" applyFont="1"/>
    <xf numFmtId="2" fontId="42" fillId="0" borderId="0" xfId="0" applyNumberFormat="1" applyFont="1"/>
    <xf numFmtId="0" fontId="42" fillId="0" borderId="0" xfId="0" applyFont="1" applyAlignment="1">
      <alignment horizontal="center" vertical="center"/>
    </xf>
    <xf numFmtId="2" fontId="42" fillId="0" borderId="0" xfId="0" applyNumberFormat="1" applyFont="1" applyAlignment="1">
      <alignment horizontal="center" vertical="center"/>
    </xf>
    <xf numFmtId="0" fontId="42" fillId="3" borderId="22" xfId="0" applyFont="1" applyFill="1" applyBorder="1"/>
    <xf numFmtId="0" fontId="42" fillId="3" borderId="23" xfId="0" applyFont="1" applyFill="1" applyBorder="1"/>
    <xf numFmtId="0" fontId="42" fillId="0" borderId="0" xfId="0" applyFont="1" applyAlignment="1">
      <alignment horizontal="right"/>
    </xf>
    <xf numFmtId="0" fontId="42" fillId="0" borderId="22" xfId="0" applyFont="1" applyBorder="1"/>
    <xf numFmtId="0" fontId="42" fillId="0" borderId="0" xfId="0" applyFont="1" applyBorder="1"/>
    <xf numFmtId="0" fontId="42" fillId="0" borderId="23" xfId="0" applyFont="1" applyBorder="1"/>
    <xf numFmtId="0" fontId="42" fillId="0" borderId="2" xfId="0" applyFont="1" applyBorder="1" applyAlignment="1">
      <alignment horizontal="center" vertical="center"/>
    </xf>
    <xf numFmtId="0" fontId="42" fillId="3" borderId="0" xfId="0" applyFont="1" applyFill="1" applyBorder="1"/>
    <xf numFmtId="0" fontId="46" fillId="3" borderId="0" xfId="0" applyFont="1" applyFill="1" applyBorder="1" applyAlignment="1">
      <alignment horizontal="left"/>
    </xf>
    <xf numFmtId="0" fontId="42" fillId="3" borderId="47" xfId="0" applyFont="1" applyFill="1" applyBorder="1"/>
    <xf numFmtId="0" fontId="46" fillId="3" borderId="48" xfId="0" applyFont="1" applyFill="1" applyBorder="1" applyAlignment="1">
      <alignment horizontal="left"/>
    </xf>
    <xf numFmtId="0" fontId="45" fillId="3" borderId="0" xfId="0" applyFont="1" applyFill="1" applyBorder="1" applyAlignment="1">
      <alignment horizontal="left" vertical="center"/>
    </xf>
    <xf numFmtId="2" fontId="48" fillId="3" borderId="48" xfId="0" applyNumberFormat="1" applyFont="1" applyFill="1" applyBorder="1" applyAlignment="1">
      <alignment horizontal="left"/>
    </xf>
    <xf numFmtId="2" fontId="47" fillId="3" borderId="0" xfId="0" applyNumberFormat="1" applyFont="1" applyFill="1" applyBorder="1" applyAlignment="1">
      <alignment horizontal="left" vertical="center"/>
    </xf>
    <xf numFmtId="0" fontId="44" fillId="3" borderId="48" xfId="0" applyFont="1" applyFill="1" applyBorder="1" applyAlignment="1">
      <alignment horizontal="left"/>
    </xf>
    <xf numFmtId="2" fontId="46" fillId="3" borderId="0" xfId="0" applyNumberFormat="1" applyFont="1" applyFill="1" applyBorder="1" applyAlignment="1">
      <alignment horizontal="left"/>
    </xf>
    <xf numFmtId="2" fontId="49" fillId="3" borderId="48" xfId="0" applyNumberFormat="1" applyFont="1" applyFill="1" applyBorder="1" applyAlignment="1">
      <alignment horizontal="left" vertical="center"/>
    </xf>
    <xf numFmtId="0" fontId="42" fillId="3" borderId="48" xfId="0" applyFont="1" applyFill="1" applyBorder="1"/>
    <xf numFmtId="0" fontId="42" fillId="3" borderId="49" xfId="0" applyFont="1" applyFill="1" applyBorder="1"/>
    <xf numFmtId="2" fontId="42" fillId="3" borderId="49" xfId="0" applyNumberFormat="1" applyFont="1" applyFill="1" applyBorder="1" applyAlignment="1">
      <alignment horizontal="left"/>
    </xf>
    <xf numFmtId="0" fontId="42" fillId="3" borderId="50" xfId="0" applyFont="1" applyFill="1" applyBorder="1"/>
    <xf numFmtId="0" fontId="42" fillId="3" borderId="51" xfId="0" applyFont="1" applyFill="1" applyBorder="1"/>
    <xf numFmtId="0" fontId="3" fillId="3" borderId="49" xfId="0" applyFont="1" applyFill="1" applyBorder="1"/>
    <xf numFmtId="2" fontId="42" fillId="3" borderId="0" xfId="0" applyNumberFormat="1" applyFont="1" applyFill="1" applyBorder="1" applyAlignment="1">
      <alignment horizontal="left"/>
    </xf>
    <xf numFmtId="174" fontId="47" fillId="3" borderId="0" xfId="0" applyNumberFormat="1" applyFont="1" applyFill="1" applyBorder="1" applyAlignment="1">
      <alignment horizontal="left"/>
    </xf>
    <xf numFmtId="0" fontId="50" fillId="3" borderId="0" xfId="0" applyFont="1" applyFill="1" applyBorder="1"/>
    <xf numFmtId="174" fontId="42" fillId="0" borderId="2" xfId="0" applyNumberFormat="1" applyFont="1" applyBorder="1" applyAlignment="1">
      <alignment horizontal="center" vertical="center"/>
    </xf>
    <xf numFmtId="2" fontId="42" fillId="0" borderId="2" xfId="0" applyNumberFormat="1" applyFont="1" applyBorder="1" applyAlignment="1">
      <alignment horizontal="center" vertical="center"/>
    </xf>
    <xf numFmtId="0" fontId="44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0" fontId="42" fillId="3" borderId="24" xfId="0" applyFont="1" applyFill="1" applyBorder="1"/>
    <xf numFmtId="0" fontId="42" fillId="3" borderId="25" xfId="0" applyFont="1" applyFill="1" applyBorder="1"/>
    <xf numFmtId="0" fontId="3" fillId="3" borderId="25" xfId="0" applyFont="1" applyFill="1" applyBorder="1"/>
    <xf numFmtId="0" fontId="42" fillId="3" borderId="26" xfId="0" applyFont="1" applyFill="1" applyBorder="1"/>
    <xf numFmtId="0" fontId="42" fillId="0" borderId="24" xfId="0" applyFont="1" applyBorder="1"/>
    <xf numFmtId="0" fontId="42" fillId="0" borderId="25" xfId="0" applyFont="1" applyBorder="1"/>
    <xf numFmtId="0" fontId="42" fillId="0" borderId="26" xfId="0" applyFont="1" applyBorder="1"/>
    <xf numFmtId="166" fontId="42" fillId="0" borderId="0" xfId="0" applyNumberFormat="1" applyFont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45" fillId="7" borderId="2" xfId="0" applyFont="1" applyFill="1" applyBorder="1" applyAlignment="1">
      <alignment horizontal="center"/>
    </xf>
    <xf numFmtId="0" fontId="42" fillId="3" borderId="2" xfId="0" applyFont="1" applyFill="1" applyBorder="1" applyAlignment="1">
      <alignment horizontal="center"/>
    </xf>
    <xf numFmtId="2" fontId="42" fillId="3" borderId="2" xfId="0" applyNumberFormat="1" applyFont="1" applyFill="1" applyBorder="1" applyAlignment="1">
      <alignment horizontal="center"/>
    </xf>
    <xf numFmtId="0" fontId="52" fillId="3" borderId="2" xfId="0" applyFont="1" applyFill="1" applyBorder="1" applyAlignment="1">
      <alignment horizontal="center"/>
    </xf>
    <xf numFmtId="0" fontId="42" fillId="7" borderId="2" xfId="0" applyFont="1" applyFill="1" applyBorder="1" applyAlignment="1">
      <alignment horizontal="center"/>
    </xf>
    <xf numFmtId="0" fontId="42" fillId="7" borderId="2" xfId="0" applyFont="1" applyFill="1" applyBorder="1" applyAlignment="1">
      <alignment horizontal="left"/>
    </xf>
    <xf numFmtId="0" fontId="42" fillId="3" borderId="2" xfId="0" applyFont="1" applyFill="1" applyBorder="1" applyAlignment="1">
      <alignment horizontal="left"/>
    </xf>
    <xf numFmtId="2" fontId="47" fillId="3" borderId="2" xfId="0" applyNumberFormat="1" applyFont="1" applyFill="1" applyBorder="1" applyAlignment="1">
      <alignment horizontal="left"/>
    </xf>
    <xf numFmtId="0" fontId="45" fillId="7" borderId="2" xfId="0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left"/>
    </xf>
    <xf numFmtId="2" fontId="47" fillId="3" borderId="2" xfId="0" applyNumberFormat="1" applyFont="1" applyFill="1" applyBorder="1" applyAlignment="1">
      <alignment horizontal="left" vertical="center"/>
    </xf>
    <xf numFmtId="0" fontId="11" fillId="0" borderId="0" xfId="0" applyFont="1"/>
    <xf numFmtId="0" fontId="11" fillId="3" borderId="0" xfId="0" applyFont="1" applyFill="1"/>
    <xf numFmtId="0" fontId="11" fillId="0" borderId="0" xfId="0" applyFont="1" applyAlignment="1">
      <alignment wrapText="1"/>
    </xf>
    <xf numFmtId="0" fontId="11" fillId="3" borderId="0" xfId="0" applyFont="1" applyFill="1" applyAlignment="1">
      <alignment vertical="center"/>
    </xf>
    <xf numFmtId="0" fontId="17" fillId="3" borderId="0" xfId="0" applyFont="1" applyFill="1"/>
    <xf numFmtId="0" fontId="11" fillId="3" borderId="0" xfId="0" applyFont="1" applyFill="1" applyAlignment="1">
      <alignment horizontal="left"/>
    </xf>
    <xf numFmtId="0" fontId="18" fillId="3" borderId="0" xfId="0" applyFont="1" applyFill="1"/>
    <xf numFmtId="0" fontId="53" fillId="3" borderId="0" xfId="0" applyFont="1" applyFill="1"/>
    <xf numFmtId="0" fontId="11" fillId="0" borderId="0" xfId="0" applyFont="1" applyAlignment="1">
      <alignment horizontal="center"/>
    </xf>
    <xf numFmtId="0" fontId="11" fillId="3" borderId="2" xfId="0" applyFont="1" applyFill="1" applyBorder="1"/>
    <xf numFmtId="164" fontId="11" fillId="3" borderId="2" xfId="0" applyNumberFormat="1" applyFont="1" applyFill="1" applyBorder="1"/>
    <xf numFmtId="164" fontId="15" fillId="3" borderId="2" xfId="0" applyNumberFormat="1" applyFont="1" applyFill="1" applyBorder="1"/>
    <xf numFmtId="0" fontId="17" fillId="7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164" fontId="11" fillId="3" borderId="2" xfId="0" applyNumberFormat="1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/>
    <xf numFmtId="175" fontId="17" fillId="7" borderId="2" xfId="0" applyNumberFormat="1" applyFont="1" applyFill="1" applyBorder="1"/>
    <xf numFmtId="0" fontId="17" fillId="7" borderId="2" xfId="0" applyFont="1" applyFill="1" applyBorder="1"/>
    <xf numFmtId="164" fontId="11" fillId="3" borderId="2" xfId="0" applyNumberFormat="1" applyFont="1" applyFill="1" applyBorder="1" applyAlignment="1">
      <alignment horizontal="center" vertical="center"/>
    </xf>
    <xf numFmtId="0" fontId="11" fillId="0" borderId="0" xfId="0" applyFont="1" applyAlignment="1"/>
    <xf numFmtId="0" fontId="11" fillId="3" borderId="2" xfId="0" applyFont="1" applyFill="1" applyBorder="1" applyAlignment="1">
      <alignment vertical="center"/>
    </xf>
    <xf numFmtId="0" fontId="11" fillId="3" borderId="0" xfId="0" applyFont="1" applyFill="1" applyBorder="1"/>
    <xf numFmtId="175" fontId="17" fillId="3" borderId="0" xfId="0" applyNumberFormat="1" applyFont="1" applyFill="1" applyBorder="1"/>
    <xf numFmtId="0" fontId="11" fillId="3" borderId="0" xfId="0" applyFont="1" applyFill="1" applyAlignment="1">
      <alignment wrapText="1"/>
    </xf>
    <xf numFmtId="0" fontId="23" fillId="3" borderId="35" xfId="0" applyFont="1" applyFill="1" applyBorder="1" applyAlignment="1">
      <alignment horizontal="center" vertical="center" wrapText="1"/>
    </xf>
    <xf numFmtId="2" fontId="11" fillId="3" borderId="2" xfId="0" applyNumberFormat="1" applyFont="1" applyFill="1" applyBorder="1"/>
    <xf numFmtId="2" fontId="15" fillId="3" borderId="2" xfId="0" applyNumberFormat="1" applyFont="1" applyFill="1" applyBorder="1"/>
    <xf numFmtId="164" fontId="18" fillId="3" borderId="0" xfId="0" applyNumberFormat="1" applyFont="1" applyFill="1" applyBorder="1" applyAlignment="1">
      <alignment vertical="center"/>
    </xf>
    <xf numFmtId="0" fontId="11" fillId="3" borderId="0" xfId="0" applyFont="1" applyFill="1" applyBorder="1" applyAlignment="1">
      <alignment horizontal="left"/>
    </xf>
    <xf numFmtId="0" fontId="17" fillId="3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3" borderId="2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/>
    </xf>
    <xf numFmtId="0" fontId="25" fillId="7" borderId="2" xfId="0" applyFont="1" applyFill="1" applyBorder="1" applyAlignment="1">
      <alignment horizontal="center" vertical="center"/>
    </xf>
    <xf numFmtId="2" fontId="12" fillId="3" borderId="0" xfId="0" applyNumberFormat="1" applyFont="1" applyFill="1"/>
    <xf numFmtId="0" fontId="12" fillId="3" borderId="0" xfId="0" applyFont="1" applyFill="1"/>
    <xf numFmtId="171" fontId="25" fillId="7" borderId="2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vertical="center" wrapText="1"/>
    </xf>
    <xf numFmtId="0" fontId="3" fillId="3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2" fillId="3" borderId="0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3" borderId="57" xfId="0" applyFont="1" applyFill="1" applyBorder="1" applyAlignment="1">
      <alignment horizontal="left" vertical="center"/>
    </xf>
    <xf numFmtId="0" fontId="6" fillId="3" borderId="57" xfId="0" applyFont="1" applyFill="1" applyBorder="1" applyAlignment="1">
      <alignment horizontal="left" vertical="center"/>
    </xf>
    <xf numFmtId="0" fontId="1" fillId="3" borderId="57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47" fillId="3" borderId="0" xfId="0" applyFont="1" applyFill="1" applyAlignment="1">
      <alignment horizontal="center" vertical="center"/>
    </xf>
    <xf numFmtId="0" fontId="44" fillId="2" borderId="57" xfId="0" applyFont="1" applyFill="1" applyBorder="1" applyAlignment="1">
      <alignment horizontal="left" vertical="center" wrapText="1"/>
    </xf>
    <xf numFmtId="0" fontId="42" fillId="2" borderId="57" xfId="0" applyFont="1" applyFill="1" applyBorder="1" applyAlignment="1">
      <alignment horizontal="center" vertical="center" wrapText="1"/>
    </xf>
    <xf numFmtId="0" fontId="56" fillId="3" borderId="0" xfId="0" applyFont="1" applyFill="1" applyAlignment="1">
      <alignment horizontal="center" vertical="center" wrapText="1"/>
    </xf>
    <xf numFmtId="0" fontId="56" fillId="4" borderId="57" xfId="0" applyFont="1" applyFill="1" applyBorder="1" applyAlignment="1">
      <alignment horizontal="center" vertical="center" wrapText="1"/>
    </xf>
    <xf numFmtId="0" fontId="56" fillId="4" borderId="57" xfId="0" applyFont="1" applyFill="1" applyBorder="1" applyAlignment="1">
      <alignment horizontal="center" vertical="center"/>
    </xf>
    <xf numFmtId="0" fontId="47" fillId="3" borderId="0" xfId="0" applyFont="1" applyFill="1" applyAlignment="1">
      <alignment horizontal="justify" vertical="top"/>
    </xf>
    <xf numFmtId="0" fontId="44" fillId="0" borderId="57" xfId="0" applyFont="1" applyBorder="1" applyAlignment="1">
      <alignment horizontal="left" vertical="center" wrapText="1"/>
    </xf>
    <xf numFmtId="0" fontId="44" fillId="0" borderId="57" xfId="0" applyFont="1" applyBorder="1" applyAlignment="1">
      <alignment horizontal="left" vertical="center" wrapText="1" indent="1"/>
    </xf>
    <xf numFmtId="2" fontId="44" fillId="0" borderId="57" xfId="0" applyNumberFormat="1" applyFont="1" applyBorder="1" applyAlignment="1">
      <alignment horizontal="left" vertical="center" wrapText="1"/>
    </xf>
    <xf numFmtId="0" fontId="56" fillId="0" borderId="57" xfId="0" applyFont="1" applyBorder="1" applyAlignment="1">
      <alignment horizontal="left" vertical="center" wrapText="1"/>
    </xf>
    <xf numFmtId="0" fontId="1" fillId="3" borderId="59" xfId="0" applyFont="1" applyFill="1" applyBorder="1" applyAlignment="1">
      <alignment horizontal="center" vertical="center" wrapText="1"/>
    </xf>
    <xf numFmtId="0" fontId="1" fillId="3" borderId="57" xfId="0" applyFont="1" applyFill="1" applyBorder="1" applyAlignment="1">
      <alignment horizontal="left" vertical="center"/>
    </xf>
    <xf numFmtId="0" fontId="44" fillId="3" borderId="44" xfId="0" applyFont="1" applyFill="1" applyBorder="1" applyAlignment="1">
      <alignment horizontal="center"/>
    </xf>
    <xf numFmtId="0" fontId="1" fillId="3" borderId="61" xfId="0" applyFont="1" applyFill="1" applyBorder="1" applyAlignment="1">
      <alignment horizontal="left" vertical="top"/>
    </xf>
    <xf numFmtId="0" fontId="1" fillId="3" borderId="62" xfId="0" applyFont="1" applyFill="1" applyBorder="1" applyAlignment="1">
      <alignment horizontal="left" vertical="top"/>
    </xf>
    <xf numFmtId="0" fontId="1" fillId="3" borderId="63" xfId="0" applyFont="1" applyFill="1" applyBorder="1" applyAlignment="1">
      <alignment horizontal="left" vertical="top"/>
    </xf>
    <xf numFmtId="0" fontId="1" fillId="3" borderId="64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top"/>
    </xf>
    <xf numFmtId="0" fontId="1" fillId="3" borderId="65" xfId="0" applyFont="1" applyFill="1" applyBorder="1" applyAlignment="1">
      <alignment horizontal="left" vertical="top"/>
    </xf>
    <xf numFmtId="0" fontId="1" fillId="3" borderId="66" xfId="0" applyFont="1" applyFill="1" applyBorder="1" applyAlignment="1">
      <alignment horizontal="left" vertical="top"/>
    </xf>
    <xf numFmtId="0" fontId="1" fillId="3" borderId="56" xfId="0" applyFont="1" applyFill="1" applyBorder="1" applyAlignment="1">
      <alignment horizontal="left" vertical="top"/>
    </xf>
    <xf numFmtId="0" fontId="1" fillId="3" borderId="67" xfId="0" applyFont="1" applyFill="1" applyBorder="1" applyAlignment="1">
      <alignment horizontal="left" vertical="top"/>
    </xf>
    <xf numFmtId="0" fontId="2" fillId="3" borderId="82" xfId="0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 vertical="center"/>
    </xf>
    <xf numFmtId="0" fontId="2" fillId="3" borderId="85" xfId="0" applyFont="1" applyFill="1" applyBorder="1" applyAlignment="1">
      <alignment horizontal="center" vertical="center"/>
    </xf>
    <xf numFmtId="0" fontId="2" fillId="3" borderId="86" xfId="0" applyFont="1" applyFill="1" applyBorder="1" applyAlignment="1">
      <alignment horizontal="center" vertical="center"/>
    </xf>
    <xf numFmtId="0" fontId="2" fillId="3" borderId="81" xfId="0" applyFont="1" applyFill="1" applyBorder="1" applyAlignment="1">
      <alignment horizontal="center" vertical="center"/>
    </xf>
    <xf numFmtId="0" fontId="2" fillId="3" borderId="84" xfId="0" applyFont="1" applyFill="1" applyBorder="1" applyAlignment="1">
      <alignment horizontal="center" vertical="center"/>
    </xf>
    <xf numFmtId="0" fontId="1" fillId="3" borderId="88" xfId="0" applyFont="1" applyFill="1" applyBorder="1" applyAlignment="1">
      <alignment horizontal="center" vertical="center"/>
    </xf>
    <xf numFmtId="0" fontId="1" fillId="3" borderId="89" xfId="0" applyFont="1" applyFill="1" applyBorder="1" applyAlignment="1">
      <alignment horizontal="center" vertical="center"/>
    </xf>
    <xf numFmtId="0" fontId="1" fillId="3" borderId="87" xfId="0" applyFont="1" applyFill="1" applyBorder="1" applyAlignment="1">
      <alignment horizontal="center" vertical="center"/>
    </xf>
    <xf numFmtId="0" fontId="1" fillId="3" borderId="90" xfId="0" applyFont="1" applyFill="1" applyBorder="1" applyAlignment="1">
      <alignment horizontal="center" vertical="center"/>
    </xf>
    <xf numFmtId="0" fontId="1" fillId="3" borderId="91" xfId="0" applyFont="1" applyFill="1" applyBorder="1" applyAlignment="1">
      <alignment horizontal="center" vertical="center"/>
    </xf>
    <xf numFmtId="0" fontId="1" fillId="3" borderId="92" xfId="0" applyFont="1" applyFill="1" applyBorder="1" applyAlignment="1">
      <alignment horizontal="center" vertical="center"/>
    </xf>
    <xf numFmtId="0" fontId="47" fillId="4" borderId="57" xfId="0" applyFont="1" applyFill="1" applyBorder="1" applyAlignment="1">
      <alignment horizontal="justify" vertical="top" wrapText="1"/>
    </xf>
    <xf numFmtId="0" fontId="47" fillId="4" borderId="57" xfId="0" applyFont="1" applyFill="1" applyBorder="1" applyAlignment="1">
      <alignment horizontal="justify" vertical="top"/>
    </xf>
    <xf numFmtId="0" fontId="47" fillId="4" borderId="59" xfId="0" applyFont="1" applyFill="1" applyBorder="1" applyAlignment="1">
      <alignment horizontal="center" vertical="top" wrapText="1"/>
    </xf>
    <xf numFmtId="0" fontId="47" fillId="4" borderId="60" xfId="0" applyFont="1" applyFill="1" applyBorder="1" applyAlignment="1">
      <alignment horizontal="center" vertical="top" wrapText="1"/>
    </xf>
    <xf numFmtId="0" fontId="47" fillId="4" borderId="58" xfId="0" applyFont="1" applyFill="1" applyBorder="1" applyAlignment="1">
      <alignment horizontal="center" vertical="top" wrapText="1"/>
    </xf>
    <xf numFmtId="0" fontId="42" fillId="2" borderId="57" xfId="0" applyFont="1" applyFill="1" applyBorder="1" applyAlignment="1">
      <alignment horizontal="center" vertical="center" wrapText="1"/>
    </xf>
    <xf numFmtId="0" fontId="1" fillId="3" borderId="57" xfId="0" applyFont="1" applyFill="1" applyBorder="1" applyAlignment="1">
      <alignment horizontal="center" vertical="center"/>
    </xf>
    <xf numFmtId="0" fontId="42" fillId="2" borderId="57" xfId="0" applyFont="1" applyFill="1" applyBorder="1" applyAlignment="1">
      <alignment horizontal="left" vertical="center" wrapText="1"/>
    </xf>
    <xf numFmtId="0" fontId="6" fillId="3" borderId="57" xfId="0" applyFont="1" applyFill="1" applyBorder="1" applyAlignment="1">
      <alignment horizontal="left" vertical="center"/>
    </xf>
    <xf numFmtId="0" fontId="47" fillId="0" borderId="57" xfId="0" applyFont="1" applyBorder="1" applyAlignment="1">
      <alignment horizontal="left" vertical="center"/>
    </xf>
    <xf numFmtId="0" fontId="47" fillId="0" borderId="57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42" fillId="0" borderId="57" xfId="0" applyFont="1" applyBorder="1" applyAlignment="1">
      <alignment horizontal="left" vertical="center" wrapText="1" indent="2"/>
    </xf>
    <xf numFmtId="0" fontId="47" fillId="0" borderId="57" xfId="0" applyFont="1" applyBorder="1" applyAlignment="1">
      <alignment horizontal="left" vertical="center" indent="2"/>
    </xf>
    <xf numFmtId="0" fontId="42" fillId="0" borderId="57" xfId="0" applyFont="1" applyBorder="1" applyAlignment="1">
      <alignment horizontal="left" vertical="center"/>
    </xf>
    <xf numFmtId="0" fontId="42" fillId="0" borderId="57" xfId="0" applyFont="1" applyBorder="1" applyAlignment="1">
      <alignment horizontal="left" vertical="center" wrapText="1"/>
    </xf>
    <xf numFmtId="0" fontId="42" fillId="2" borderId="57" xfId="0" applyFont="1" applyFill="1" applyBorder="1" applyAlignment="1">
      <alignment horizontal="left" vertical="center"/>
    </xf>
    <xf numFmtId="0" fontId="42" fillId="0" borderId="57" xfId="0" applyFont="1" applyBorder="1" applyAlignment="1">
      <alignment horizontal="left"/>
    </xf>
    <xf numFmtId="0" fontId="6" fillId="3" borderId="57" xfId="0" applyFont="1" applyFill="1" applyBorder="1" applyAlignment="1">
      <alignment horizontal="left" vertical="center" wrapText="1"/>
    </xf>
    <xf numFmtId="0" fontId="1" fillId="0" borderId="75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1" fillId="0" borderId="79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57" fillId="3" borderId="73" xfId="0" applyFont="1" applyFill="1" applyBorder="1" applyAlignment="1">
      <alignment horizontal="center" vertical="center"/>
    </xf>
    <xf numFmtId="0" fontId="57" fillId="3" borderId="74" xfId="0" applyFont="1" applyFill="1" applyBorder="1" applyAlignment="1">
      <alignment horizontal="center" vertical="center"/>
    </xf>
    <xf numFmtId="0" fontId="47" fillId="4" borderId="57" xfId="0" applyFont="1" applyFill="1" applyBorder="1" applyAlignment="1">
      <alignment horizontal="center" vertical="top" wrapText="1"/>
    </xf>
    <xf numFmtId="0" fontId="1" fillId="3" borderId="69" xfId="0" applyFont="1" applyFill="1" applyBorder="1" applyAlignment="1">
      <alignment horizontal="center" vertical="center"/>
    </xf>
    <xf numFmtId="0" fontId="1" fillId="3" borderId="70" xfId="0" applyFont="1" applyFill="1" applyBorder="1" applyAlignment="1">
      <alignment horizontal="center" vertical="center"/>
    </xf>
    <xf numFmtId="0" fontId="1" fillId="3" borderId="72" xfId="0" applyFont="1" applyFill="1" applyBorder="1" applyAlignment="1">
      <alignment horizontal="center" vertical="center"/>
    </xf>
    <xf numFmtId="0" fontId="1" fillId="3" borderId="69" xfId="0" applyFont="1" applyFill="1" applyBorder="1" applyAlignment="1">
      <alignment horizontal="center" vertical="center" wrapText="1"/>
    </xf>
    <xf numFmtId="0" fontId="1" fillId="3" borderId="70" xfId="0" applyFont="1" applyFill="1" applyBorder="1" applyAlignment="1">
      <alignment horizontal="center" vertical="center" wrapText="1"/>
    </xf>
    <xf numFmtId="0" fontId="1" fillId="3" borderId="71" xfId="0" applyFont="1" applyFill="1" applyBorder="1" applyAlignment="1">
      <alignment horizontal="center" vertical="center" wrapText="1"/>
    </xf>
    <xf numFmtId="0" fontId="1" fillId="3" borderId="72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44" fillId="3" borderId="44" xfId="0" applyFont="1" applyFill="1" applyBorder="1" applyAlignment="1">
      <alignment horizontal="center"/>
    </xf>
    <xf numFmtId="0" fontId="44" fillId="3" borderId="45" xfId="0" applyFont="1" applyFill="1" applyBorder="1" applyAlignment="1">
      <alignment horizontal="center"/>
    </xf>
    <xf numFmtId="0" fontId="44" fillId="3" borderId="46" xfId="0" applyFont="1" applyFill="1" applyBorder="1" applyAlignment="1">
      <alignment horizontal="center"/>
    </xf>
    <xf numFmtId="0" fontId="44" fillId="3" borderId="2" xfId="0" applyFont="1" applyFill="1" applyBorder="1" applyAlignment="1">
      <alignment horizontal="left"/>
    </xf>
    <xf numFmtId="2" fontId="49" fillId="3" borderId="2" xfId="0" applyNumberFormat="1" applyFont="1" applyFill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24" xfId="0" applyFont="1" applyBorder="1" applyAlignment="1">
      <alignment horizontal="center" vertical="center"/>
    </xf>
    <xf numFmtId="0" fontId="43" fillId="0" borderId="25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4" fillId="3" borderId="49" xfId="0" applyFont="1" applyFill="1" applyBorder="1" applyAlignment="1">
      <alignment horizontal="center"/>
    </xf>
    <xf numFmtId="0" fontId="18" fillId="0" borderId="2" xfId="0" applyFont="1" applyBorder="1" applyAlignment="1">
      <alignment horizontal="center" wrapText="1"/>
    </xf>
    <xf numFmtId="0" fontId="11" fillId="7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164" fontId="18" fillId="3" borderId="10" xfId="0" applyNumberFormat="1" applyFont="1" applyFill="1" applyBorder="1" applyAlignment="1">
      <alignment horizontal="center" vertical="center"/>
    </xf>
    <xf numFmtId="164" fontId="18" fillId="3" borderId="11" xfId="0" applyNumberFormat="1" applyFont="1" applyFill="1" applyBorder="1" applyAlignment="1">
      <alignment horizontal="center" vertical="center"/>
    </xf>
    <xf numFmtId="166" fontId="18" fillId="3" borderId="10" xfId="0" applyNumberFormat="1" applyFont="1" applyFill="1" applyBorder="1" applyAlignment="1">
      <alignment horizontal="center" vertical="center"/>
    </xf>
    <xf numFmtId="166" fontId="18" fillId="3" borderId="11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left" wrapText="1"/>
    </xf>
    <xf numFmtId="0" fontId="11" fillId="7" borderId="2" xfId="0" applyFont="1" applyFill="1" applyBorder="1" applyAlignment="1">
      <alignment horizontal="left"/>
    </xf>
    <xf numFmtId="0" fontId="11" fillId="7" borderId="2" xfId="0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 wrapText="1"/>
    </xf>
    <xf numFmtId="0" fontId="17" fillId="7" borderId="30" xfId="0" applyFont="1" applyFill="1" applyBorder="1" applyAlignment="1">
      <alignment horizontal="center" vertical="center" wrapText="1"/>
    </xf>
    <xf numFmtId="0" fontId="17" fillId="7" borderId="35" xfId="0" applyFont="1" applyFill="1" applyBorder="1" applyAlignment="1">
      <alignment horizontal="center" vertical="center" wrapText="1"/>
    </xf>
    <xf numFmtId="0" fontId="17" fillId="7" borderId="31" xfId="0" applyFont="1" applyFill="1" applyBorder="1" applyAlignment="1">
      <alignment horizontal="center" vertical="center" wrapText="1"/>
    </xf>
    <xf numFmtId="0" fontId="17" fillId="7" borderId="32" xfId="0" applyFont="1" applyFill="1" applyBorder="1" applyAlignment="1">
      <alignment horizontal="center" vertical="center" wrapText="1"/>
    </xf>
    <xf numFmtId="0" fontId="17" fillId="7" borderId="34" xfId="0" applyFont="1" applyFill="1" applyBorder="1" applyAlignment="1">
      <alignment horizontal="center" vertical="center" wrapText="1"/>
    </xf>
    <xf numFmtId="0" fontId="17" fillId="7" borderId="33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wrapText="1"/>
    </xf>
    <xf numFmtId="0" fontId="28" fillId="3" borderId="52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horizontal="center" vertical="center"/>
    </xf>
    <xf numFmtId="0" fontId="28" fillId="3" borderId="54" xfId="0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/>
    </xf>
    <xf numFmtId="0" fontId="28" fillId="3" borderId="55" xfId="0" applyFont="1" applyFill="1" applyBorder="1" applyAlignment="1">
      <alignment horizontal="center" vertical="center"/>
    </xf>
    <xf numFmtId="0" fontId="28" fillId="3" borderId="18" xfId="0" applyFont="1" applyFill="1" applyBorder="1" applyAlignment="1">
      <alignment horizontal="center" vertical="center"/>
    </xf>
    <xf numFmtId="0" fontId="53" fillId="3" borderId="35" xfId="0" applyFont="1" applyFill="1" applyBorder="1" applyAlignment="1">
      <alignment horizontal="center" wrapText="1"/>
    </xf>
    <xf numFmtId="0" fontId="53" fillId="3" borderId="0" xfId="0" applyFont="1" applyFill="1" applyBorder="1" applyAlignment="1">
      <alignment horizontal="center" wrapText="1"/>
    </xf>
    <xf numFmtId="0" fontId="55" fillId="3" borderId="30" xfId="0" applyFont="1" applyFill="1" applyBorder="1" applyAlignment="1">
      <alignment horizontal="center"/>
    </xf>
    <xf numFmtId="0" fontId="55" fillId="3" borderId="38" xfId="0" applyFont="1" applyFill="1" applyBorder="1" applyAlignment="1">
      <alignment horizontal="center"/>
    </xf>
    <xf numFmtId="0" fontId="18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2" fontId="6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/>
    </xf>
    <xf numFmtId="0" fontId="28" fillId="3" borderId="19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0" fontId="28" fillId="3" borderId="22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8" fillId="3" borderId="24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2" fontId="3" fillId="3" borderId="34" xfId="0" applyNumberFormat="1" applyFont="1" applyFill="1" applyBorder="1" applyAlignment="1">
      <alignment horizontal="center"/>
    </xf>
    <xf numFmtId="2" fontId="3" fillId="3" borderId="12" xfId="0" applyNumberFormat="1" applyFont="1" applyFill="1" applyBorder="1" applyAlignment="1">
      <alignment horizontal="center"/>
    </xf>
    <xf numFmtId="2" fontId="3" fillId="3" borderId="4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2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2" fontId="3" fillId="3" borderId="30" xfId="0" applyNumberFormat="1" applyFont="1" applyFill="1" applyBorder="1" applyAlignment="1">
      <alignment horizontal="center" vertical="center"/>
    </xf>
    <xf numFmtId="2" fontId="3" fillId="3" borderId="31" xfId="0" applyNumberFormat="1" applyFont="1" applyFill="1" applyBorder="1" applyAlignment="1">
      <alignment horizontal="center" vertical="center"/>
    </xf>
    <xf numFmtId="2" fontId="3" fillId="3" borderId="32" xfId="0" applyNumberFormat="1" applyFont="1" applyFill="1" applyBorder="1" applyAlignment="1">
      <alignment horizontal="center" vertical="center"/>
    </xf>
    <xf numFmtId="2" fontId="3" fillId="3" borderId="33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4" fillId="7" borderId="30" xfId="0" applyFont="1" applyFill="1" applyBorder="1" applyAlignment="1">
      <alignment horizontal="center"/>
    </xf>
    <xf numFmtId="0" fontId="24" fillId="7" borderId="4" xfId="0" applyFont="1" applyFill="1" applyBorder="1" applyAlignment="1">
      <alignment horizontal="center"/>
    </xf>
    <xf numFmtId="0" fontId="24" fillId="7" borderId="10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19" fillId="3" borderId="36" xfId="0" applyFont="1" applyFill="1" applyBorder="1" applyAlignment="1">
      <alignment horizontal="center" vertical="center" wrapText="1"/>
    </xf>
    <xf numFmtId="0" fontId="19" fillId="3" borderId="37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24" fillId="7" borderId="30" xfId="0" applyFont="1" applyFill="1" applyBorder="1" applyAlignment="1">
      <alignment horizontal="center" wrapText="1"/>
    </xf>
    <xf numFmtId="0" fontId="24" fillId="7" borderId="31" xfId="0" applyFont="1" applyFill="1" applyBorder="1" applyAlignment="1">
      <alignment horizontal="center" wrapText="1"/>
    </xf>
    <xf numFmtId="0" fontId="24" fillId="7" borderId="32" xfId="0" applyFont="1" applyFill="1" applyBorder="1" applyAlignment="1">
      <alignment horizontal="center" wrapText="1"/>
    </xf>
    <xf numFmtId="0" fontId="24" fillId="7" borderId="33" xfId="0" applyFont="1" applyFill="1" applyBorder="1" applyAlignment="1">
      <alignment horizontal="center" wrapText="1"/>
    </xf>
    <xf numFmtId="1" fontId="25" fillId="7" borderId="10" xfId="0" applyNumberFormat="1" applyFont="1" applyFill="1" applyBorder="1" applyAlignment="1">
      <alignment horizontal="right" vertical="center"/>
    </xf>
    <xf numFmtId="1" fontId="25" fillId="7" borderId="11" xfId="0" applyNumberFormat="1" applyFont="1" applyFill="1" applyBorder="1" applyAlignment="1">
      <alignment horizontal="right" vertical="center"/>
    </xf>
    <xf numFmtId="0" fontId="24" fillId="7" borderId="12" xfId="0" applyFont="1" applyFill="1" applyBorder="1" applyAlignment="1">
      <alignment horizontal="center"/>
    </xf>
    <xf numFmtId="0" fontId="24" fillId="7" borderId="2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wrapText="1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4" fillId="7" borderId="32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6" fillId="3" borderId="12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3" fillId="3" borderId="13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36" fillId="3" borderId="0" xfId="0" applyFont="1" applyFill="1" applyAlignment="1">
      <alignment horizontal="center"/>
    </xf>
    <xf numFmtId="0" fontId="24" fillId="3" borderId="0" xfId="0" applyFont="1" applyFill="1" applyBorder="1" applyAlignment="1">
      <alignment horizontal="center" wrapText="1"/>
    </xf>
    <xf numFmtId="0" fontId="24" fillId="3" borderId="0" xfId="0" applyFont="1" applyFill="1" applyBorder="1" applyAlignment="1">
      <alignment horizontal="center"/>
    </xf>
    <xf numFmtId="0" fontId="24" fillId="7" borderId="2" xfId="0" applyFont="1" applyFill="1" applyBorder="1" applyAlignment="1">
      <alignment horizontal="center" vertical="center" wrapText="1"/>
    </xf>
    <xf numFmtId="2" fontId="25" fillId="7" borderId="2" xfId="0" applyNumberFormat="1" applyFont="1" applyFill="1" applyBorder="1" applyAlignment="1">
      <alignment horizontal="right" vertical="center"/>
    </xf>
    <xf numFmtId="0" fontId="3" fillId="7" borderId="2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2" fontId="25" fillId="7" borderId="10" xfId="0" applyNumberFormat="1" applyFont="1" applyFill="1" applyBorder="1" applyAlignment="1">
      <alignment horizontal="right" vertical="center"/>
    </xf>
    <xf numFmtId="2" fontId="25" fillId="7" borderId="5" xfId="0" applyNumberFormat="1" applyFont="1" applyFill="1" applyBorder="1" applyAlignment="1">
      <alignment horizontal="right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24" fillId="7" borderId="38" xfId="0" applyFont="1" applyFill="1" applyBorder="1" applyAlignment="1">
      <alignment horizontal="center" wrapText="1"/>
    </xf>
    <xf numFmtId="0" fontId="24" fillId="7" borderId="39" xfId="0" applyFont="1" applyFill="1" applyBorder="1" applyAlignment="1">
      <alignment horizontal="center" wrapText="1"/>
    </xf>
    <xf numFmtId="169" fontId="3" fillId="3" borderId="10" xfId="0" applyNumberFormat="1" applyFont="1" applyFill="1" applyBorder="1" applyAlignment="1">
      <alignment horizontal="center" vertical="center"/>
    </xf>
    <xf numFmtId="169" fontId="3" fillId="3" borderId="11" xfId="0" applyNumberFormat="1" applyFont="1" applyFill="1" applyBorder="1" applyAlignment="1">
      <alignment horizontal="center" vertical="center"/>
    </xf>
    <xf numFmtId="0" fontId="9" fillId="3" borderId="38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6" fillId="3" borderId="35" xfId="0" applyFont="1" applyFill="1" applyBorder="1" applyAlignment="1">
      <alignment horizontal="center"/>
    </xf>
    <xf numFmtId="167" fontId="3" fillId="3" borderId="10" xfId="0" applyNumberFormat="1" applyFont="1" applyFill="1" applyBorder="1" applyAlignment="1">
      <alignment horizontal="center" vertical="center"/>
    </xf>
    <xf numFmtId="167" fontId="3" fillId="3" borderId="11" xfId="0" applyNumberFormat="1" applyFont="1" applyFill="1" applyBorder="1" applyAlignment="1">
      <alignment horizontal="center" vertical="center"/>
    </xf>
    <xf numFmtId="0" fontId="40" fillId="0" borderId="12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4" fillId="7" borderId="12" xfId="0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3" borderId="38" xfId="0" applyFont="1" applyFill="1" applyBorder="1" applyAlignment="1">
      <alignment horizontal="center" vertical="center" wrapText="1"/>
    </xf>
    <xf numFmtId="0" fontId="25" fillId="7" borderId="2" xfId="0" applyNumberFormat="1" applyFont="1" applyFill="1" applyBorder="1" applyAlignment="1">
      <alignment horizontal="right" vertical="center"/>
    </xf>
    <xf numFmtId="0" fontId="3" fillId="0" borderId="38" xfId="0" applyFont="1" applyBorder="1" applyAlignment="1">
      <alignment horizontal="center"/>
    </xf>
    <xf numFmtId="0" fontId="3" fillId="7" borderId="2" xfId="0" applyFont="1" applyFill="1" applyBorder="1" applyAlignment="1">
      <alignment horizontal="center" vertical="center"/>
    </xf>
    <xf numFmtId="0" fontId="24" fillId="7" borderId="30" xfId="0" applyFont="1" applyFill="1" applyBorder="1" applyAlignment="1">
      <alignment horizontal="center" vertical="center" wrapText="1"/>
    </xf>
    <xf numFmtId="0" fontId="24" fillId="7" borderId="31" xfId="0" applyFont="1" applyFill="1" applyBorder="1" applyAlignment="1">
      <alignment horizontal="center" vertical="center" wrapText="1"/>
    </xf>
    <xf numFmtId="0" fontId="24" fillId="7" borderId="32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 wrapText="1"/>
    </xf>
    <xf numFmtId="0" fontId="25" fillId="7" borderId="10" xfId="0" applyFont="1" applyFill="1" applyBorder="1" applyAlignment="1">
      <alignment horizontal="right" vertical="center"/>
    </xf>
    <xf numFmtId="0" fontId="25" fillId="7" borderId="11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center" wrapText="1"/>
    </xf>
    <xf numFmtId="0" fontId="3" fillId="3" borderId="31" xfId="0" applyFont="1" applyFill="1" applyBorder="1" applyAlignment="1">
      <alignment horizontal="center" wrapText="1"/>
    </xf>
    <xf numFmtId="0" fontId="3" fillId="3" borderId="32" xfId="0" applyFont="1" applyFill="1" applyBorder="1" applyAlignment="1">
      <alignment horizontal="center" wrapText="1"/>
    </xf>
    <xf numFmtId="0" fontId="3" fillId="3" borderId="33" xfId="0" applyFont="1" applyFill="1" applyBorder="1" applyAlignment="1">
      <alignment horizontal="center" wrapText="1"/>
    </xf>
    <xf numFmtId="0" fontId="25" fillId="7" borderId="10" xfId="0" applyFont="1" applyFill="1" applyBorder="1" applyAlignment="1">
      <alignment horizontal="center"/>
    </xf>
    <xf numFmtId="0" fontId="25" fillId="7" borderId="11" xfId="0" applyFont="1" applyFill="1" applyBorder="1" applyAlignment="1">
      <alignment horizontal="center"/>
    </xf>
    <xf numFmtId="168" fontId="3" fillId="3" borderId="10" xfId="0" applyNumberFormat="1" applyFont="1" applyFill="1" applyBorder="1" applyAlignment="1">
      <alignment horizontal="center" vertical="center"/>
    </xf>
    <xf numFmtId="168" fontId="3" fillId="3" borderId="1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25" fillId="7" borderId="2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Alignment="1">
      <alignment horizont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18" fillId="3" borderId="1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</cellXfs>
  <cellStyles count="1">
    <cellStyle name="Normal" xfId="0" builtinId="0"/>
  </cellStyles>
  <dxfs count="324"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rgb="FFFF0000"/>
      </font>
    </dxf>
    <dxf>
      <font>
        <strike val="0"/>
        <color theme="0"/>
      </font>
    </dxf>
    <dxf>
      <font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rgb="FFFF0000"/>
      </font>
    </dxf>
    <dxf>
      <font>
        <strike val="0"/>
        <color theme="0"/>
      </font>
    </dxf>
    <dxf>
      <font>
        <color rgb="FFFF0000"/>
      </font>
    </dxf>
    <dxf>
      <font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strike val="0"/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b val="0"/>
        <i val="0"/>
        <color theme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strike val="0"/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b val="0"/>
        <i val="0"/>
        <color theme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strike val="0"/>
        <color theme="0"/>
      </font>
    </dxf>
    <dxf>
      <fill>
        <patternFill>
          <bgColor rgb="FF00FF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strike val="0"/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FF00"/>
        </patternFill>
      </fill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b val="0"/>
        <i val="0"/>
        <color theme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strike val="0"/>
        <color theme="0"/>
      </font>
    </dxf>
    <dxf>
      <font>
        <b val="0"/>
        <i val="0"/>
        <color theme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border>
        <left/>
        <right/>
        <top style="thin">
          <color auto="1"/>
        </top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b val="0"/>
        <i val="0"/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strike val="0"/>
        <color theme="0"/>
      </font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FF00"/>
        </patternFill>
      </fill>
    </dxf>
    <dxf>
      <font>
        <color theme="0"/>
      </font>
    </dxf>
    <dxf>
      <fill>
        <patternFill>
          <bgColor theme="0"/>
        </patternFill>
      </fill>
      <border>
        <left/>
        <right/>
        <top/>
        <bottom style="thin">
          <color auto="1"/>
        </bottom>
      </border>
    </dxf>
    <dxf>
      <fill>
        <patternFill>
          <bgColor theme="0" tint="-4.9989318521683403E-2"/>
        </patternFill>
      </fill>
    </dxf>
    <dxf>
      <border>
        <left/>
        <right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3857F0"/>
      <color rgb="FFFF6600"/>
      <color rgb="FF00FF00"/>
      <color rgb="FFFF3300"/>
      <color rgb="FFD60093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/>
              <a:t>ESPECTRO DE DISEÑO </a:t>
            </a:r>
          </a:p>
        </c:rich>
      </c:tx>
      <c:layout>
        <c:manualLayout>
          <c:xMode val="edge"/>
          <c:yMode val="edge"/>
          <c:x val="0.32793123076715019"/>
          <c:y val="4.20866568911504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9293963254593267E-2"/>
          <c:y val="0.17151525019113698"/>
          <c:w val="0.86607414698162732"/>
          <c:h val="0.68653633423555638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rgbClr val="141199"/>
              </a:solidFill>
            </a:ln>
          </c:spPr>
          <c:marker>
            <c:symbol val="none"/>
          </c:marker>
          <c:xVal>
            <c:numRef>
              <c:f>espectro!$P$4:$P$504</c:f>
              <c:numCache>
                <c:formatCode>0.000</c:formatCode>
                <c:ptCount val="5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</c:numCache>
            </c:numRef>
          </c:xVal>
          <c:yVal>
            <c:numRef>
              <c:f>espectro!$Q$4:$Q$504</c:f>
              <c:numCache>
                <c:formatCode>General</c:formatCode>
                <c:ptCount val="501"/>
                <c:pt idx="0">
                  <c:v>0.41250000000000003</c:v>
                </c:pt>
                <c:pt idx="1">
                  <c:v>0.41250000000000003</c:v>
                </c:pt>
                <c:pt idx="2">
                  <c:v>0.41250000000000003</c:v>
                </c:pt>
                <c:pt idx="3">
                  <c:v>0.41250000000000003</c:v>
                </c:pt>
                <c:pt idx="4">
                  <c:v>0.41250000000000003</c:v>
                </c:pt>
                <c:pt idx="5">
                  <c:v>0.41250000000000003</c:v>
                </c:pt>
                <c:pt idx="6">
                  <c:v>0.41250000000000003</c:v>
                </c:pt>
                <c:pt idx="7">
                  <c:v>0.41250000000000003</c:v>
                </c:pt>
                <c:pt idx="8">
                  <c:v>0.41250000000000003</c:v>
                </c:pt>
                <c:pt idx="9">
                  <c:v>0.41250000000000003</c:v>
                </c:pt>
                <c:pt idx="10">
                  <c:v>0.41250000000000003</c:v>
                </c:pt>
                <c:pt idx="11">
                  <c:v>0.41250000000000003</c:v>
                </c:pt>
                <c:pt idx="12">
                  <c:v>0.41250000000000003</c:v>
                </c:pt>
                <c:pt idx="13">
                  <c:v>0.41250000000000003</c:v>
                </c:pt>
                <c:pt idx="14">
                  <c:v>0.41250000000000003</c:v>
                </c:pt>
                <c:pt idx="15">
                  <c:v>0.41250000000000003</c:v>
                </c:pt>
                <c:pt idx="16">
                  <c:v>0.41250000000000003</c:v>
                </c:pt>
                <c:pt idx="17">
                  <c:v>0.41250000000000003</c:v>
                </c:pt>
                <c:pt idx="18">
                  <c:v>0.41250000000000003</c:v>
                </c:pt>
                <c:pt idx="19">
                  <c:v>0.41250000000000003</c:v>
                </c:pt>
                <c:pt idx="20">
                  <c:v>0.41250000000000003</c:v>
                </c:pt>
                <c:pt idx="21">
                  <c:v>0.41250000000000003</c:v>
                </c:pt>
                <c:pt idx="22">
                  <c:v>0.41250000000000003</c:v>
                </c:pt>
                <c:pt idx="23">
                  <c:v>0.41250000000000003</c:v>
                </c:pt>
                <c:pt idx="24">
                  <c:v>0.41250000000000003</c:v>
                </c:pt>
                <c:pt idx="25">
                  <c:v>0.41250000000000003</c:v>
                </c:pt>
                <c:pt idx="26">
                  <c:v>0.41250000000000003</c:v>
                </c:pt>
                <c:pt idx="27">
                  <c:v>0.41250000000000003</c:v>
                </c:pt>
                <c:pt idx="28">
                  <c:v>0.41250000000000003</c:v>
                </c:pt>
                <c:pt idx="29">
                  <c:v>0.41250000000000003</c:v>
                </c:pt>
                <c:pt idx="30">
                  <c:v>0.41250000000000003</c:v>
                </c:pt>
                <c:pt idx="31">
                  <c:v>0.41250000000000003</c:v>
                </c:pt>
                <c:pt idx="32">
                  <c:v>0.41250000000000003</c:v>
                </c:pt>
                <c:pt idx="33">
                  <c:v>0.41250000000000003</c:v>
                </c:pt>
                <c:pt idx="34">
                  <c:v>0.41250000000000003</c:v>
                </c:pt>
                <c:pt idx="35">
                  <c:v>0.41250000000000003</c:v>
                </c:pt>
                <c:pt idx="36">
                  <c:v>0.41250000000000003</c:v>
                </c:pt>
                <c:pt idx="37">
                  <c:v>0.41250000000000003</c:v>
                </c:pt>
                <c:pt idx="38">
                  <c:v>0.41250000000000003</c:v>
                </c:pt>
                <c:pt idx="39">
                  <c:v>0.41250000000000003</c:v>
                </c:pt>
                <c:pt idx="40">
                  <c:v>0.41250000000000003</c:v>
                </c:pt>
                <c:pt idx="41">
                  <c:v>0.41250000000000003</c:v>
                </c:pt>
                <c:pt idx="42">
                  <c:v>0.41250000000000003</c:v>
                </c:pt>
                <c:pt idx="43">
                  <c:v>0.41250000000000003</c:v>
                </c:pt>
                <c:pt idx="44">
                  <c:v>0.41250000000000003</c:v>
                </c:pt>
                <c:pt idx="45">
                  <c:v>0.41250000000000003</c:v>
                </c:pt>
                <c:pt idx="46">
                  <c:v>0.41250000000000003</c:v>
                </c:pt>
                <c:pt idx="47">
                  <c:v>0.41250000000000003</c:v>
                </c:pt>
                <c:pt idx="48">
                  <c:v>0.41250000000000003</c:v>
                </c:pt>
                <c:pt idx="49">
                  <c:v>0.41250000000000003</c:v>
                </c:pt>
                <c:pt idx="50">
                  <c:v>0.41250000000000003</c:v>
                </c:pt>
                <c:pt idx="51">
                  <c:v>0.41250000000000003</c:v>
                </c:pt>
                <c:pt idx="52">
                  <c:v>0.41250000000000003</c:v>
                </c:pt>
                <c:pt idx="53">
                  <c:v>0.41250000000000003</c:v>
                </c:pt>
                <c:pt idx="54">
                  <c:v>0.41250000000000003</c:v>
                </c:pt>
                <c:pt idx="55">
                  <c:v>0.41250000000000003</c:v>
                </c:pt>
                <c:pt idx="56">
                  <c:v>0.41250000000000003</c:v>
                </c:pt>
                <c:pt idx="57">
                  <c:v>0.41250000000000003</c:v>
                </c:pt>
                <c:pt idx="58">
                  <c:v>0.41250000000000003</c:v>
                </c:pt>
                <c:pt idx="59">
                  <c:v>0.41250000000000003</c:v>
                </c:pt>
                <c:pt idx="60">
                  <c:v>0.41250000000000003</c:v>
                </c:pt>
                <c:pt idx="61">
                  <c:v>0.41250000000000003</c:v>
                </c:pt>
                <c:pt idx="62">
                  <c:v>0.41250000000000003</c:v>
                </c:pt>
                <c:pt idx="63">
                  <c:v>0.41250000000000003</c:v>
                </c:pt>
                <c:pt idx="64">
                  <c:v>0.41250000000000003</c:v>
                </c:pt>
                <c:pt idx="65">
                  <c:v>0.41250000000000003</c:v>
                </c:pt>
                <c:pt idx="66">
                  <c:v>0.41250000000000003</c:v>
                </c:pt>
                <c:pt idx="67">
                  <c:v>0.41250000000000003</c:v>
                </c:pt>
                <c:pt idx="68">
                  <c:v>0.41250000000000003</c:v>
                </c:pt>
                <c:pt idx="69">
                  <c:v>0.41250000000000003</c:v>
                </c:pt>
                <c:pt idx="70">
                  <c:v>0.41250000000000003</c:v>
                </c:pt>
                <c:pt idx="71">
                  <c:v>0.41250000000000003</c:v>
                </c:pt>
                <c:pt idx="72">
                  <c:v>0.41250000000000003</c:v>
                </c:pt>
                <c:pt idx="73">
                  <c:v>0.41250000000000003</c:v>
                </c:pt>
                <c:pt idx="74">
                  <c:v>0.41250000000000003</c:v>
                </c:pt>
                <c:pt idx="75">
                  <c:v>0.41250000000000003</c:v>
                </c:pt>
                <c:pt idx="76">
                  <c:v>0.41250000000000003</c:v>
                </c:pt>
                <c:pt idx="77">
                  <c:v>0.41250000000000003</c:v>
                </c:pt>
                <c:pt idx="78">
                  <c:v>0.41250000000000003</c:v>
                </c:pt>
                <c:pt idx="79">
                  <c:v>0.41250000000000003</c:v>
                </c:pt>
                <c:pt idx="80">
                  <c:v>0.41250000000000003</c:v>
                </c:pt>
                <c:pt idx="81">
                  <c:v>0.41250000000000003</c:v>
                </c:pt>
                <c:pt idx="82">
                  <c:v>0.40975609756097559</c:v>
                </c:pt>
                <c:pt idx="83">
                  <c:v>0.40481927710843374</c:v>
                </c:pt>
                <c:pt idx="84">
                  <c:v>0.39999999999999997</c:v>
                </c:pt>
                <c:pt idx="85">
                  <c:v>0.3952941176470588</c:v>
                </c:pt>
                <c:pt idx="86">
                  <c:v>0.39069767441860459</c:v>
                </c:pt>
                <c:pt idx="87">
                  <c:v>0.38620689655172408</c:v>
                </c:pt>
                <c:pt idx="88">
                  <c:v>0.38181818181818178</c:v>
                </c:pt>
                <c:pt idx="89">
                  <c:v>0.37752808988764042</c:v>
                </c:pt>
                <c:pt idx="90">
                  <c:v>0.37333333333333329</c:v>
                </c:pt>
                <c:pt idx="91">
                  <c:v>0.3692307692307692</c:v>
                </c:pt>
                <c:pt idx="92">
                  <c:v>0.36521739130434777</c:v>
                </c:pt>
                <c:pt idx="93">
                  <c:v>0.36129032258064508</c:v>
                </c:pt>
                <c:pt idx="94">
                  <c:v>0.35744680851063826</c:v>
                </c:pt>
                <c:pt idx="95">
                  <c:v>0.35368421052631577</c:v>
                </c:pt>
                <c:pt idx="96">
                  <c:v>0.35</c:v>
                </c:pt>
                <c:pt idx="97">
                  <c:v>0.34639175257731958</c:v>
                </c:pt>
                <c:pt idx="98">
                  <c:v>0.3428571428571428</c:v>
                </c:pt>
                <c:pt idx="99">
                  <c:v>0.33939393939393936</c:v>
                </c:pt>
                <c:pt idx="100">
                  <c:v>0.33599999999999997</c:v>
                </c:pt>
                <c:pt idx="101">
                  <c:v>0.33267326732673264</c:v>
                </c:pt>
                <c:pt idx="102">
                  <c:v>0.32941176470588229</c:v>
                </c:pt>
                <c:pt idx="103">
                  <c:v>0.32621359223300966</c:v>
                </c:pt>
                <c:pt idx="104">
                  <c:v>0.32307692307692304</c:v>
                </c:pt>
                <c:pt idx="105">
                  <c:v>0.31999999999999995</c:v>
                </c:pt>
                <c:pt idx="106">
                  <c:v>0.31698113207547163</c:v>
                </c:pt>
                <c:pt idx="107">
                  <c:v>0.31401869158878498</c:v>
                </c:pt>
                <c:pt idx="108">
                  <c:v>0.31111111111111106</c:v>
                </c:pt>
                <c:pt idx="109">
                  <c:v>0.30825688073394492</c:v>
                </c:pt>
                <c:pt idx="110">
                  <c:v>0.30545454545454542</c:v>
                </c:pt>
                <c:pt idx="111">
                  <c:v>0.30270270270270266</c:v>
                </c:pt>
                <c:pt idx="112">
                  <c:v>0.29999999999999993</c:v>
                </c:pt>
                <c:pt idx="113">
                  <c:v>0.29734513274336283</c:v>
                </c:pt>
                <c:pt idx="114">
                  <c:v>0.29473684210526313</c:v>
                </c:pt>
                <c:pt idx="115">
                  <c:v>0.29217391304347823</c:v>
                </c:pt>
                <c:pt idx="116">
                  <c:v>0.28965517241379307</c:v>
                </c:pt>
                <c:pt idx="117">
                  <c:v>0.28717948717948716</c:v>
                </c:pt>
                <c:pt idx="118">
                  <c:v>0.28474576271186441</c:v>
                </c:pt>
                <c:pt idx="119">
                  <c:v>0.28235294117647058</c:v>
                </c:pt>
                <c:pt idx="120">
                  <c:v>0.27999999999999997</c:v>
                </c:pt>
                <c:pt idx="121">
                  <c:v>0.27768595041322314</c:v>
                </c:pt>
                <c:pt idx="122">
                  <c:v>0.27540983606557373</c:v>
                </c:pt>
                <c:pt idx="123">
                  <c:v>0.27317073170731704</c:v>
                </c:pt>
                <c:pt idx="124">
                  <c:v>0.27096774193548384</c:v>
                </c:pt>
                <c:pt idx="125">
                  <c:v>0.26879999999999998</c:v>
                </c:pt>
                <c:pt idx="126">
                  <c:v>0.26666666666666666</c:v>
                </c:pt>
                <c:pt idx="127">
                  <c:v>0.26456692913385826</c:v>
                </c:pt>
                <c:pt idx="128">
                  <c:v>0.26249999999999996</c:v>
                </c:pt>
                <c:pt idx="129">
                  <c:v>0.26046511627906971</c:v>
                </c:pt>
                <c:pt idx="130">
                  <c:v>0.25846153846153841</c:v>
                </c:pt>
                <c:pt idx="131">
                  <c:v>0.25648854961832057</c:v>
                </c:pt>
                <c:pt idx="132">
                  <c:v>0.25454545454545452</c:v>
                </c:pt>
                <c:pt idx="133">
                  <c:v>0.25263157894736837</c:v>
                </c:pt>
                <c:pt idx="134">
                  <c:v>0.2507462686567164</c:v>
                </c:pt>
                <c:pt idx="135">
                  <c:v>0.24888888888888885</c:v>
                </c:pt>
                <c:pt idx="136">
                  <c:v>0.24705882352941172</c:v>
                </c:pt>
                <c:pt idx="137">
                  <c:v>0.24525547445255469</c:v>
                </c:pt>
                <c:pt idx="138">
                  <c:v>0.2434782608695652</c:v>
                </c:pt>
                <c:pt idx="139">
                  <c:v>0.24172661870503595</c:v>
                </c:pt>
                <c:pt idx="140">
                  <c:v>0.24</c:v>
                </c:pt>
                <c:pt idx="141">
                  <c:v>0.23829787234042552</c:v>
                </c:pt>
                <c:pt idx="142">
                  <c:v>0.23661971830985915</c:v>
                </c:pt>
                <c:pt idx="143">
                  <c:v>0.23496503496503496</c:v>
                </c:pt>
                <c:pt idx="144">
                  <c:v>0.23333333333333331</c:v>
                </c:pt>
                <c:pt idx="145">
                  <c:v>0.23172413793103447</c:v>
                </c:pt>
                <c:pt idx="146">
                  <c:v>0.23013698630136983</c:v>
                </c:pt>
                <c:pt idx="147">
                  <c:v>0.22857142857142856</c:v>
                </c:pt>
                <c:pt idx="148">
                  <c:v>0.22702702702702701</c:v>
                </c:pt>
                <c:pt idx="149">
                  <c:v>0.22550335570469796</c:v>
                </c:pt>
                <c:pt idx="150">
                  <c:v>0.22399999999999998</c:v>
                </c:pt>
                <c:pt idx="151">
                  <c:v>0.22251655629139069</c:v>
                </c:pt>
                <c:pt idx="152">
                  <c:v>0.22105263157894733</c:v>
                </c:pt>
                <c:pt idx="153">
                  <c:v>0.21960784313725487</c:v>
                </c:pt>
                <c:pt idx="154">
                  <c:v>0.21818181818181814</c:v>
                </c:pt>
                <c:pt idx="155">
                  <c:v>0.21677419354838706</c:v>
                </c:pt>
                <c:pt idx="156">
                  <c:v>0.21538461538461537</c:v>
                </c:pt>
                <c:pt idx="157">
                  <c:v>0.21401273885350316</c:v>
                </c:pt>
                <c:pt idx="158">
                  <c:v>0.21265822784810123</c:v>
                </c:pt>
                <c:pt idx="159">
                  <c:v>0.21132075471698111</c:v>
                </c:pt>
                <c:pt idx="160">
                  <c:v>0.20999999999999996</c:v>
                </c:pt>
                <c:pt idx="161">
                  <c:v>0.208695652173913</c:v>
                </c:pt>
                <c:pt idx="162">
                  <c:v>0.20740740740740737</c:v>
                </c:pt>
                <c:pt idx="163">
                  <c:v>0.20613496932515338</c:v>
                </c:pt>
                <c:pt idx="164">
                  <c:v>0.20487804878048779</c:v>
                </c:pt>
                <c:pt idx="165">
                  <c:v>0.20363636363636362</c:v>
                </c:pt>
                <c:pt idx="166">
                  <c:v>0.20240963855421687</c:v>
                </c:pt>
                <c:pt idx="167">
                  <c:v>0.20119760479041915</c:v>
                </c:pt>
                <c:pt idx="168">
                  <c:v>0.19999999999999998</c:v>
                </c:pt>
                <c:pt idx="169">
                  <c:v>0.19881656804733727</c:v>
                </c:pt>
                <c:pt idx="170">
                  <c:v>0.1976470588235294</c:v>
                </c:pt>
                <c:pt idx="171">
                  <c:v>0.19649122807017541</c:v>
                </c:pt>
                <c:pt idx="172">
                  <c:v>0.1953488372093023</c:v>
                </c:pt>
                <c:pt idx="173">
                  <c:v>0.19421965317919074</c:v>
                </c:pt>
                <c:pt idx="174">
                  <c:v>0.19310344827586204</c:v>
                </c:pt>
                <c:pt idx="175">
                  <c:v>0.19199999999999998</c:v>
                </c:pt>
                <c:pt idx="176">
                  <c:v>0.19090909090909089</c:v>
                </c:pt>
                <c:pt idx="177">
                  <c:v>0.18983050847457625</c:v>
                </c:pt>
                <c:pt idx="178">
                  <c:v>0.18876404494382021</c:v>
                </c:pt>
                <c:pt idx="179">
                  <c:v>0.18770949720670388</c:v>
                </c:pt>
                <c:pt idx="180">
                  <c:v>0.18666666666666665</c:v>
                </c:pt>
                <c:pt idx="181">
                  <c:v>0.18563535911602208</c:v>
                </c:pt>
                <c:pt idx="182">
                  <c:v>0.1846153846153846</c:v>
                </c:pt>
                <c:pt idx="183">
                  <c:v>0.18360655737704915</c:v>
                </c:pt>
                <c:pt idx="184">
                  <c:v>0.18260869565217389</c:v>
                </c:pt>
                <c:pt idx="185">
                  <c:v>0.1816216216216216</c:v>
                </c:pt>
                <c:pt idx="186">
                  <c:v>0.18064516129032254</c:v>
                </c:pt>
                <c:pt idx="187">
                  <c:v>0.17967914438502672</c:v>
                </c:pt>
                <c:pt idx="188">
                  <c:v>0.17872340425531913</c:v>
                </c:pt>
                <c:pt idx="189">
                  <c:v>0.17777777777777776</c:v>
                </c:pt>
                <c:pt idx="190">
                  <c:v>0.17684210526315788</c:v>
                </c:pt>
                <c:pt idx="191">
                  <c:v>0.17591623036649215</c:v>
                </c:pt>
                <c:pt idx="192">
                  <c:v>0.17499999999999999</c:v>
                </c:pt>
                <c:pt idx="193">
                  <c:v>0.17409326424870464</c:v>
                </c:pt>
                <c:pt idx="194">
                  <c:v>0.17319587628865979</c:v>
                </c:pt>
                <c:pt idx="195">
                  <c:v>0.1723076923076923</c:v>
                </c:pt>
                <c:pt idx="196">
                  <c:v>0.1714285714285714</c:v>
                </c:pt>
                <c:pt idx="197">
                  <c:v>0.17055837563451776</c:v>
                </c:pt>
                <c:pt idx="198">
                  <c:v>0.16969696969696968</c:v>
                </c:pt>
                <c:pt idx="199">
                  <c:v>0.16884422110552763</c:v>
                </c:pt>
                <c:pt idx="200">
                  <c:v>0.16799999999999998</c:v>
                </c:pt>
                <c:pt idx="201">
                  <c:v>0.16633251652186828</c:v>
                </c:pt>
                <c:pt idx="202">
                  <c:v>0.16468973630036268</c:v>
                </c:pt>
                <c:pt idx="203">
                  <c:v>0.16307117377271957</c:v>
                </c:pt>
                <c:pt idx="204">
                  <c:v>0.16147635524798154</c:v>
                </c:pt>
                <c:pt idx="205">
                  <c:v>0.15990481856038072</c:v>
                </c:pt>
                <c:pt idx="206">
                  <c:v>0.15835611273447073</c:v>
                </c:pt>
                <c:pt idx="207">
                  <c:v>0.15682979766155569</c:v>
                </c:pt>
                <c:pt idx="208">
                  <c:v>0.15532544378698221</c:v>
                </c:pt>
                <c:pt idx="209">
                  <c:v>0.15384263180787988</c:v>
                </c:pt>
                <c:pt idx="210">
                  <c:v>0.15238095238095237</c:v>
                </c:pt>
                <c:pt idx="211">
                  <c:v>0.15094000583994069</c:v>
                </c:pt>
                <c:pt idx="212">
                  <c:v>0.14951940192239227</c:v>
                </c:pt>
                <c:pt idx="213">
                  <c:v>0.14811875950538916</c:v>
                </c:pt>
                <c:pt idx="214">
                  <c:v>0.14673770634989955</c:v>
                </c:pt>
                <c:pt idx="215">
                  <c:v>0.14537587885343428</c:v>
                </c:pt>
                <c:pt idx="216">
                  <c:v>0.14403292181069957</c:v>
                </c:pt>
                <c:pt idx="217">
                  <c:v>0.14270848818195331</c:v>
                </c:pt>
                <c:pt idx="218">
                  <c:v>0.14140223886878206</c:v>
                </c:pt>
                <c:pt idx="219">
                  <c:v>0.14011384249702882</c:v>
                </c:pt>
                <c:pt idx="220">
                  <c:v>0.13884297520661154</c:v>
                </c:pt>
                <c:pt idx="221">
                  <c:v>0.13758932044798425</c:v>
                </c:pt>
                <c:pt idx="222">
                  <c:v>0.13635256878500118</c:v>
                </c:pt>
                <c:pt idx="223">
                  <c:v>0.13513241770395543</c:v>
                </c:pt>
                <c:pt idx="224">
                  <c:v>0.1339285714285714</c:v>
                </c:pt>
                <c:pt idx="225">
                  <c:v>0.13274074074074071</c:v>
                </c:pt>
                <c:pt idx="226">
                  <c:v>0.13156864280679773</c:v>
                </c:pt>
                <c:pt idx="227">
                  <c:v>0.13041200100914047</c:v>
                </c:pt>
                <c:pt idx="228">
                  <c:v>0.12927054478301014</c:v>
                </c:pt>
                <c:pt idx="229">
                  <c:v>0.1281440094582483</c:v>
                </c:pt>
                <c:pt idx="230">
                  <c:v>0.12703213610586012</c:v>
                </c:pt>
                <c:pt idx="231">
                  <c:v>0.12593467138921682</c:v>
                </c:pt>
                <c:pt idx="232">
                  <c:v>0.1248513674197384</c:v>
                </c:pt>
                <c:pt idx="233">
                  <c:v>0.12378198161690211</c:v>
                </c:pt>
                <c:pt idx="234">
                  <c:v>0.12272627657243043</c:v>
                </c:pt>
                <c:pt idx="235">
                  <c:v>0.12168401991851513</c:v>
                </c:pt>
                <c:pt idx="236">
                  <c:v>0.12065498419994254</c:v>
                </c:pt>
                <c:pt idx="237">
                  <c:v>0.11963894674998662</c:v>
                </c:pt>
                <c:pt idx="238">
                  <c:v>0.11863568956994562</c:v>
                </c:pt>
                <c:pt idx="239">
                  <c:v>0.11764499921219865</c:v>
                </c:pt>
                <c:pt idx="240">
                  <c:v>0.11666666666666665</c:v>
                </c:pt>
                <c:pt idx="241">
                  <c:v>0.11570048725056385</c:v>
                </c:pt>
                <c:pt idx="242">
                  <c:v>0.11474626050133187</c:v>
                </c:pt>
                <c:pt idx="243">
                  <c:v>0.11380379007265151</c:v>
                </c:pt>
                <c:pt idx="244">
                  <c:v>0.11287288363343187</c:v>
                </c:pt>
                <c:pt idx="245">
                  <c:v>0.11195335276967927</c:v>
                </c:pt>
                <c:pt idx="246">
                  <c:v>0.11104501288915328</c:v>
                </c:pt>
                <c:pt idx="247">
                  <c:v>0.11014768312871868</c:v>
                </c:pt>
                <c:pt idx="248">
                  <c:v>0.109261186264308</c:v>
                </c:pt>
                <c:pt idx="249">
                  <c:v>0.10838534862340928</c:v>
                </c:pt>
                <c:pt idx="250">
                  <c:v>0.10751999999999999</c:v>
                </c:pt>
                <c:pt idx="251">
                  <c:v>0.10666497357184808</c:v>
                </c:pt>
                <c:pt idx="252">
                  <c:v>0.1058201058201058</c:v>
                </c:pt>
                <c:pt idx="253">
                  <c:v>0.10498523645112406</c:v>
                </c:pt>
                <c:pt idx="254">
                  <c:v>0.10416020832041663</c:v>
                </c:pt>
                <c:pt idx="255">
                  <c:v>0.10334486735870818</c:v>
                </c:pt>
                <c:pt idx="256">
                  <c:v>0.10253906249999999</c:v>
                </c:pt>
                <c:pt idx="257">
                  <c:v>0.1017426456115914</c:v>
                </c:pt>
                <c:pt idx="258">
                  <c:v>0.10095547142599602</c:v>
                </c:pt>
                <c:pt idx="259">
                  <c:v>0.10017739747469477</c:v>
                </c:pt>
                <c:pt idx="260">
                  <c:v>9.9408284023668622E-2</c:v>
                </c:pt>
                <c:pt idx="261">
                  <c:v>9.8647994010657505E-2</c:v>
                </c:pt>
                <c:pt idx="262">
                  <c:v>9.7896392984091821E-2</c:v>
                </c:pt>
                <c:pt idx="263">
                  <c:v>9.7153349043646725E-2</c:v>
                </c:pt>
                <c:pt idx="264">
                  <c:v>9.6418732782369121E-2</c:v>
                </c:pt>
                <c:pt idx="265">
                  <c:v>9.5692417230331075E-2</c:v>
                </c:pt>
                <c:pt idx="266">
                  <c:v>9.4974277799762544E-2</c:v>
                </c:pt>
                <c:pt idx="267">
                  <c:v>9.426419223162058E-2</c:v>
                </c:pt>
                <c:pt idx="268">
                  <c:v>9.356204054355087E-2</c:v>
                </c:pt>
                <c:pt idx="269">
                  <c:v>9.2867704979201507E-2</c:v>
                </c:pt>
                <c:pt idx="270">
                  <c:v>9.2181069958847714E-2</c:v>
                </c:pt>
                <c:pt idx="271">
                  <c:v>9.1502022031290417E-2</c:v>
                </c:pt>
                <c:pt idx="272">
                  <c:v>9.0830449826989595E-2</c:v>
                </c:pt>
                <c:pt idx="273">
                  <c:v>9.0166244012397853E-2</c:v>
                </c:pt>
                <c:pt idx="274">
                  <c:v>8.9509297245457919E-2</c:v>
                </c:pt>
                <c:pt idx="275">
                  <c:v>8.8859504132231398E-2</c:v>
                </c:pt>
                <c:pt idx="276">
                  <c:v>8.8216761184625084E-2</c:v>
                </c:pt>
                <c:pt idx="277">
                  <c:v>8.7580966779183866E-2</c:v>
                </c:pt>
                <c:pt idx="278">
                  <c:v>8.6952021116919423E-2</c:v>
                </c:pt>
                <c:pt idx="279">
                  <c:v>8.6329826184144587E-2</c:v>
                </c:pt>
                <c:pt idx="280">
                  <c:v>8.5714285714285715E-2</c:v>
                </c:pt>
                <c:pt idx="281">
                  <c:v>8.5105305150643976E-2</c:v>
                </c:pt>
                <c:pt idx="282">
                  <c:v>8.450279161007998E-2</c:v>
                </c:pt>
                <c:pt idx="283">
                  <c:v>8.3906653847594534E-2</c:v>
                </c:pt>
                <c:pt idx="284">
                  <c:v>8.331680222178138E-2</c:v>
                </c:pt>
                <c:pt idx="285">
                  <c:v>8.2733148661126493E-2</c:v>
                </c:pt>
                <c:pt idx="286">
                  <c:v>8.2155606631131112E-2</c:v>
                </c:pt>
                <c:pt idx="287">
                  <c:v>8.1584091102235051E-2</c:v>
                </c:pt>
                <c:pt idx="288">
                  <c:v>8.1018518518518517E-2</c:v>
                </c:pt>
                <c:pt idx="289">
                  <c:v>8.0458806767160343E-2</c:v>
                </c:pt>
                <c:pt idx="290">
                  <c:v>7.9904875148632565E-2</c:v>
                </c:pt>
                <c:pt idx="291">
                  <c:v>7.9356644347610417E-2</c:v>
                </c:pt>
                <c:pt idx="292">
                  <c:v>7.8814036404578722E-2</c:v>
                </c:pt>
                <c:pt idx="293">
                  <c:v>7.8276974688115161E-2</c:v>
                </c:pt>
                <c:pt idx="294">
                  <c:v>7.7745383867832848E-2</c:v>
                </c:pt>
                <c:pt idx="295">
                  <c:v>7.721918988796321E-2</c:v>
                </c:pt>
                <c:pt idx="296">
                  <c:v>7.6698319941563176E-2</c:v>
                </c:pt>
                <c:pt idx="297">
                  <c:v>7.6182702445328682E-2</c:v>
                </c:pt>
                <c:pt idx="298">
                  <c:v>7.5672267014999323E-2</c:v>
                </c:pt>
                <c:pt idx="299">
                  <c:v>7.5166944441337327E-2</c:v>
                </c:pt>
                <c:pt idx="300">
                  <c:v>7.4666666666666659E-2</c:v>
                </c:pt>
                <c:pt idx="301">
                  <c:v>7.4171366761956278E-2</c:v>
                </c:pt>
                <c:pt idx="302">
                  <c:v>7.3680978904434008E-2</c:v>
                </c:pt>
                <c:pt idx="303">
                  <c:v>7.3195438355716763E-2</c:v>
                </c:pt>
                <c:pt idx="304">
                  <c:v>7.2714681440443199E-2</c:v>
                </c:pt>
                <c:pt idx="305">
                  <c:v>7.2238645525396397E-2</c:v>
                </c:pt>
                <c:pt idx="306">
                  <c:v>7.1767268999102907E-2</c:v>
                </c:pt>
                <c:pt idx="307">
                  <c:v>7.1300491251896567E-2</c:v>
                </c:pt>
                <c:pt idx="308">
                  <c:v>7.0838252656434467E-2</c:v>
                </c:pt>
                <c:pt idx="309">
                  <c:v>7.0380494548653652E-2</c:v>
                </c:pt>
                <c:pt idx="310">
                  <c:v>6.9927159209157111E-2</c:v>
                </c:pt>
                <c:pt idx="311">
                  <c:v>6.9478189845018148E-2</c:v>
                </c:pt>
                <c:pt idx="312">
                  <c:v>6.9033530571992102E-2</c:v>
                </c:pt>
                <c:pt idx="313">
                  <c:v>6.8593126397125614E-2</c:v>
                </c:pt>
                <c:pt idx="314">
                  <c:v>6.8156923201752595E-2</c:v>
                </c:pt>
                <c:pt idx="315">
                  <c:v>6.7724867724867716E-2</c:v>
                </c:pt>
                <c:pt idx="316">
                  <c:v>6.7296907546867471E-2</c:v>
                </c:pt>
                <c:pt idx="317">
                  <c:v>6.6872991073649843E-2</c:v>
                </c:pt>
                <c:pt idx="318">
                  <c:v>6.6453067521063239E-2</c:v>
                </c:pt>
                <c:pt idx="319">
                  <c:v>6.603708689969634E-2</c:v>
                </c:pt>
                <c:pt idx="320">
                  <c:v>6.5624999999999975E-2</c:v>
                </c:pt>
                <c:pt idx="321">
                  <c:v>6.5216758377733122E-2</c:v>
                </c:pt>
                <c:pt idx="322">
                  <c:v>6.4812314339724536E-2</c:v>
                </c:pt>
                <c:pt idx="323">
                  <c:v>6.4411620929942764E-2</c:v>
                </c:pt>
                <c:pt idx="324">
                  <c:v>6.4014631915866468E-2</c:v>
                </c:pt>
                <c:pt idx="325">
                  <c:v>6.3621301775147923E-2</c:v>
                </c:pt>
                <c:pt idx="326">
                  <c:v>6.3231585682562388E-2</c:v>
                </c:pt>
                <c:pt idx="327">
                  <c:v>6.2845439497236477E-2</c:v>
                </c:pt>
                <c:pt idx="328">
                  <c:v>6.2462819750148724E-2</c:v>
                </c:pt>
                <c:pt idx="329">
                  <c:v>6.2083683631895488E-2</c:v>
                </c:pt>
                <c:pt idx="330">
                  <c:v>6.1707988980716257E-2</c:v>
                </c:pt>
                <c:pt idx="331">
                  <c:v>6.1335694270771519E-2</c:v>
                </c:pt>
                <c:pt idx="332">
                  <c:v>6.0966758600667727E-2</c:v>
                </c:pt>
                <c:pt idx="333">
                  <c:v>6.0601141682222755E-2</c:v>
                </c:pt>
                <c:pt idx="334">
                  <c:v>6.0238803829466808E-2</c:v>
                </c:pt>
                <c:pt idx="335">
                  <c:v>5.987970594787257E-2</c:v>
                </c:pt>
                <c:pt idx="336">
                  <c:v>5.9523809523809527E-2</c:v>
                </c:pt>
                <c:pt idx="337">
                  <c:v>5.9171076614216896E-2</c:v>
                </c:pt>
                <c:pt idx="338">
                  <c:v>5.8821469836490323E-2</c:v>
                </c:pt>
                <c:pt idx="339">
                  <c:v>5.8474952358576755E-2</c:v>
                </c:pt>
                <c:pt idx="340">
                  <c:v>5.8131487889273359E-2</c:v>
                </c:pt>
                <c:pt idx="341">
                  <c:v>5.7791040668724883E-2</c:v>
                </c:pt>
                <c:pt idx="342">
                  <c:v>5.7453575459115627E-2</c:v>
                </c:pt>
                <c:pt idx="343">
                  <c:v>5.7119057535550653E-2</c:v>
                </c:pt>
                <c:pt idx="344">
                  <c:v>5.678745267712277E-2</c:v>
                </c:pt>
                <c:pt idx="345">
                  <c:v>5.6458727158160034E-2</c:v>
                </c:pt>
                <c:pt idx="346">
                  <c:v>5.61328477396505E-2</c:v>
                </c:pt>
                <c:pt idx="347">
                  <c:v>5.5809781660839296E-2</c:v>
                </c:pt>
                <c:pt idx="348">
                  <c:v>5.5489496630994839E-2</c:v>
                </c:pt>
                <c:pt idx="349">
                  <c:v>5.5171960821339718E-2</c:v>
                </c:pt>
                <c:pt idx="350">
                  <c:v>5.4857142857142854E-2</c:v>
                </c:pt>
                <c:pt idx="351">
                  <c:v>5.4545011809969075E-2</c:v>
                </c:pt>
                <c:pt idx="352">
                  <c:v>5.4235537190082637E-2</c:v>
                </c:pt>
                <c:pt idx="353">
                  <c:v>5.3928688939001199E-2</c:v>
                </c:pt>
                <c:pt idx="354">
                  <c:v>5.3624437422196677E-2</c:v>
                </c:pt>
                <c:pt idx="355">
                  <c:v>5.3322753421940088E-2</c:v>
                </c:pt>
                <c:pt idx="356">
                  <c:v>5.3023608130286573E-2</c:v>
                </c:pt>
                <c:pt idx="357">
                  <c:v>5.2726973142198055E-2</c:v>
                </c:pt>
                <c:pt idx="358">
                  <c:v>5.2432820448799967E-2</c:v>
                </c:pt>
                <c:pt idx="359">
                  <c:v>5.2141122430769467E-2</c:v>
                </c:pt>
                <c:pt idx="360">
                  <c:v>5.1851851851851843E-2</c:v>
                </c:pt>
                <c:pt idx="361">
                  <c:v>5.1564981852502662E-2</c:v>
                </c:pt>
                <c:pt idx="362">
                  <c:v>5.1280485943652511E-2</c:v>
                </c:pt>
                <c:pt idx="363">
                  <c:v>5.099833800059194E-2</c:v>
                </c:pt>
                <c:pt idx="364">
                  <c:v>5.071851225697379E-2</c:v>
                </c:pt>
                <c:pt idx="365">
                  <c:v>5.0440983298930375E-2</c:v>
                </c:pt>
                <c:pt idx="366">
                  <c:v>5.0165726059303042E-2</c:v>
                </c:pt>
                <c:pt idx="367">
                  <c:v>4.9892715811981674E-2</c:v>
                </c:pt>
                <c:pt idx="368">
                  <c:v>4.9621928166351602E-2</c:v>
                </c:pt>
                <c:pt idx="369">
                  <c:v>4.9353339061845899E-2</c:v>
                </c:pt>
                <c:pt idx="370">
                  <c:v>4.9086924762600431E-2</c:v>
                </c:pt>
                <c:pt idx="371">
                  <c:v>4.882266185220973E-2</c:v>
                </c:pt>
                <c:pt idx="372">
                  <c:v>4.8560527228581327E-2</c:v>
                </c:pt>
                <c:pt idx="373">
                  <c:v>4.8300498098886639E-2</c:v>
                </c:pt>
                <c:pt idx="374">
                  <c:v>4.8042551974606065E-2</c:v>
                </c:pt>
                <c:pt idx="375">
                  <c:v>4.7786666666666665E-2</c:v>
                </c:pt>
                <c:pt idx="376">
                  <c:v>4.7532820280669984E-2</c:v>
                </c:pt>
                <c:pt idx="377">
                  <c:v>4.7280991212208627E-2</c:v>
                </c:pt>
                <c:pt idx="378">
                  <c:v>4.7031158142269248E-2</c:v>
                </c:pt>
                <c:pt idx="379">
                  <c:v>4.6783300032720458E-2</c:v>
                </c:pt>
                <c:pt idx="380">
                  <c:v>4.6537396121883651E-2</c:v>
                </c:pt>
                <c:pt idx="381">
                  <c:v>4.629342592018517E-2</c:v>
                </c:pt>
                <c:pt idx="382">
                  <c:v>4.6051369205887996E-2</c:v>
                </c:pt>
                <c:pt idx="383">
                  <c:v>4.5811206020901357E-2</c:v>
                </c:pt>
                <c:pt idx="384">
                  <c:v>4.5572916666666664E-2</c:v>
                </c:pt>
                <c:pt idx="385">
                  <c:v>4.5336481700118052E-2</c:v>
                </c:pt>
                <c:pt idx="386">
                  <c:v>4.5101881929716231E-2</c:v>
                </c:pt>
                <c:pt idx="387">
                  <c:v>4.4869098411553787E-2</c:v>
                </c:pt>
                <c:pt idx="388">
                  <c:v>4.463811244553087E-2</c:v>
                </c:pt>
                <c:pt idx="389">
                  <c:v>4.440890557159944E-2</c:v>
                </c:pt>
                <c:pt idx="390">
                  <c:v>4.418145956607495E-2</c:v>
                </c:pt>
                <c:pt idx="391">
                  <c:v>4.3955756438013874E-2</c:v>
                </c:pt>
                <c:pt idx="392">
                  <c:v>4.3731778425655975E-2</c:v>
                </c:pt>
                <c:pt idx="393">
                  <c:v>4.35095079929297E-2</c:v>
                </c:pt>
                <c:pt idx="394">
                  <c:v>4.328892782601973E-2</c:v>
                </c:pt>
                <c:pt idx="395">
                  <c:v>4.3070020829995184E-2</c:v>
                </c:pt>
                <c:pt idx="396">
                  <c:v>4.2852770125497396E-2</c:v>
                </c:pt>
                <c:pt idx="397">
                  <c:v>4.263715904548597E-2</c:v>
                </c:pt>
                <c:pt idx="398">
                  <c:v>4.2423171132042116E-2</c:v>
                </c:pt>
                <c:pt idx="399">
                  <c:v>4.2210790133227795E-2</c:v>
                </c:pt>
                <c:pt idx="400">
                  <c:v>4.1999999999999996E-2</c:v>
                </c:pt>
                <c:pt idx="401">
                  <c:v>4.179078488317859E-2</c:v>
                </c:pt>
                <c:pt idx="402">
                  <c:v>4.1583129130467071E-2</c:v>
                </c:pt>
                <c:pt idx="403">
                  <c:v>4.1377017283524914E-2</c:v>
                </c:pt>
                <c:pt idx="404">
                  <c:v>4.1172434075090671E-2</c:v>
                </c:pt>
                <c:pt idx="405">
                  <c:v>4.0969364426154543E-2</c:v>
                </c:pt>
                <c:pt idx="406">
                  <c:v>4.0767793443179892E-2</c:v>
                </c:pt>
                <c:pt idx="407">
                  <c:v>4.0567706415372252E-2</c:v>
                </c:pt>
                <c:pt idx="408">
                  <c:v>4.0369088811995385E-2</c:v>
                </c:pt>
                <c:pt idx="409">
                  <c:v>4.0171926279732907E-2</c:v>
                </c:pt>
                <c:pt idx="410">
                  <c:v>3.997620464009518E-2</c:v>
                </c:pt>
                <c:pt idx="411">
                  <c:v>3.9781909886870186E-2</c:v>
                </c:pt>
                <c:pt idx="412">
                  <c:v>3.9589028183617682E-2</c:v>
                </c:pt>
                <c:pt idx="413">
                  <c:v>3.9397545861205731E-2</c:v>
                </c:pt>
                <c:pt idx="414">
                  <c:v>3.9207449415388923E-2</c:v>
                </c:pt>
                <c:pt idx="415">
                  <c:v>3.9018725504427337E-2</c:v>
                </c:pt>
                <c:pt idx="416">
                  <c:v>3.8831360946745552E-2</c:v>
                </c:pt>
                <c:pt idx="417">
                  <c:v>3.8645342718630848E-2</c:v>
                </c:pt>
                <c:pt idx="418">
                  <c:v>3.846065795196997E-2</c:v>
                </c:pt>
                <c:pt idx="419">
                  <c:v>3.8277293932023615E-2</c:v>
                </c:pt>
                <c:pt idx="420">
                  <c:v>3.8095238095238092E-2</c:v>
                </c:pt>
                <c:pt idx="421">
                  <c:v>3.7914478027093051E-2</c:v>
                </c:pt>
                <c:pt idx="422">
                  <c:v>3.7735001459985172E-2</c:v>
                </c:pt>
                <c:pt idx="423">
                  <c:v>3.7556796271146643E-2</c:v>
                </c:pt>
                <c:pt idx="424">
                  <c:v>3.7379850480598067E-2</c:v>
                </c:pt>
                <c:pt idx="425">
                  <c:v>3.7204152249134946E-2</c:v>
                </c:pt>
                <c:pt idx="426">
                  <c:v>3.7029689876347291E-2</c:v>
                </c:pt>
                <c:pt idx="427">
                  <c:v>3.6856451798671634E-2</c:v>
                </c:pt>
                <c:pt idx="428">
                  <c:v>3.6684426587474887E-2</c:v>
                </c:pt>
                <c:pt idx="429">
                  <c:v>3.6513602947169377E-2</c:v>
                </c:pt>
                <c:pt idx="430">
                  <c:v>3.634396971335857E-2</c:v>
                </c:pt>
                <c:pt idx="431">
                  <c:v>3.6175515851012863E-2</c:v>
                </c:pt>
                <c:pt idx="432">
                  <c:v>3.6008230452674893E-2</c:v>
                </c:pt>
                <c:pt idx="433">
                  <c:v>3.5842102736693887E-2</c:v>
                </c:pt>
                <c:pt idx="434">
                  <c:v>3.5677122045488327E-2</c:v>
                </c:pt>
                <c:pt idx="435">
                  <c:v>3.5513277843836705E-2</c:v>
                </c:pt>
                <c:pt idx="436">
                  <c:v>3.5350559717195515E-2</c:v>
                </c:pt>
                <c:pt idx="437">
                  <c:v>3.5188957370044349E-2</c:v>
                </c:pt>
                <c:pt idx="438">
                  <c:v>3.5028460624257206E-2</c:v>
                </c:pt>
                <c:pt idx="439">
                  <c:v>3.4869059417499911E-2</c:v>
                </c:pt>
                <c:pt idx="440">
                  <c:v>3.4710743801652885E-2</c:v>
                </c:pt>
                <c:pt idx="441">
                  <c:v>3.4553503941259042E-2</c:v>
                </c:pt>
                <c:pt idx="442">
                  <c:v>3.4397330111996062E-2</c:v>
                </c:pt>
                <c:pt idx="443">
                  <c:v>3.4242212699172991E-2</c:v>
                </c:pt>
                <c:pt idx="444">
                  <c:v>3.4088142196250296E-2</c:v>
                </c:pt>
                <c:pt idx="445">
                  <c:v>3.3935109203383405E-2</c:v>
                </c:pt>
                <c:pt idx="446">
                  <c:v>3.3783104425988857E-2</c:v>
                </c:pt>
                <c:pt idx="447">
                  <c:v>3.3632118673333031E-2</c:v>
                </c:pt>
                <c:pt idx="448">
                  <c:v>3.3482142857142849E-2</c:v>
                </c:pt>
                <c:pt idx="449">
                  <c:v>3.3333167990238131E-2</c:v>
                </c:pt>
                <c:pt idx="450">
                  <c:v>3.3185185185185179E-2</c:v>
                </c:pt>
                <c:pt idx="451">
                  <c:v>3.3038185652971223E-2</c:v>
                </c:pt>
                <c:pt idx="452">
                  <c:v>3.2892160701699431E-2</c:v>
                </c:pt>
                <c:pt idx="453">
                  <c:v>3.2747101735303999E-2</c:v>
                </c:pt>
                <c:pt idx="454">
                  <c:v>3.2603000252285116E-2</c:v>
                </c:pt>
                <c:pt idx="455">
                  <c:v>3.2459847844463229E-2</c:v>
                </c:pt>
                <c:pt idx="456">
                  <c:v>3.2317636195752536E-2</c:v>
                </c:pt>
                <c:pt idx="457">
                  <c:v>3.2176357080953219E-2</c:v>
                </c:pt>
                <c:pt idx="458">
                  <c:v>3.2036002364562076E-2</c:v>
                </c:pt>
                <c:pt idx="459">
                  <c:v>3.1896563999601293E-2</c:v>
                </c:pt>
                <c:pt idx="460">
                  <c:v>3.1758034026465029E-2</c:v>
                </c:pt>
                <c:pt idx="461">
                  <c:v>3.1620404571783486E-2</c:v>
                </c:pt>
                <c:pt idx="462">
                  <c:v>3.1483667847304206E-2</c:v>
                </c:pt>
                <c:pt idx="463">
                  <c:v>3.1347816148790168E-2</c:v>
                </c:pt>
                <c:pt idx="464">
                  <c:v>3.12128418549346E-2</c:v>
                </c:pt>
                <c:pt idx="465">
                  <c:v>3.1078737426292049E-2</c:v>
                </c:pt>
                <c:pt idx="466">
                  <c:v>3.0945495404225528E-2</c:v>
                </c:pt>
                <c:pt idx="467">
                  <c:v>3.0813108409869366E-2</c:v>
                </c:pt>
                <c:pt idx="468">
                  <c:v>3.0681569143107608E-2</c:v>
                </c:pt>
                <c:pt idx="469">
                  <c:v>3.0550870381567636E-2</c:v>
                </c:pt>
                <c:pt idx="470">
                  <c:v>3.0421004979628782E-2</c:v>
                </c:pt>
                <c:pt idx="471">
                  <c:v>3.0291965867445599E-2</c:v>
                </c:pt>
                <c:pt idx="472">
                  <c:v>3.0163746049985635E-2</c:v>
                </c:pt>
                <c:pt idx="473">
                  <c:v>3.0036338606081455E-2</c:v>
                </c:pt>
                <c:pt idx="474">
                  <c:v>2.9909736687496656E-2</c:v>
                </c:pt>
                <c:pt idx="475">
                  <c:v>2.9783933518005536E-2</c:v>
                </c:pt>
                <c:pt idx="476">
                  <c:v>2.9658922392486405E-2</c:v>
                </c:pt>
                <c:pt idx="477">
                  <c:v>2.9534696676028111E-2</c:v>
                </c:pt>
                <c:pt idx="478">
                  <c:v>2.9411249803049662E-2</c:v>
                </c:pt>
                <c:pt idx="479">
                  <c:v>2.9288575276432721E-2</c:v>
                </c:pt>
                <c:pt idx="480">
                  <c:v>2.9166666666666664E-2</c:v>
                </c:pt>
                <c:pt idx="481">
                  <c:v>2.904551761100618E-2</c:v>
                </c:pt>
                <c:pt idx="482">
                  <c:v>2.8925121812640963E-2</c:v>
                </c:pt>
                <c:pt idx="483">
                  <c:v>2.8805473039877572E-2</c:v>
                </c:pt>
                <c:pt idx="484">
                  <c:v>2.8686565125332967E-2</c:v>
                </c:pt>
                <c:pt idx="485">
                  <c:v>2.8568391965139762E-2</c:v>
                </c:pt>
                <c:pt idx="486">
                  <c:v>2.8450947518162878E-2</c:v>
                </c:pt>
                <c:pt idx="487">
                  <c:v>2.833422580522749E-2</c:v>
                </c:pt>
                <c:pt idx="488">
                  <c:v>2.8218220908357967E-2</c:v>
                </c:pt>
                <c:pt idx="489">
                  <c:v>2.8102926970027729E-2</c:v>
                </c:pt>
                <c:pt idx="490">
                  <c:v>2.7988338192419818E-2</c:v>
                </c:pt>
                <c:pt idx="491">
                  <c:v>2.7874448836698037E-2</c:v>
                </c:pt>
                <c:pt idx="492">
                  <c:v>2.7761253222288319E-2</c:v>
                </c:pt>
                <c:pt idx="493">
                  <c:v>2.7648745726170446E-2</c:v>
                </c:pt>
                <c:pt idx="494">
                  <c:v>2.7536920782179671E-2</c:v>
                </c:pt>
                <c:pt idx="495">
                  <c:v>2.742577288031833E-2</c:v>
                </c:pt>
                <c:pt idx="496">
                  <c:v>2.7315296566077001E-2</c:v>
                </c:pt>
                <c:pt idx="497">
                  <c:v>2.7205486439765354E-2</c:v>
                </c:pt>
                <c:pt idx="498">
                  <c:v>2.7096337155852319E-2</c:v>
                </c:pt>
                <c:pt idx="499">
                  <c:v>2.6987843422315569E-2</c:v>
                </c:pt>
                <c:pt idx="500">
                  <c:v>2.6879999999999998E-2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BD-47E4-AA24-32AC2F3B6383}"/>
            </c:ext>
          </c:extLst>
        </c:ser>
        <c:ser>
          <c:idx val="1"/>
          <c:order val="1"/>
          <c:tx>
            <c:strRef>
              <c:f>'Espectro NSR-10 umbral daño'!#REF!</c:f>
              <c:strCache>
                <c:ptCount val="1"/>
                <c:pt idx="0">
                  <c:v>#REF!</c:v>
                </c:pt>
              </c:strCache>
            </c:strRef>
          </c:tx>
          <c:spPr>
            <a:ln w="15875" cap="flat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BD-47E4-AA24-32AC2F3B63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D-47E4-AA24-32AC2F3B6383}"/>
                </c:ext>
              </c:extLst>
            </c:dLbl>
            <c:spPr>
              <a:solidFill>
                <a:sysClr val="window" lastClr="FFFFFF">
                  <a:alpha val="75000"/>
                </a:sysClr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</c:numLit>
          </c:xVal>
          <c:yVal>
            <c:numLit>
              <c:formatCode>General</c:formatCode>
              <c:ptCount val="2"/>
            </c:numLit>
          </c:yVal>
          <c:smooth val="1"/>
          <c:extLst>
            <c:ext xmlns:c16="http://schemas.microsoft.com/office/drawing/2014/chart" uri="{C3380CC4-5D6E-409C-BE32-E72D297353CC}">
              <c16:uniqueId val="{00000003-26BD-47E4-AA24-32AC2F3B6383}"/>
            </c:ext>
          </c:extLst>
        </c:ser>
        <c:ser>
          <c:idx val="2"/>
          <c:order val="2"/>
          <c:tx>
            <c:strRef>
              <c:f>espectro!$C$13</c:f>
              <c:strCache>
                <c:ptCount val="1"/>
                <c:pt idx="0">
                  <c:v>TC :</c:v>
                </c:pt>
              </c:strCache>
            </c:strRef>
          </c:tx>
          <c:spPr>
            <a:ln>
              <a:solidFill>
                <a:srgbClr val="00FF00"/>
              </a:solidFill>
              <a:prstDash val="sysDash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espectro!$U$18:$U$19</c:f>
              <c:numCache>
                <c:formatCode>0.00\ "s"</c:formatCode>
                <c:ptCount val="2"/>
                <c:pt idx="0">
                  <c:v>1.6290909090909089</c:v>
                </c:pt>
                <c:pt idx="1">
                  <c:v>1.6290909090909089</c:v>
                </c:pt>
              </c:numCache>
            </c:numRef>
          </c:xVal>
          <c:yVal>
            <c:numRef>
              <c:f>espectro!$V$18:$V$19</c:f>
              <c:numCache>
                <c:formatCode>General</c:formatCode>
                <c:ptCount val="2"/>
                <c:pt idx="0" formatCode="0.00">
                  <c:v>0.41249999999999998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6BD-47E4-AA24-32AC2F3B6383}"/>
            </c:ext>
          </c:extLst>
        </c:ser>
        <c:ser>
          <c:idx val="3"/>
          <c:order val="3"/>
          <c:tx>
            <c:strRef>
              <c:f>espectro!$D$14</c:f>
              <c:strCache>
                <c:ptCount val="1"/>
                <c:pt idx="0">
                  <c:v>4.00 s</c:v>
                </c:pt>
              </c:strCache>
            </c:strRef>
          </c:tx>
          <c:spPr>
            <a:ln>
              <a:solidFill>
                <a:srgbClr val="00FF00"/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layout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11B-40DF-A958-F494BB163D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xVal>
            <c:numRef>
              <c:f>espectro!$U$20:$U$21</c:f>
              <c:numCache>
                <c:formatCode>0.00\ "s"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espectro!$V$20:$V$21</c:f>
              <c:numCache>
                <c:formatCode>General</c:formatCode>
                <c:ptCount val="2"/>
                <c:pt idx="0" formatCode="0.00">
                  <c:v>0.16799999999999998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6BD-47E4-AA24-32AC2F3B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64672"/>
        <c:axId val="206365248"/>
      </c:scatterChart>
      <c:valAx>
        <c:axId val="206364672"/>
        <c:scaling>
          <c:orientation val="minMax"/>
          <c:max val="10"/>
          <c:min val="0"/>
        </c:scaling>
        <c:delete val="0"/>
        <c:axPos val="b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65000"/>
                  <a:alpha val="59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T (s)</a:t>
                </a:r>
              </a:p>
            </c:rich>
          </c:tx>
          <c:layout>
            <c:manualLayout>
              <c:xMode val="edge"/>
              <c:yMode val="edge"/>
              <c:x val="0.91643109965753433"/>
              <c:y val="0.91668191459722859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206365248"/>
        <c:crosses val="autoZero"/>
        <c:crossBetween val="midCat"/>
        <c:majorUnit val="1"/>
      </c:valAx>
      <c:valAx>
        <c:axId val="206365248"/>
        <c:scaling>
          <c:orientation val="minMax"/>
        </c:scaling>
        <c:delete val="0"/>
        <c:axPos val="l"/>
        <c:majorGridlines/>
        <c:minorGridlines>
          <c:spPr>
            <a:ln>
              <a:solidFill>
                <a:schemeClr val="bg1">
                  <a:lumMod val="75000"/>
                  <a:alpha val="21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Sa (g)</a:t>
                </a:r>
              </a:p>
            </c:rich>
          </c:tx>
          <c:layout>
            <c:manualLayout>
              <c:xMode val="edge"/>
              <c:yMode val="edge"/>
              <c:x val="1.1533782284974523E-2"/>
              <c:y val="8.020798098383830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20636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12" Type="http://schemas.openxmlformats.org/officeDocument/2006/relationships/image" Target="../media/image18.emf"/><Relationship Id="rId17" Type="http://schemas.openxmlformats.org/officeDocument/2006/relationships/image" Target="../media/image23.emf"/><Relationship Id="rId2" Type="http://schemas.openxmlformats.org/officeDocument/2006/relationships/image" Target="../media/image8.emf"/><Relationship Id="rId16" Type="http://schemas.openxmlformats.org/officeDocument/2006/relationships/image" Target="../media/image22.emf"/><Relationship Id="rId20" Type="http://schemas.openxmlformats.org/officeDocument/2006/relationships/image" Target="../media/image26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11" Type="http://schemas.openxmlformats.org/officeDocument/2006/relationships/image" Target="../media/image17.emf"/><Relationship Id="rId5" Type="http://schemas.openxmlformats.org/officeDocument/2006/relationships/image" Target="../media/image11.emf"/><Relationship Id="rId15" Type="http://schemas.openxmlformats.org/officeDocument/2006/relationships/image" Target="../media/image21.emf"/><Relationship Id="rId10" Type="http://schemas.openxmlformats.org/officeDocument/2006/relationships/image" Target="../media/image16.emf"/><Relationship Id="rId19" Type="http://schemas.openxmlformats.org/officeDocument/2006/relationships/image" Target="../media/image25.emf"/><Relationship Id="rId4" Type="http://schemas.openxmlformats.org/officeDocument/2006/relationships/image" Target="../media/image10.emf"/><Relationship Id="rId9" Type="http://schemas.openxmlformats.org/officeDocument/2006/relationships/image" Target="../media/image15.emf"/><Relationship Id="rId14" Type="http://schemas.openxmlformats.org/officeDocument/2006/relationships/image" Target="../media/image20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4.png"/><Relationship Id="rId5" Type="http://schemas.openxmlformats.org/officeDocument/2006/relationships/image" Target="../media/image39.emf"/><Relationship Id="rId4" Type="http://schemas.openxmlformats.org/officeDocument/2006/relationships/image" Target="../media/image3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89644</xdr:colOff>
      <xdr:row>1</xdr:row>
      <xdr:rowOff>22412</xdr:rowOff>
    </xdr:from>
    <xdr:to>
      <xdr:col>2</xdr:col>
      <xdr:colOff>393839</xdr:colOff>
      <xdr:row>5</xdr:row>
      <xdr:rowOff>49626</xdr:rowOff>
    </xdr:to>
    <xdr:pic>
      <xdr:nvPicPr>
        <xdr:cNvPr id="5" name="Imagen 4" descr="Resultado de imagen para universidad distrital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5" t="14218" r="12036" b="13494"/>
        <a:stretch/>
      </xdr:blipFill>
      <xdr:spPr bwMode="auto">
        <a:xfrm>
          <a:off x="403409" y="224118"/>
          <a:ext cx="806825" cy="800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10</xdr:row>
          <xdr:rowOff>9525</xdr:rowOff>
        </xdr:from>
        <xdr:to>
          <xdr:col>9</xdr:col>
          <xdr:colOff>409575</xdr:colOff>
          <xdr:row>10</xdr:row>
          <xdr:rowOff>190500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10</xdr:row>
          <xdr:rowOff>9525</xdr:rowOff>
        </xdr:from>
        <xdr:to>
          <xdr:col>10</xdr:col>
          <xdr:colOff>438150</xdr:colOff>
          <xdr:row>10</xdr:row>
          <xdr:rowOff>190500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11</xdr:row>
          <xdr:rowOff>9525</xdr:rowOff>
        </xdr:from>
        <xdr:to>
          <xdr:col>9</xdr:col>
          <xdr:colOff>409575</xdr:colOff>
          <xdr:row>11</xdr:row>
          <xdr:rowOff>190500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12</xdr:row>
          <xdr:rowOff>9525</xdr:rowOff>
        </xdr:from>
        <xdr:to>
          <xdr:col>9</xdr:col>
          <xdr:colOff>409575</xdr:colOff>
          <xdr:row>13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13</xdr:row>
          <xdr:rowOff>85725</xdr:rowOff>
        </xdr:from>
        <xdr:to>
          <xdr:col>9</xdr:col>
          <xdr:colOff>409575</xdr:colOff>
          <xdr:row>13</xdr:row>
          <xdr:rowOff>266700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14</xdr:row>
          <xdr:rowOff>85725</xdr:rowOff>
        </xdr:from>
        <xdr:to>
          <xdr:col>9</xdr:col>
          <xdr:colOff>409575</xdr:colOff>
          <xdr:row>14</xdr:row>
          <xdr:rowOff>266700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18</xdr:row>
          <xdr:rowOff>9525</xdr:rowOff>
        </xdr:from>
        <xdr:to>
          <xdr:col>9</xdr:col>
          <xdr:colOff>409575</xdr:colOff>
          <xdr:row>18</xdr:row>
          <xdr:rowOff>190500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19</xdr:row>
          <xdr:rowOff>9525</xdr:rowOff>
        </xdr:from>
        <xdr:to>
          <xdr:col>9</xdr:col>
          <xdr:colOff>409575</xdr:colOff>
          <xdr:row>20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20</xdr:row>
          <xdr:rowOff>9525</xdr:rowOff>
        </xdr:from>
        <xdr:to>
          <xdr:col>9</xdr:col>
          <xdr:colOff>409575</xdr:colOff>
          <xdr:row>20</xdr:row>
          <xdr:rowOff>190500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21</xdr:row>
          <xdr:rowOff>9525</xdr:rowOff>
        </xdr:from>
        <xdr:to>
          <xdr:col>9</xdr:col>
          <xdr:colOff>409575</xdr:colOff>
          <xdr:row>21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22</xdr:row>
          <xdr:rowOff>9525</xdr:rowOff>
        </xdr:from>
        <xdr:to>
          <xdr:col>9</xdr:col>
          <xdr:colOff>409575</xdr:colOff>
          <xdr:row>22</xdr:row>
          <xdr:rowOff>190500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11</xdr:row>
          <xdr:rowOff>9525</xdr:rowOff>
        </xdr:from>
        <xdr:to>
          <xdr:col>10</xdr:col>
          <xdr:colOff>438150</xdr:colOff>
          <xdr:row>11</xdr:row>
          <xdr:rowOff>190500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12</xdr:row>
          <xdr:rowOff>9525</xdr:rowOff>
        </xdr:from>
        <xdr:to>
          <xdr:col>10</xdr:col>
          <xdr:colOff>438150</xdr:colOff>
          <xdr:row>13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13</xdr:row>
          <xdr:rowOff>85725</xdr:rowOff>
        </xdr:from>
        <xdr:to>
          <xdr:col>10</xdr:col>
          <xdr:colOff>438150</xdr:colOff>
          <xdr:row>13</xdr:row>
          <xdr:rowOff>266700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14</xdr:row>
          <xdr:rowOff>85725</xdr:rowOff>
        </xdr:from>
        <xdr:to>
          <xdr:col>10</xdr:col>
          <xdr:colOff>438150</xdr:colOff>
          <xdr:row>14</xdr:row>
          <xdr:rowOff>266700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9525</xdr:rowOff>
        </xdr:from>
        <xdr:to>
          <xdr:col>10</xdr:col>
          <xdr:colOff>438150</xdr:colOff>
          <xdr:row>18</xdr:row>
          <xdr:rowOff>190500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19</xdr:row>
          <xdr:rowOff>9525</xdr:rowOff>
        </xdr:from>
        <xdr:to>
          <xdr:col>10</xdr:col>
          <xdr:colOff>438150</xdr:colOff>
          <xdr:row>20</xdr:row>
          <xdr:rowOff>9525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20</xdr:row>
          <xdr:rowOff>9525</xdr:rowOff>
        </xdr:from>
        <xdr:to>
          <xdr:col>10</xdr:col>
          <xdr:colOff>438150</xdr:colOff>
          <xdr:row>20</xdr:row>
          <xdr:rowOff>190500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21</xdr:row>
          <xdr:rowOff>9525</xdr:rowOff>
        </xdr:from>
        <xdr:to>
          <xdr:col>10</xdr:col>
          <xdr:colOff>438150</xdr:colOff>
          <xdr:row>21</xdr:row>
          <xdr:rowOff>190500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22</xdr:row>
          <xdr:rowOff>9525</xdr:rowOff>
        </xdr:from>
        <xdr:to>
          <xdr:col>10</xdr:col>
          <xdr:colOff>438150</xdr:colOff>
          <xdr:row>22</xdr:row>
          <xdr:rowOff>190500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23</xdr:row>
          <xdr:rowOff>9525</xdr:rowOff>
        </xdr:from>
        <xdr:to>
          <xdr:col>10</xdr:col>
          <xdr:colOff>438150</xdr:colOff>
          <xdr:row>23</xdr:row>
          <xdr:rowOff>190500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24</xdr:row>
          <xdr:rowOff>9525</xdr:rowOff>
        </xdr:from>
        <xdr:to>
          <xdr:col>10</xdr:col>
          <xdr:colOff>438150</xdr:colOff>
          <xdr:row>24</xdr:row>
          <xdr:rowOff>190500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23</xdr:row>
          <xdr:rowOff>9525</xdr:rowOff>
        </xdr:from>
        <xdr:to>
          <xdr:col>9</xdr:col>
          <xdr:colOff>409575</xdr:colOff>
          <xdr:row>23</xdr:row>
          <xdr:rowOff>190500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24</xdr:row>
          <xdr:rowOff>9525</xdr:rowOff>
        </xdr:from>
        <xdr:to>
          <xdr:col>9</xdr:col>
          <xdr:colOff>409575</xdr:colOff>
          <xdr:row>24</xdr:row>
          <xdr:rowOff>190500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25</xdr:row>
          <xdr:rowOff>104775</xdr:rowOff>
        </xdr:from>
        <xdr:to>
          <xdr:col>9</xdr:col>
          <xdr:colOff>409575</xdr:colOff>
          <xdr:row>25</xdr:row>
          <xdr:rowOff>285750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26</xdr:row>
          <xdr:rowOff>104775</xdr:rowOff>
        </xdr:from>
        <xdr:to>
          <xdr:col>9</xdr:col>
          <xdr:colOff>409575</xdr:colOff>
          <xdr:row>26</xdr:row>
          <xdr:rowOff>285750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25</xdr:row>
          <xdr:rowOff>104775</xdr:rowOff>
        </xdr:from>
        <xdr:to>
          <xdr:col>10</xdr:col>
          <xdr:colOff>438150</xdr:colOff>
          <xdr:row>25</xdr:row>
          <xdr:rowOff>285750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26</xdr:row>
          <xdr:rowOff>104775</xdr:rowOff>
        </xdr:from>
        <xdr:to>
          <xdr:col>10</xdr:col>
          <xdr:colOff>438150</xdr:colOff>
          <xdr:row>26</xdr:row>
          <xdr:rowOff>285750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30</xdr:row>
          <xdr:rowOff>9525</xdr:rowOff>
        </xdr:from>
        <xdr:to>
          <xdr:col>9</xdr:col>
          <xdr:colOff>409575</xdr:colOff>
          <xdr:row>30</xdr:row>
          <xdr:rowOff>190500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31</xdr:row>
          <xdr:rowOff>9525</xdr:rowOff>
        </xdr:from>
        <xdr:to>
          <xdr:col>9</xdr:col>
          <xdr:colOff>409575</xdr:colOff>
          <xdr:row>32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32</xdr:row>
          <xdr:rowOff>9525</xdr:rowOff>
        </xdr:from>
        <xdr:to>
          <xdr:col>9</xdr:col>
          <xdr:colOff>409575</xdr:colOff>
          <xdr:row>32</xdr:row>
          <xdr:rowOff>190500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33</xdr:row>
          <xdr:rowOff>9525</xdr:rowOff>
        </xdr:from>
        <xdr:to>
          <xdr:col>9</xdr:col>
          <xdr:colOff>409575</xdr:colOff>
          <xdr:row>33</xdr:row>
          <xdr:rowOff>190500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34</xdr:row>
          <xdr:rowOff>9525</xdr:rowOff>
        </xdr:from>
        <xdr:to>
          <xdr:col>9</xdr:col>
          <xdr:colOff>409575</xdr:colOff>
          <xdr:row>35</xdr:row>
          <xdr:rowOff>9525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30</xdr:row>
          <xdr:rowOff>9525</xdr:rowOff>
        </xdr:from>
        <xdr:to>
          <xdr:col>10</xdr:col>
          <xdr:colOff>438150</xdr:colOff>
          <xdr:row>30</xdr:row>
          <xdr:rowOff>190500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31</xdr:row>
          <xdr:rowOff>9525</xdr:rowOff>
        </xdr:from>
        <xdr:to>
          <xdr:col>10</xdr:col>
          <xdr:colOff>438150</xdr:colOff>
          <xdr:row>32</xdr:row>
          <xdr:rowOff>9525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32</xdr:row>
          <xdr:rowOff>9525</xdr:rowOff>
        </xdr:from>
        <xdr:to>
          <xdr:col>10</xdr:col>
          <xdr:colOff>438150</xdr:colOff>
          <xdr:row>32</xdr:row>
          <xdr:rowOff>190500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33</xdr:row>
          <xdr:rowOff>9525</xdr:rowOff>
        </xdr:from>
        <xdr:to>
          <xdr:col>10</xdr:col>
          <xdr:colOff>438150</xdr:colOff>
          <xdr:row>33</xdr:row>
          <xdr:rowOff>190500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34</xdr:row>
          <xdr:rowOff>9525</xdr:rowOff>
        </xdr:from>
        <xdr:to>
          <xdr:col>10</xdr:col>
          <xdr:colOff>438150</xdr:colOff>
          <xdr:row>35</xdr:row>
          <xdr:rowOff>9525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35</xdr:row>
          <xdr:rowOff>9525</xdr:rowOff>
        </xdr:from>
        <xdr:to>
          <xdr:col>10</xdr:col>
          <xdr:colOff>438150</xdr:colOff>
          <xdr:row>35</xdr:row>
          <xdr:rowOff>190500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36</xdr:row>
          <xdr:rowOff>9525</xdr:rowOff>
        </xdr:from>
        <xdr:to>
          <xdr:col>10</xdr:col>
          <xdr:colOff>438150</xdr:colOff>
          <xdr:row>36</xdr:row>
          <xdr:rowOff>190500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35</xdr:row>
          <xdr:rowOff>9525</xdr:rowOff>
        </xdr:from>
        <xdr:to>
          <xdr:col>9</xdr:col>
          <xdr:colOff>409575</xdr:colOff>
          <xdr:row>35</xdr:row>
          <xdr:rowOff>190500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36</xdr:row>
          <xdr:rowOff>9525</xdr:rowOff>
        </xdr:from>
        <xdr:to>
          <xdr:col>9</xdr:col>
          <xdr:colOff>409575</xdr:colOff>
          <xdr:row>36</xdr:row>
          <xdr:rowOff>190500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38</xdr:row>
          <xdr:rowOff>9525</xdr:rowOff>
        </xdr:from>
        <xdr:to>
          <xdr:col>9</xdr:col>
          <xdr:colOff>409575</xdr:colOff>
          <xdr:row>38</xdr:row>
          <xdr:rowOff>190500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39</xdr:row>
          <xdr:rowOff>9525</xdr:rowOff>
        </xdr:from>
        <xdr:to>
          <xdr:col>9</xdr:col>
          <xdr:colOff>409575</xdr:colOff>
          <xdr:row>39</xdr:row>
          <xdr:rowOff>190500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40</xdr:row>
          <xdr:rowOff>9525</xdr:rowOff>
        </xdr:from>
        <xdr:to>
          <xdr:col>9</xdr:col>
          <xdr:colOff>409575</xdr:colOff>
          <xdr:row>41</xdr:row>
          <xdr:rowOff>9525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41</xdr:row>
          <xdr:rowOff>9525</xdr:rowOff>
        </xdr:from>
        <xdr:to>
          <xdr:col>9</xdr:col>
          <xdr:colOff>409575</xdr:colOff>
          <xdr:row>41</xdr:row>
          <xdr:rowOff>190500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38</xdr:row>
          <xdr:rowOff>9525</xdr:rowOff>
        </xdr:from>
        <xdr:to>
          <xdr:col>10</xdr:col>
          <xdr:colOff>438150</xdr:colOff>
          <xdr:row>38</xdr:row>
          <xdr:rowOff>190500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39</xdr:row>
          <xdr:rowOff>9525</xdr:rowOff>
        </xdr:from>
        <xdr:to>
          <xdr:col>10</xdr:col>
          <xdr:colOff>438150</xdr:colOff>
          <xdr:row>39</xdr:row>
          <xdr:rowOff>190500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40</xdr:row>
          <xdr:rowOff>9525</xdr:rowOff>
        </xdr:from>
        <xdr:to>
          <xdr:col>10</xdr:col>
          <xdr:colOff>438150</xdr:colOff>
          <xdr:row>41</xdr:row>
          <xdr:rowOff>9525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41</xdr:row>
          <xdr:rowOff>9525</xdr:rowOff>
        </xdr:from>
        <xdr:to>
          <xdr:col>10</xdr:col>
          <xdr:colOff>438150</xdr:colOff>
          <xdr:row>41</xdr:row>
          <xdr:rowOff>190500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49</xdr:row>
          <xdr:rowOff>9525</xdr:rowOff>
        </xdr:from>
        <xdr:to>
          <xdr:col>9</xdr:col>
          <xdr:colOff>409575</xdr:colOff>
          <xdr:row>50</xdr:row>
          <xdr:rowOff>9525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50</xdr:row>
          <xdr:rowOff>9525</xdr:rowOff>
        </xdr:from>
        <xdr:to>
          <xdr:col>9</xdr:col>
          <xdr:colOff>409575</xdr:colOff>
          <xdr:row>51</xdr:row>
          <xdr:rowOff>9525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49</xdr:row>
          <xdr:rowOff>9525</xdr:rowOff>
        </xdr:from>
        <xdr:to>
          <xdr:col>10</xdr:col>
          <xdr:colOff>438150</xdr:colOff>
          <xdr:row>50</xdr:row>
          <xdr:rowOff>9525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50</xdr:row>
          <xdr:rowOff>9525</xdr:rowOff>
        </xdr:from>
        <xdr:to>
          <xdr:col>10</xdr:col>
          <xdr:colOff>438150</xdr:colOff>
          <xdr:row>51</xdr:row>
          <xdr:rowOff>9525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51</xdr:row>
          <xdr:rowOff>9525</xdr:rowOff>
        </xdr:from>
        <xdr:to>
          <xdr:col>10</xdr:col>
          <xdr:colOff>438150</xdr:colOff>
          <xdr:row>52</xdr:row>
          <xdr:rowOff>9525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51</xdr:row>
          <xdr:rowOff>9525</xdr:rowOff>
        </xdr:from>
        <xdr:to>
          <xdr:col>9</xdr:col>
          <xdr:colOff>409575</xdr:colOff>
          <xdr:row>52</xdr:row>
          <xdr:rowOff>9525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53</xdr:row>
          <xdr:rowOff>9525</xdr:rowOff>
        </xdr:from>
        <xdr:to>
          <xdr:col>9</xdr:col>
          <xdr:colOff>409575</xdr:colOff>
          <xdr:row>54</xdr:row>
          <xdr:rowOff>9525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54</xdr:row>
          <xdr:rowOff>9525</xdr:rowOff>
        </xdr:from>
        <xdr:to>
          <xdr:col>9</xdr:col>
          <xdr:colOff>409575</xdr:colOff>
          <xdr:row>54</xdr:row>
          <xdr:rowOff>190500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53</xdr:row>
          <xdr:rowOff>9525</xdr:rowOff>
        </xdr:from>
        <xdr:to>
          <xdr:col>10</xdr:col>
          <xdr:colOff>438150</xdr:colOff>
          <xdr:row>54</xdr:row>
          <xdr:rowOff>9525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54</xdr:row>
          <xdr:rowOff>9525</xdr:rowOff>
        </xdr:from>
        <xdr:to>
          <xdr:col>10</xdr:col>
          <xdr:colOff>438150</xdr:colOff>
          <xdr:row>54</xdr:row>
          <xdr:rowOff>190500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55</xdr:row>
          <xdr:rowOff>9525</xdr:rowOff>
        </xdr:from>
        <xdr:to>
          <xdr:col>10</xdr:col>
          <xdr:colOff>438150</xdr:colOff>
          <xdr:row>56</xdr:row>
          <xdr:rowOff>9525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55</xdr:row>
          <xdr:rowOff>9525</xdr:rowOff>
        </xdr:from>
        <xdr:to>
          <xdr:col>9</xdr:col>
          <xdr:colOff>409575</xdr:colOff>
          <xdr:row>56</xdr:row>
          <xdr:rowOff>9525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56</xdr:row>
          <xdr:rowOff>9525</xdr:rowOff>
        </xdr:from>
        <xdr:to>
          <xdr:col>9</xdr:col>
          <xdr:colOff>409575</xdr:colOff>
          <xdr:row>57</xdr:row>
          <xdr:rowOff>9525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57</xdr:row>
          <xdr:rowOff>9525</xdr:rowOff>
        </xdr:from>
        <xdr:to>
          <xdr:col>9</xdr:col>
          <xdr:colOff>409575</xdr:colOff>
          <xdr:row>58</xdr:row>
          <xdr:rowOff>9525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56</xdr:row>
          <xdr:rowOff>9525</xdr:rowOff>
        </xdr:from>
        <xdr:to>
          <xdr:col>10</xdr:col>
          <xdr:colOff>438150</xdr:colOff>
          <xdr:row>57</xdr:row>
          <xdr:rowOff>9525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57</xdr:row>
          <xdr:rowOff>9525</xdr:rowOff>
        </xdr:from>
        <xdr:to>
          <xdr:col>10</xdr:col>
          <xdr:colOff>438150</xdr:colOff>
          <xdr:row>58</xdr:row>
          <xdr:rowOff>9525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58</xdr:row>
          <xdr:rowOff>9525</xdr:rowOff>
        </xdr:from>
        <xdr:to>
          <xdr:col>10</xdr:col>
          <xdr:colOff>438150</xdr:colOff>
          <xdr:row>59</xdr:row>
          <xdr:rowOff>9525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58</xdr:row>
          <xdr:rowOff>9525</xdr:rowOff>
        </xdr:from>
        <xdr:to>
          <xdr:col>9</xdr:col>
          <xdr:colOff>409575</xdr:colOff>
          <xdr:row>59</xdr:row>
          <xdr:rowOff>9525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45</xdr:row>
          <xdr:rowOff>9525</xdr:rowOff>
        </xdr:from>
        <xdr:to>
          <xdr:col>9</xdr:col>
          <xdr:colOff>409575</xdr:colOff>
          <xdr:row>45</xdr:row>
          <xdr:rowOff>190500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45</xdr:row>
          <xdr:rowOff>9525</xdr:rowOff>
        </xdr:from>
        <xdr:to>
          <xdr:col>10</xdr:col>
          <xdr:colOff>438150</xdr:colOff>
          <xdr:row>45</xdr:row>
          <xdr:rowOff>190500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46</xdr:row>
          <xdr:rowOff>152400</xdr:rowOff>
        </xdr:from>
        <xdr:to>
          <xdr:col>10</xdr:col>
          <xdr:colOff>438150</xdr:colOff>
          <xdr:row>46</xdr:row>
          <xdr:rowOff>333375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46</xdr:row>
          <xdr:rowOff>152400</xdr:rowOff>
        </xdr:from>
        <xdr:to>
          <xdr:col>9</xdr:col>
          <xdr:colOff>409575</xdr:colOff>
          <xdr:row>46</xdr:row>
          <xdr:rowOff>333375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47</xdr:row>
          <xdr:rowOff>152400</xdr:rowOff>
        </xdr:from>
        <xdr:to>
          <xdr:col>10</xdr:col>
          <xdr:colOff>438150</xdr:colOff>
          <xdr:row>47</xdr:row>
          <xdr:rowOff>333375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47</xdr:row>
          <xdr:rowOff>152400</xdr:rowOff>
        </xdr:from>
        <xdr:to>
          <xdr:col>9</xdr:col>
          <xdr:colOff>409575</xdr:colOff>
          <xdr:row>47</xdr:row>
          <xdr:rowOff>333375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48</xdr:row>
          <xdr:rowOff>152400</xdr:rowOff>
        </xdr:from>
        <xdr:to>
          <xdr:col>10</xdr:col>
          <xdr:colOff>438150</xdr:colOff>
          <xdr:row>48</xdr:row>
          <xdr:rowOff>333375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48</xdr:row>
          <xdr:rowOff>152400</xdr:rowOff>
        </xdr:from>
        <xdr:to>
          <xdr:col>9</xdr:col>
          <xdr:colOff>409575</xdr:colOff>
          <xdr:row>48</xdr:row>
          <xdr:rowOff>333375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52</xdr:row>
          <xdr:rowOff>123825</xdr:rowOff>
        </xdr:from>
        <xdr:to>
          <xdr:col>10</xdr:col>
          <xdr:colOff>438150</xdr:colOff>
          <xdr:row>52</xdr:row>
          <xdr:rowOff>304800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52</xdr:row>
          <xdr:rowOff>123825</xdr:rowOff>
        </xdr:from>
        <xdr:to>
          <xdr:col>9</xdr:col>
          <xdr:colOff>409575</xdr:colOff>
          <xdr:row>52</xdr:row>
          <xdr:rowOff>304800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62</xdr:row>
          <xdr:rowOff>9525</xdr:rowOff>
        </xdr:from>
        <xdr:to>
          <xdr:col>9</xdr:col>
          <xdr:colOff>409575</xdr:colOff>
          <xdr:row>62</xdr:row>
          <xdr:rowOff>190500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62</xdr:row>
          <xdr:rowOff>9525</xdr:rowOff>
        </xdr:from>
        <xdr:to>
          <xdr:col>10</xdr:col>
          <xdr:colOff>438150</xdr:colOff>
          <xdr:row>62</xdr:row>
          <xdr:rowOff>190500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9525</xdr:rowOff>
        </xdr:from>
        <xdr:to>
          <xdr:col>10</xdr:col>
          <xdr:colOff>438150</xdr:colOff>
          <xdr:row>63</xdr:row>
          <xdr:rowOff>190500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63</xdr:row>
          <xdr:rowOff>9525</xdr:rowOff>
        </xdr:from>
        <xdr:to>
          <xdr:col>9</xdr:col>
          <xdr:colOff>409575</xdr:colOff>
          <xdr:row>63</xdr:row>
          <xdr:rowOff>190500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10</xdr:row>
          <xdr:rowOff>9525</xdr:rowOff>
        </xdr:from>
        <xdr:to>
          <xdr:col>11</xdr:col>
          <xdr:colOff>438150</xdr:colOff>
          <xdr:row>10</xdr:row>
          <xdr:rowOff>190500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11</xdr:row>
          <xdr:rowOff>9525</xdr:rowOff>
        </xdr:from>
        <xdr:to>
          <xdr:col>11</xdr:col>
          <xdr:colOff>438150</xdr:colOff>
          <xdr:row>11</xdr:row>
          <xdr:rowOff>190500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12</xdr:row>
          <xdr:rowOff>9525</xdr:rowOff>
        </xdr:from>
        <xdr:to>
          <xdr:col>11</xdr:col>
          <xdr:colOff>438150</xdr:colOff>
          <xdr:row>13</xdr:row>
          <xdr:rowOff>9525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13</xdr:row>
          <xdr:rowOff>85725</xdr:rowOff>
        </xdr:from>
        <xdr:to>
          <xdr:col>11</xdr:col>
          <xdr:colOff>438150</xdr:colOff>
          <xdr:row>13</xdr:row>
          <xdr:rowOff>266700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14</xdr:row>
          <xdr:rowOff>85725</xdr:rowOff>
        </xdr:from>
        <xdr:to>
          <xdr:col>11</xdr:col>
          <xdr:colOff>438150</xdr:colOff>
          <xdr:row>14</xdr:row>
          <xdr:rowOff>266700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18</xdr:row>
          <xdr:rowOff>9525</xdr:rowOff>
        </xdr:from>
        <xdr:to>
          <xdr:col>11</xdr:col>
          <xdr:colOff>438150</xdr:colOff>
          <xdr:row>18</xdr:row>
          <xdr:rowOff>190500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19</xdr:row>
          <xdr:rowOff>9525</xdr:rowOff>
        </xdr:from>
        <xdr:to>
          <xdr:col>11</xdr:col>
          <xdr:colOff>438150</xdr:colOff>
          <xdr:row>20</xdr:row>
          <xdr:rowOff>9525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20</xdr:row>
          <xdr:rowOff>9525</xdr:rowOff>
        </xdr:from>
        <xdr:to>
          <xdr:col>11</xdr:col>
          <xdr:colOff>438150</xdr:colOff>
          <xdr:row>20</xdr:row>
          <xdr:rowOff>190500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21</xdr:row>
          <xdr:rowOff>9525</xdr:rowOff>
        </xdr:from>
        <xdr:to>
          <xdr:col>11</xdr:col>
          <xdr:colOff>438150</xdr:colOff>
          <xdr:row>21</xdr:row>
          <xdr:rowOff>190500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22</xdr:row>
          <xdr:rowOff>9525</xdr:rowOff>
        </xdr:from>
        <xdr:to>
          <xdr:col>11</xdr:col>
          <xdr:colOff>438150</xdr:colOff>
          <xdr:row>22</xdr:row>
          <xdr:rowOff>190500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23</xdr:row>
          <xdr:rowOff>9525</xdr:rowOff>
        </xdr:from>
        <xdr:to>
          <xdr:col>11</xdr:col>
          <xdr:colOff>438150</xdr:colOff>
          <xdr:row>23</xdr:row>
          <xdr:rowOff>190500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24</xdr:row>
          <xdr:rowOff>9525</xdr:rowOff>
        </xdr:from>
        <xdr:to>
          <xdr:col>11</xdr:col>
          <xdr:colOff>438150</xdr:colOff>
          <xdr:row>24</xdr:row>
          <xdr:rowOff>190500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25</xdr:row>
          <xdr:rowOff>104775</xdr:rowOff>
        </xdr:from>
        <xdr:to>
          <xdr:col>11</xdr:col>
          <xdr:colOff>438150</xdr:colOff>
          <xdr:row>25</xdr:row>
          <xdr:rowOff>285750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26</xdr:row>
          <xdr:rowOff>104775</xdr:rowOff>
        </xdr:from>
        <xdr:to>
          <xdr:col>11</xdr:col>
          <xdr:colOff>438150</xdr:colOff>
          <xdr:row>26</xdr:row>
          <xdr:rowOff>285750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30</xdr:row>
          <xdr:rowOff>9525</xdr:rowOff>
        </xdr:from>
        <xdr:to>
          <xdr:col>11</xdr:col>
          <xdr:colOff>438150</xdr:colOff>
          <xdr:row>30</xdr:row>
          <xdr:rowOff>190500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31</xdr:row>
          <xdr:rowOff>9525</xdr:rowOff>
        </xdr:from>
        <xdr:to>
          <xdr:col>11</xdr:col>
          <xdr:colOff>438150</xdr:colOff>
          <xdr:row>32</xdr:row>
          <xdr:rowOff>9525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32</xdr:row>
          <xdr:rowOff>9525</xdr:rowOff>
        </xdr:from>
        <xdr:to>
          <xdr:col>11</xdr:col>
          <xdr:colOff>438150</xdr:colOff>
          <xdr:row>32</xdr:row>
          <xdr:rowOff>190500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33</xdr:row>
          <xdr:rowOff>9525</xdr:rowOff>
        </xdr:from>
        <xdr:to>
          <xdr:col>11</xdr:col>
          <xdr:colOff>438150</xdr:colOff>
          <xdr:row>33</xdr:row>
          <xdr:rowOff>190500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34</xdr:row>
          <xdr:rowOff>9525</xdr:rowOff>
        </xdr:from>
        <xdr:to>
          <xdr:col>11</xdr:col>
          <xdr:colOff>438150</xdr:colOff>
          <xdr:row>35</xdr:row>
          <xdr:rowOff>9525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35</xdr:row>
          <xdr:rowOff>9525</xdr:rowOff>
        </xdr:from>
        <xdr:to>
          <xdr:col>11</xdr:col>
          <xdr:colOff>438150</xdr:colOff>
          <xdr:row>35</xdr:row>
          <xdr:rowOff>190500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36</xdr:row>
          <xdr:rowOff>9525</xdr:rowOff>
        </xdr:from>
        <xdr:to>
          <xdr:col>11</xdr:col>
          <xdr:colOff>438150</xdr:colOff>
          <xdr:row>36</xdr:row>
          <xdr:rowOff>190500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38</xdr:row>
          <xdr:rowOff>9525</xdr:rowOff>
        </xdr:from>
        <xdr:to>
          <xdr:col>11</xdr:col>
          <xdr:colOff>438150</xdr:colOff>
          <xdr:row>38</xdr:row>
          <xdr:rowOff>190500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39</xdr:row>
          <xdr:rowOff>9525</xdr:rowOff>
        </xdr:from>
        <xdr:to>
          <xdr:col>11</xdr:col>
          <xdr:colOff>438150</xdr:colOff>
          <xdr:row>39</xdr:row>
          <xdr:rowOff>190500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40</xdr:row>
          <xdr:rowOff>9525</xdr:rowOff>
        </xdr:from>
        <xdr:to>
          <xdr:col>11</xdr:col>
          <xdr:colOff>438150</xdr:colOff>
          <xdr:row>41</xdr:row>
          <xdr:rowOff>9525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41</xdr:row>
          <xdr:rowOff>9525</xdr:rowOff>
        </xdr:from>
        <xdr:to>
          <xdr:col>11</xdr:col>
          <xdr:colOff>438150</xdr:colOff>
          <xdr:row>41</xdr:row>
          <xdr:rowOff>190500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49</xdr:row>
          <xdr:rowOff>9525</xdr:rowOff>
        </xdr:from>
        <xdr:to>
          <xdr:col>11</xdr:col>
          <xdr:colOff>438150</xdr:colOff>
          <xdr:row>50</xdr:row>
          <xdr:rowOff>9525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50</xdr:row>
          <xdr:rowOff>9525</xdr:rowOff>
        </xdr:from>
        <xdr:to>
          <xdr:col>11</xdr:col>
          <xdr:colOff>438150</xdr:colOff>
          <xdr:row>51</xdr:row>
          <xdr:rowOff>9525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51</xdr:row>
          <xdr:rowOff>9525</xdr:rowOff>
        </xdr:from>
        <xdr:to>
          <xdr:col>11</xdr:col>
          <xdr:colOff>438150</xdr:colOff>
          <xdr:row>52</xdr:row>
          <xdr:rowOff>9525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53</xdr:row>
          <xdr:rowOff>9525</xdr:rowOff>
        </xdr:from>
        <xdr:to>
          <xdr:col>11</xdr:col>
          <xdr:colOff>438150</xdr:colOff>
          <xdr:row>54</xdr:row>
          <xdr:rowOff>9525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54</xdr:row>
          <xdr:rowOff>9525</xdr:rowOff>
        </xdr:from>
        <xdr:to>
          <xdr:col>11</xdr:col>
          <xdr:colOff>438150</xdr:colOff>
          <xdr:row>54</xdr:row>
          <xdr:rowOff>190500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55</xdr:row>
          <xdr:rowOff>9525</xdr:rowOff>
        </xdr:from>
        <xdr:to>
          <xdr:col>11</xdr:col>
          <xdr:colOff>438150</xdr:colOff>
          <xdr:row>56</xdr:row>
          <xdr:rowOff>9525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56</xdr:row>
          <xdr:rowOff>9525</xdr:rowOff>
        </xdr:from>
        <xdr:to>
          <xdr:col>11</xdr:col>
          <xdr:colOff>438150</xdr:colOff>
          <xdr:row>57</xdr:row>
          <xdr:rowOff>9525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57</xdr:row>
          <xdr:rowOff>9525</xdr:rowOff>
        </xdr:from>
        <xdr:to>
          <xdr:col>11</xdr:col>
          <xdr:colOff>438150</xdr:colOff>
          <xdr:row>58</xdr:row>
          <xdr:rowOff>9525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58</xdr:row>
          <xdr:rowOff>9525</xdr:rowOff>
        </xdr:from>
        <xdr:to>
          <xdr:col>11</xdr:col>
          <xdr:colOff>438150</xdr:colOff>
          <xdr:row>59</xdr:row>
          <xdr:rowOff>9525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45</xdr:row>
          <xdr:rowOff>9525</xdr:rowOff>
        </xdr:from>
        <xdr:to>
          <xdr:col>11</xdr:col>
          <xdr:colOff>438150</xdr:colOff>
          <xdr:row>45</xdr:row>
          <xdr:rowOff>190500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46</xdr:row>
          <xdr:rowOff>152400</xdr:rowOff>
        </xdr:from>
        <xdr:to>
          <xdr:col>11</xdr:col>
          <xdr:colOff>438150</xdr:colOff>
          <xdr:row>46</xdr:row>
          <xdr:rowOff>333375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47</xdr:row>
          <xdr:rowOff>152400</xdr:rowOff>
        </xdr:from>
        <xdr:to>
          <xdr:col>11</xdr:col>
          <xdr:colOff>438150</xdr:colOff>
          <xdr:row>47</xdr:row>
          <xdr:rowOff>333375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48</xdr:row>
          <xdr:rowOff>152400</xdr:rowOff>
        </xdr:from>
        <xdr:to>
          <xdr:col>11</xdr:col>
          <xdr:colOff>438150</xdr:colOff>
          <xdr:row>48</xdr:row>
          <xdr:rowOff>333375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52</xdr:row>
          <xdr:rowOff>123825</xdr:rowOff>
        </xdr:from>
        <xdr:to>
          <xdr:col>11</xdr:col>
          <xdr:colOff>438150</xdr:colOff>
          <xdr:row>52</xdr:row>
          <xdr:rowOff>304800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62</xdr:row>
          <xdr:rowOff>9525</xdr:rowOff>
        </xdr:from>
        <xdr:to>
          <xdr:col>11</xdr:col>
          <xdr:colOff>438150</xdr:colOff>
          <xdr:row>62</xdr:row>
          <xdr:rowOff>190500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63</xdr:row>
          <xdr:rowOff>9525</xdr:rowOff>
        </xdr:from>
        <xdr:to>
          <xdr:col>11</xdr:col>
          <xdr:colOff>438150</xdr:colOff>
          <xdr:row>63</xdr:row>
          <xdr:rowOff>190500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425824</xdr:colOff>
      <xdr:row>7</xdr:row>
      <xdr:rowOff>78046</xdr:rowOff>
    </xdr:from>
    <xdr:ext cx="1423958" cy="2432071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41674" y="1944946"/>
          <a:ext cx="1423958" cy="2432071"/>
        </a:xfrm>
        <a:prstGeom prst="rect">
          <a:avLst/>
        </a:prstGeom>
      </xdr:spPr>
    </xdr:pic>
    <xdr:clientData/>
  </xdr:oneCellAnchor>
  <xdr:oneCellAnchor>
    <xdr:from>
      <xdr:col>12</xdr:col>
      <xdr:colOff>86592</xdr:colOff>
      <xdr:row>8</xdr:row>
      <xdr:rowOff>64179</xdr:rowOff>
    </xdr:from>
    <xdr:ext cx="2149866" cy="242454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2442" y="4464729"/>
          <a:ext cx="2149866" cy="2424545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9</xdr:row>
      <xdr:rowOff>56029</xdr:rowOff>
    </xdr:from>
    <xdr:ext cx="2072251" cy="24264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83938" y="6990229"/>
          <a:ext cx="2072251" cy="2426400"/>
        </a:xfrm>
        <a:prstGeom prst="rect">
          <a:avLst/>
        </a:prstGeom>
      </xdr:spPr>
    </xdr:pic>
    <xdr:clientData/>
  </xdr:oneCellAnchor>
  <xdr:oneCellAnchor>
    <xdr:from>
      <xdr:col>12</xdr:col>
      <xdr:colOff>257735</xdr:colOff>
      <xdr:row>10</xdr:row>
      <xdr:rowOff>44824</xdr:rowOff>
    </xdr:from>
    <xdr:ext cx="1903726" cy="242640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73585" y="9512674"/>
          <a:ext cx="1903726" cy="2426400"/>
        </a:xfrm>
        <a:prstGeom prst="rect">
          <a:avLst/>
        </a:prstGeom>
      </xdr:spPr>
    </xdr:pic>
    <xdr:clientData/>
  </xdr:oneCellAnchor>
  <xdr:oneCellAnchor>
    <xdr:from>
      <xdr:col>12</xdr:col>
      <xdr:colOff>493059</xdr:colOff>
      <xdr:row>11</xdr:row>
      <xdr:rowOff>56029</xdr:rowOff>
    </xdr:from>
    <xdr:ext cx="1444694" cy="242640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08909" y="12057529"/>
          <a:ext cx="1444694" cy="2426400"/>
        </a:xfrm>
        <a:prstGeom prst="rect">
          <a:avLst/>
        </a:prstGeom>
      </xdr:spPr>
    </xdr:pic>
    <xdr:clientData/>
  </xdr:oneCellAnchor>
  <xdr:oneCellAnchor>
    <xdr:from>
      <xdr:col>12</xdr:col>
      <xdr:colOff>302559</xdr:colOff>
      <xdr:row>12</xdr:row>
      <xdr:rowOff>67235</xdr:rowOff>
    </xdr:from>
    <xdr:ext cx="1710346" cy="2426400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18409" y="14602385"/>
          <a:ext cx="1710346" cy="2426400"/>
        </a:xfrm>
        <a:prstGeom prst="rect">
          <a:avLst/>
        </a:prstGeom>
      </xdr:spPr>
    </xdr:pic>
    <xdr:clientData/>
  </xdr:oneCellAnchor>
  <xdr:oneCellAnchor>
    <xdr:from>
      <xdr:col>12</xdr:col>
      <xdr:colOff>515471</xdr:colOff>
      <xdr:row>13</xdr:row>
      <xdr:rowOff>44824</xdr:rowOff>
    </xdr:from>
    <xdr:ext cx="1381580" cy="24264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31321" y="17113624"/>
          <a:ext cx="1381580" cy="2426400"/>
        </a:xfrm>
        <a:prstGeom prst="rect">
          <a:avLst/>
        </a:prstGeom>
      </xdr:spPr>
    </xdr:pic>
    <xdr:clientData/>
  </xdr:oneCellAnchor>
  <xdr:oneCellAnchor>
    <xdr:from>
      <xdr:col>12</xdr:col>
      <xdr:colOff>493060</xdr:colOff>
      <xdr:row>14</xdr:row>
      <xdr:rowOff>33618</xdr:rowOff>
    </xdr:from>
    <xdr:ext cx="1409580" cy="242640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08910" y="19636068"/>
          <a:ext cx="1409580" cy="2426400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15</xdr:row>
      <xdr:rowOff>56029</xdr:rowOff>
    </xdr:from>
    <xdr:ext cx="1847626" cy="242640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83938" y="22192129"/>
          <a:ext cx="1847626" cy="2426400"/>
        </a:xfrm>
        <a:prstGeom prst="rect">
          <a:avLst/>
        </a:prstGeom>
      </xdr:spPr>
    </xdr:pic>
    <xdr:clientData/>
  </xdr:oneCellAnchor>
  <xdr:oneCellAnchor>
    <xdr:from>
      <xdr:col>12</xdr:col>
      <xdr:colOff>190502</xdr:colOff>
      <xdr:row>16</xdr:row>
      <xdr:rowOff>56030</xdr:rowOff>
    </xdr:from>
    <xdr:ext cx="1902368" cy="242640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6352" y="24725780"/>
          <a:ext cx="1902368" cy="2426400"/>
        </a:xfrm>
        <a:prstGeom prst="rect">
          <a:avLst/>
        </a:prstGeom>
      </xdr:spPr>
    </xdr:pic>
    <xdr:clientData/>
  </xdr:oneCellAnchor>
  <xdr:oneCellAnchor>
    <xdr:from>
      <xdr:col>12</xdr:col>
      <xdr:colOff>44826</xdr:colOff>
      <xdr:row>17</xdr:row>
      <xdr:rowOff>268945</xdr:rowOff>
    </xdr:from>
    <xdr:ext cx="2253319" cy="209550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560676" y="27472345"/>
          <a:ext cx="2253319" cy="2095500"/>
        </a:xfrm>
        <a:prstGeom prst="rect">
          <a:avLst/>
        </a:prstGeom>
      </xdr:spPr>
    </xdr:pic>
    <xdr:clientData/>
  </xdr:oneCellAnchor>
  <xdr:oneCellAnchor>
    <xdr:from>
      <xdr:col>12</xdr:col>
      <xdr:colOff>56031</xdr:colOff>
      <xdr:row>18</xdr:row>
      <xdr:rowOff>224117</xdr:rowOff>
    </xdr:from>
    <xdr:ext cx="2229970" cy="201259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571881" y="29961167"/>
          <a:ext cx="2229970" cy="2012595"/>
        </a:xfrm>
        <a:prstGeom prst="rect">
          <a:avLst/>
        </a:prstGeom>
      </xdr:spPr>
    </xdr:pic>
    <xdr:clientData/>
  </xdr:oneCellAnchor>
  <xdr:oneCellAnchor>
    <xdr:from>
      <xdr:col>12</xdr:col>
      <xdr:colOff>156883</xdr:colOff>
      <xdr:row>19</xdr:row>
      <xdr:rowOff>67235</xdr:rowOff>
    </xdr:from>
    <xdr:ext cx="1916206" cy="238441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672733" y="32337935"/>
          <a:ext cx="1916206" cy="238441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425824</xdr:colOff>
      <xdr:row>7</xdr:row>
      <xdr:rowOff>78046</xdr:rowOff>
    </xdr:from>
    <xdr:ext cx="1423958" cy="2432071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41674" y="1944946"/>
          <a:ext cx="1423958" cy="2432071"/>
        </a:xfrm>
        <a:prstGeom prst="rect">
          <a:avLst/>
        </a:prstGeom>
      </xdr:spPr>
    </xdr:pic>
    <xdr:clientData/>
  </xdr:oneCellAnchor>
  <xdr:oneCellAnchor>
    <xdr:from>
      <xdr:col>12</xdr:col>
      <xdr:colOff>86592</xdr:colOff>
      <xdr:row>8</xdr:row>
      <xdr:rowOff>64179</xdr:rowOff>
    </xdr:from>
    <xdr:ext cx="2149866" cy="242454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2442" y="4464729"/>
          <a:ext cx="2149866" cy="2424545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9</xdr:row>
      <xdr:rowOff>56029</xdr:rowOff>
    </xdr:from>
    <xdr:ext cx="2072251" cy="24264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83938" y="6990229"/>
          <a:ext cx="2072251" cy="2426400"/>
        </a:xfrm>
        <a:prstGeom prst="rect">
          <a:avLst/>
        </a:prstGeom>
      </xdr:spPr>
    </xdr:pic>
    <xdr:clientData/>
  </xdr:oneCellAnchor>
  <xdr:oneCellAnchor>
    <xdr:from>
      <xdr:col>12</xdr:col>
      <xdr:colOff>257735</xdr:colOff>
      <xdr:row>10</xdr:row>
      <xdr:rowOff>44824</xdr:rowOff>
    </xdr:from>
    <xdr:ext cx="1903726" cy="242640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73585" y="9512674"/>
          <a:ext cx="1903726" cy="2426400"/>
        </a:xfrm>
        <a:prstGeom prst="rect">
          <a:avLst/>
        </a:prstGeom>
      </xdr:spPr>
    </xdr:pic>
    <xdr:clientData/>
  </xdr:oneCellAnchor>
  <xdr:oneCellAnchor>
    <xdr:from>
      <xdr:col>12</xdr:col>
      <xdr:colOff>493059</xdr:colOff>
      <xdr:row>11</xdr:row>
      <xdr:rowOff>56029</xdr:rowOff>
    </xdr:from>
    <xdr:ext cx="1444694" cy="242640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08909" y="12057529"/>
          <a:ext cx="1444694" cy="2426400"/>
        </a:xfrm>
        <a:prstGeom prst="rect">
          <a:avLst/>
        </a:prstGeom>
      </xdr:spPr>
    </xdr:pic>
    <xdr:clientData/>
  </xdr:oneCellAnchor>
  <xdr:oneCellAnchor>
    <xdr:from>
      <xdr:col>12</xdr:col>
      <xdr:colOff>302559</xdr:colOff>
      <xdr:row>12</xdr:row>
      <xdr:rowOff>67235</xdr:rowOff>
    </xdr:from>
    <xdr:ext cx="1710346" cy="2426400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18409" y="14602385"/>
          <a:ext cx="1710346" cy="2426400"/>
        </a:xfrm>
        <a:prstGeom prst="rect">
          <a:avLst/>
        </a:prstGeom>
      </xdr:spPr>
    </xdr:pic>
    <xdr:clientData/>
  </xdr:oneCellAnchor>
  <xdr:oneCellAnchor>
    <xdr:from>
      <xdr:col>12</xdr:col>
      <xdr:colOff>515471</xdr:colOff>
      <xdr:row>13</xdr:row>
      <xdr:rowOff>44824</xdr:rowOff>
    </xdr:from>
    <xdr:ext cx="1381580" cy="24264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31321" y="17113624"/>
          <a:ext cx="1381580" cy="2426400"/>
        </a:xfrm>
        <a:prstGeom prst="rect">
          <a:avLst/>
        </a:prstGeom>
      </xdr:spPr>
    </xdr:pic>
    <xdr:clientData/>
  </xdr:oneCellAnchor>
  <xdr:oneCellAnchor>
    <xdr:from>
      <xdr:col>12</xdr:col>
      <xdr:colOff>493060</xdr:colOff>
      <xdr:row>14</xdr:row>
      <xdr:rowOff>33618</xdr:rowOff>
    </xdr:from>
    <xdr:ext cx="1409580" cy="242640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08910" y="19636068"/>
          <a:ext cx="1409580" cy="2426400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15</xdr:row>
      <xdr:rowOff>56029</xdr:rowOff>
    </xdr:from>
    <xdr:ext cx="1847626" cy="242640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83938" y="22192129"/>
          <a:ext cx="1847626" cy="2426400"/>
        </a:xfrm>
        <a:prstGeom prst="rect">
          <a:avLst/>
        </a:prstGeom>
      </xdr:spPr>
    </xdr:pic>
    <xdr:clientData/>
  </xdr:oneCellAnchor>
  <xdr:oneCellAnchor>
    <xdr:from>
      <xdr:col>12</xdr:col>
      <xdr:colOff>190502</xdr:colOff>
      <xdr:row>16</xdr:row>
      <xdr:rowOff>56030</xdr:rowOff>
    </xdr:from>
    <xdr:ext cx="1902368" cy="242640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6352" y="24725780"/>
          <a:ext cx="1902368" cy="2426400"/>
        </a:xfrm>
        <a:prstGeom prst="rect">
          <a:avLst/>
        </a:prstGeom>
      </xdr:spPr>
    </xdr:pic>
    <xdr:clientData/>
  </xdr:oneCellAnchor>
  <xdr:oneCellAnchor>
    <xdr:from>
      <xdr:col>12</xdr:col>
      <xdr:colOff>44826</xdr:colOff>
      <xdr:row>17</xdr:row>
      <xdr:rowOff>268945</xdr:rowOff>
    </xdr:from>
    <xdr:ext cx="2253319" cy="209550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560676" y="27472345"/>
          <a:ext cx="2253319" cy="2095500"/>
        </a:xfrm>
        <a:prstGeom prst="rect">
          <a:avLst/>
        </a:prstGeom>
      </xdr:spPr>
    </xdr:pic>
    <xdr:clientData/>
  </xdr:oneCellAnchor>
  <xdr:oneCellAnchor>
    <xdr:from>
      <xdr:col>12</xdr:col>
      <xdr:colOff>56031</xdr:colOff>
      <xdr:row>18</xdr:row>
      <xdr:rowOff>224117</xdr:rowOff>
    </xdr:from>
    <xdr:ext cx="2229970" cy="201259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571881" y="29961167"/>
          <a:ext cx="2229970" cy="2012595"/>
        </a:xfrm>
        <a:prstGeom prst="rect">
          <a:avLst/>
        </a:prstGeom>
      </xdr:spPr>
    </xdr:pic>
    <xdr:clientData/>
  </xdr:oneCellAnchor>
  <xdr:oneCellAnchor>
    <xdr:from>
      <xdr:col>12</xdr:col>
      <xdr:colOff>156883</xdr:colOff>
      <xdr:row>19</xdr:row>
      <xdr:rowOff>67235</xdr:rowOff>
    </xdr:from>
    <xdr:ext cx="1916206" cy="238441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672733" y="32337935"/>
          <a:ext cx="1916206" cy="238441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425824</xdr:colOff>
      <xdr:row>7</xdr:row>
      <xdr:rowOff>78046</xdr:rowOff>
    </xdr:from>
    <xdr:ext cx="1423958" cy="2432071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0779" y="1948410"/>
          <a:ext cx="1423958" cy="2432071"/>
        </a:xfrm>
        <a:prstGeom prst="rect">
          <a:avLst/>
        </a:prstGeom>
      </xdr:spPr>
    </xdr:pic>
    <xdr:clientData/>
  </xdr:oneCellAnchor>
  <xdr:oneCellAnchor>
    <xdr:from>
      <xdr:col>12</xdr:col>
      <xdr:colOff>86592</xdr:colOff>
      <xdr:row>8</xdr:row>
      <xdr:rowOff>64179</xdr:rowOff>
    </xdr:from>
    <xdr:ext cx="2149866" cy="242454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7217" y="4464729"/>
          <a:ext cx="2149866" cy="2424545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9</xdr:row>
      <xdr:rowOff>56029</xdr:rowOff>
    </xdr:from>
    <xdr:ext cx="2072251" cy="242640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93043" y="6983302"/>
          <a:ext cx="2072251" cy="2426400"/>
        </a:xfrm>
        <a:prstGeom prst="rect">
          <a:avLst/>
        </a:prstGeom>
      </xdr:spPr>
    </xdr:pic>
    <xdr:clientData/>
  </xdr:oneCellAnchor>
  <xdr:oneCellAnchor>
    <xdr:from>
      <xdr:col>12</xdr:col>
      <xdr:colOff>257735</xdr:colOff>
      <xdr:row>10</xdr:row>
      <xdr:rowOff>44824</xdr:rowOff>
    </xdr:from>
    <xdr:ext cx="1903726" cy="242640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78360" y="9512674"/>
          <a:ext cx="1903726" cy="2426400"/>
        </a:xfrm>
        <a:prstGeom prst="rect">
          <a:avLst/>
        </a:prstGeom>
      </xdr:spPr>
    </xdr:pic>
    <xdr:clientData/>
  </xdr:oneCellAnchor>
  <xdr:oneCellAnchor>
    <xdr:from>
      <xdr:col>12</xdr:col>
      <xdr:colOff>493059</xdr:colOff>
      <xdr:row>11</xdr:row>
      <xdr:rowOff>56029</xdr:rowOff>
    </xdr:from>
    <xdr:ext cx="1444694" cy="242640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13684" y="12057529"/>
          <a:ext cx="1444694" cy="2426400"/>
        </a:xfrm>
        <a:prstGeom prst="rect">
          <a:avLst/>
        </a:prstGeom>
      </xdr:spPr>
    </xdr:pic>
    <xdr:clientData/>
  </xdr:oneCellAnchor>
  <xdr:oneCellAnchor>
    <xdr:from>
      <xdr:col>12</xdr:col>
      <xdr:colOff>302559</xdr:colOff>
      <xdr:row>12</xdr:row>
      <xdr:rowOff>67235</xdr:rowOff>
    </xdr:from>
    <xdr:ext cx="1710346" cy="2426400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23184" y="14602385"/>
          <a:ext cx="1710346" cy="2426400"/>
        </a:xfrm>
        <a:prstGeom prst="rect">
          <a:avLst/>
        </a:prstGeom>
      </xdr:spPr>
    </xdr:pic>
    <xdr:clientData/>
  </xdr:oneCellAnchor>
  <xdr:oneCellAnchor>
    <xdr:from>
      <xdr:col>12</xdr:col>
      <xdr:colOff>515471</xdr:colOff>
      <xdr:row>13</xdr:row>
      <xdr:rowOff>44824</xdr:rowOff>
    </xdr:from>
    <xdr:ext cx="1381580" cy="24264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36096" y="17113624"/>
          <a:ext cx="1381580" cy="2426400"/>
        </a:xfrm>
        <a:prstGeom prst="rect">
          <a:avLst/>
        </a:prstGeom>
      </xdr:spPr>
    </xdr:pic>
    <xdr:clientData/>
  </xdr:oneCellAnchor>
  <xdr:oneCellAnchor>
    <xdr:from>
      <xdr:col>12</xdr:col>
      <xdr:colOff>493060</xdr:colOff>
      <xdr:row>14</xdr:row>
      <xdr:rowOff>33618</xdr:rowOff>
    </xdr:from>
    <xdr:ext cx="1409580" cy="242640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13685" y="19636068"/>
          <a:ext cx="1409580" cy="2426400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15</xdr:row>
      <xdr:rowOff>56029</xdr:rowOff>
    </xdr:from>
    <xdr:ext cx="1847626" cy="242640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88713" y="22192129"/>
          <a:ext cx="1847626" cy="2426400"/>
        </a:xfrm>
        <a:prstGeom prst="rect">
          <a:avLst/>
        </a:prstGeom>
      </xdr:spPr>
    </xdr:pic>
    <xdr:clientData/>
  </xdr:oneCellAnchor>
  <xdr:oneCellAnchor>
    <xdr:from>
      <xdr:col>12</xdr:col>
      <xdr:colOff>190502</xdr:colOff>
      <xdr:row>16</xdr:row>
      <xdr:rowOff>56030</xdr:rowOff>
    </xdr:from>
    <xdr:ext cx="1902368" cy="242640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811127" y="24725780"/>
          <a:ext cx="1902368" cy="2426400"/>
        </a:xfrm>
        <a:prstGeom prst="rect">
          <a:avLst/>
        </a:prstGeom>
      </xdr:spPr>
    </xdr:pic>
    <xdr:clientData/>
  </xdr:oneCellAnchor>
  <xdr:oneCellAnchor>
    <xdr:from>
      <xdr:col>12</xdr:col>
      <xdr:colOff>44826</xdr:colOff>
      <xdr:row>17</xdr:row>
      <xdr:rowOff>268945</xdr:rowOff>
    </xdr:from>
    <xdr:ext cx="2253319" cy="209550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665451" y="27472345"/>
          <a:ext cx="2253319" cy="2095500"/>
        </a:xfrm>
        <a:prstGeom prst="rect">
          <a:avLst/>
        </a:prstGeom>
      </xdr:spPr>
    </xdr:pic>
    <xdr:clientData/>
  </xdr:oneCellAnchor>
  <xdr:oneCellAnchor>
    <xdr:from>
      <xdr:col>12</xdr:col>
      <xdr:colOff>56031</xdr:colOff>
      <xdr:row>18</xdr:row>
      <xdr:rowOff>224117</xdr:rowOff>
    </xdr:from>
    <xdr:ext cx="2229970" cy="201259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676656" y="29961167"/>
          <a:ext cx="2229970" cy="2012595"/>
        </a:xfrm>
        <a:prstGeom prst="rect">
          <a:avLst/>
        </a:prstGeom>
      </xdr:spPr>
    </xdr:pic>
    <xdr:clientData/>
  </xdr:oneCellAnchor>
  <xdr:oneCellAnchor>
    <xdr:from>
      <xdr:col>12</xdr:col>
      <xdr:colOff>156883</xdr:colOff>
      <xdr:row>19</xdr:row>
      <xdr:rowOff>67235</xdr:rowOff>
    </xdr:from>
    <xdr:ext cx="1916206" cy="238441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77508" y="32337935"/>
          <a:ext cx="1916206" cy="238441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65796</xdr:colOff>
          <xdr:row>19</xdr:row>
          <xdr:rowOff>1</xdr:rowOff>
        </xdr:from>
        <xdr:ext cx="2355273" cy="2528455"/>
        <xdr:pic>
          <xdr:nvPicPr>
            <xdr:cNvPr id="2" name="Imagen 1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IOSTRAS" spid="_x0000_s3320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132971" y="4019551"/>
              <a:ext cx="2355273" cy="2528455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51954</xdr:colOff>
      <xdr:row>9</xdr:row>
      <xdr:rowOff>91540</xdr:rowOff>
    </xdr:from>
    <xdr:to>
      <xdr:col>17</xdr:col>
      <xdr:colOff>2147454</xdr:colOff>
      <xdr:row>9</xdr:row>
      <xdr:rowOff>2571169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63" r="8144" b="8107"/>
        <a:stretch/>
      </xdr:blipFill>
      <xdr:spPr>
        <a:xfrm>
          <a:off x="13057909" y="2152404"/>
          <a:ext cx="2095500" cy="2479629"/>
        </a:xfrm>
        <a:prstGeom prst="rect">
          <a:avLst/>
        </a:prstGeom>
      </xdr:spPr>
    </xdr:pic>
    <xdr:clientData/>
  </xdr:twoCellAnchor>
  <xdr:twoCellAnchor editAs="oneCell">
    <xdr:from>
      <xdr:col>17</xdr:col>
      <xdr:colOff>49481</xdr:colOff>
      <xdr:row>10</xdr:row>
      <xdr:rowOff>74220</xdr:rowOff>
    </xdr:from>
    <xdr:to>
      <xdr:col>17</xdr:col>
      <xdr:colOff>2148694</xdr:colOff>
      <xdr:row>10</xdr:row>
      <xdr:rowOff>2594220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5436" y="4923311"/>
          <a:ext cx="2099213" cy="25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25942</xdr:colOff>
      <xdr:row>13</xdr:row>
      <xdr:rowOff>199076</xdr:rowOff>
    </xdr:from>
    <xdr:to>
      <xdr:col>12</xdr:col>
      <xdr:colOff>463826</xdr:colOff>
      <xdr:row>36</xdr:row>
      <xdr:rowOff>16103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74083</xdr:colOff>
      <xdr:row>3</xdr:row>
      <xdr:rowOff>50799</xdr:rowOff>
    </xdr:from>
    <xdr:to>
      <xdr:col>40</xdr:col>
      <xdr:colOff>40093</xdr:colOff>
      <xdr:row>24</xdr:row>
      <xdr:rowOff>55846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0835D4-71AE-48B1-894D-2505DCD5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9033" y="593724"/>
          <a:ext cx="5248463" cy="37781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33</xdr:col>
      <xdr:colOff>93132</xdr:colOff>
      <xdr:row>44</xdr:row>
      <xdr:rowOff>87842</xdr:rowOff>
    </xdr:from>
    <xdr:to>
      <xdr:col>40</xdr:col>
      <xdr:colOff>182407</xdr:colOff>
      <xdr:row>75</xdr:row>
      <xdr:rowOff>57311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A4D10C-1357-4E68-9CBC-90BFCB06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38082" y="8393642"/>
          <a:ext cx="5371728" cy="4989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25</xdr:col>
      <xdr:colOff>169333</xdr:colOff>
      <xdr:row>53</xdr:row>
      <xdr:rowOff>0</xdr:rowOff>
    </xdr:from>
    <xdr:to>
      <xdr:col>32</xdr:col>
      <xdr:colOff>555625</xdr:colOff>
      <xdr:row>68</xdr:row>
      <xdr:rowOff>134009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D3EB3E-49ED-4E11-8513-2D697B6CF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08908" y="9763125"/>
          <a:ext cx="4529667" cy="256288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25</xdr:col>
      <xdr:colOff>138828</xdr:colOff>
      <xdr:row>3</xdr:row>
      <xdr:rowOff>67473</xdr:rowOff>
    </xdr:from>
    <xdr:to>
      <xdr:col>32</xdr:col>
      <xdr:colOff>707526</xdr:colOff>
      <xdr:row>16</xdr:row>
      <xdr:rowOff>12032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B46629-5A29-4D6E-86B9-58E34200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78403" y="610398"/>
          <a:ext cx="4712073" cy="226037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25</xdr:col>
      <xdr:colOff>71157</xdr:colOff>
      <xdr:row>26</xdr:row>
      <xdr:rowOff>72306</xdr:rowOff>
    </xdr:from>
    <xdr:to>
      <xdr:col>32</xdr:col>
      <xdr:colOff>720136</xdr:colOff>
      <xdr:row>38</xdr:row>
      <xdr:rowOff>31564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49B2CCA-1A41-4A12-8C55-D9D821AD4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02628" y="4700335"/>
          <a:ext cx="4772743" cy="22564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33</xdr:col>
      <xdr:colOff>251510</xdr:colOff>
      <xdr:row>19</xdr:row>
      <xdr:rowOff>178671</xdr:rowOff>
    </xdr:from>
    <xdr:to>
      <xdr:col>39</xdr:col>
      <xdr:colOff>34240</xdr:colOff>
      <xdr:row>20</xdr:row>
      <xdr:rowOff>167465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619E5707-A10C-4199-9C89-0BA1F7D852B6}"/>
            </a:ext>
          </a:extLst>
        </xdr:cNvPr>
        <xdr:cNvSpPr/>
      </xdr:nvSpPr>
      <xdr:spPr>
        <a:xfrm>
          <a:off x="16996460" y="3721971"/>
          <a:ext cx="3897530" cy="17929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609600</xdr:colOff>
      <xdr:row>13</xdr:row>
      <xdr:rowOff>19051</xdr:rowOff>
    </xdr:from>
    <xdr:to>
      <xdr:col>16</xdr:col>
      <xdr:colOff>352425</xdr:colOff>
      <xdr:row>15</xdr:row>
      <xdr:rowOff>168875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EB027-235F-4E00-8155-5057BFE9F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704"/>
        <a:stretch>
          <a:fillRect/>
        </a:stretch>
      </xdr:blipFill>
      <xdr:spPr bwMode="auto">
        <a:xfrm>
          <a:off x="11763375" y="1971676"/>
          <a:ext cx="1266825" cy="5498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269842</xdr:colOff>
      <xdr:row>13</xdr:row>
      <xdr:rowOff>9525</xdr:rowOff>
    </xdr:from>
    <xdr:to>
      <xdr:col>11</xdr:col>
      <xdr:colOff>619125</xdr:colOff>
      <xdr:row>16</xdr:row>
      <xdr:rowOff>3359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C603CC-D4F1-416C-AD80-9D5F14EB8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04092" y="1962150"/>
          <a:ext cx="1882808" cy="58438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644847</xdr:colOff>
      <xdr:row>12</xdr:row>
      <xdr:rowOff>190500</xdr:rowOff>
    </xdr:from>
    <xdr:to>
      <xdr:col>14</xdr:col>
      <xdr:colOff>601711</xdr:colOff>
      <xdr:row>16</xdr:row>
      <xdr:rowOff>9526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130357-B30E-4B2B-8FFE-6CB3C875A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12622" y="1943100"/>
          <a:ext cx="2242864" cy="60960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308884</xdr:colOff>
      <xdr:row>19</xdr:row>
      <xdr:rowOff>23132</xdr:rowOff>
    </xdr:from>
    <xdr:to>
      <xdr:col>11</xdr:col>
      <xdr:colOff>270783</xdr:colOff>
      <xdr:row>23</xdr:row>
      <xdr:rowOff>86007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E2430D-9965-45D1-953D-4919AF493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61491" y="3751489"/>
          <a:ext cx="1499506" cy="8248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307603</xdr:colOff>
      <xdr:row>26</xdr:row>
      <xdr:rowOff>0</xdr:rowOff>
    </xdr:from>
    <xdr:to>
      <xdr:col>11</xdr:col>
      <xdr:colOff>214256</xdr:colOff>
      <xdr:row>30</xdr:row>
      <xdr:rowOff>85539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1013586-94FB-42D3-B71A-FC2C45EBB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t="1" b="1531"/>
        <a:stretch/>
      </xdr:blipFill>
      <xdr:spPr bwMode="auto">
        <a:xfrm>
          <a:off x="7641853" y="4467225"/>
          <a:ext cx="1440178" cy="84753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264460</xdr:colOff>
      <xdr:row>26</xdr:row>
      <xdr:rowOff>19049</xdr:rowOff>
    </xdr:from>
    <xdr:to>
      <xdr:col>13</xdr:col>
      <xdr:colOff>21102</xdr:colOff>
      <xdr:row>30</xdr:row>
      <xdr:rowOff>85724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E6474336-8716-4A71-A3FE-9D819E025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t="1" b="1898"/>
        <a:stretch/>
      </xdr:blipFill>
      <xdr:spPr bwMode="auto">
        <a:xfrm>
          <a:off x="9132235" y="4486274"/>
          <a:ext cx="1280642" cy="8286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300879</xdr:colOff>
      <xdr:row>32</xdr:row>
      <xdr:rowOff>154873</xdr:rowOff>
    </xdr:from>
    <xdr:to>
      <xdr:col>12</xdr:col>
      <xdr:colOff>230216</xdr:colOff>
      <xdr:row>37</xdr:row>
      <xdr:rowOff>28575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1102E634-5401-4026-B395-1B7D00A3E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35129" y="5765098"/>
          <a:ext cx="2224862" cy="83572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314326</xdr:colOff>
      <xdr:row>37</xdr:row>
      <xdr:rowOff>126672</xdr:rowOff>
    </xdr:from>
    <xdr:to>
      <xdr:col>11</xdr:col>
      <xdr:colOff>361950</xdr:colOff>
      <xdr:row>41</xdr:row>
      <xdr:rowOff>147160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8AD5B411-A76B-435A-9163-03FFF4708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48576" y="6698922"/>
          <a:ext cx="1581149" cy="79201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133351</xdr:colOff>
      <xdr:row>42</xdr:row>
      <xdr:rowOff>47625</xdr:rowOff>
    </xdr:from>
    <xdr:to>
      <xdr:col>10</xdr:col>
      <xdr:colOff>222187</xdr:colOff>
      <xdr:row>46</xdr:row>
      <xdr:rowOff>219075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D6BB2F30-2EFF-4A05-9E93-C991B6914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1" y="7591425"/>
          <a:ext cx="850836" cy="10572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479612</xdr:colOff>
      <xdr:row>42</xdr:row>
      <xdr:rowOff>29152</xdr:rowOff>
    </xdr:from>
    <xdr:to>
      <xdr:col>13</xdr:col>
      <xdr:colOff>704850</xdr:colOff>
      <xdr:row>44</xdr:row>
      <xdr:rowOff>234512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3F223AB9-3FCD-492A-BCB8-F9023F2E0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480612" y="7572952"/>
          <a:ext cx="2520763" cy="59588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487457</xdr:colOff>
      <xdr:row>45</xdr:row>
      <xdr:rowOff>28575</xdr:rowOff>
    </xdr:from>
    <xdr:to>
      <xdr:col>12</xdr:col>
      <xdr:colOff>552450</xdr:colOff>
      <xdr:row>47</xdr:row>
      <xdr:rowOff>110990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33B3B6F5-78D4-4205-ADE8-A3A6B6DB7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488457" y="8210550"/>
          <a:ext cx="1598518" cy="57771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161925</xdr:colOff>
      <xdr:row>49</xdr:row>
      <xdr:rowOff>0</xdr:rowOff>
    </xdr:from>
    <xdr:to>
      <xdr:col>10</xdr:col>
      <xdr:colOff>228600</xdr:colOff>
      <xdr:row>53</xdr:row>
      <xdr:rowOff>134927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336BE232-024F-42CA-9002-09DDE1416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00925" y="8715375"/>
          <a:ext cx="828675" cy="1020752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304801</xdr:colOff>
      <xdr:row>50</xdr:row>
      <xdr:rowOff>57150</xdr:rowOff>
    </xdr:from>
    <xdr:to>
      <xdr:col>11</xdr:col>
      <xdr:colOff>447676</xdr:colOff>
      <xdr:row>52</xdr:row>
      <xdr:rowOff>127882</xdr:rowOff>
    </xdr:to>
    <xdr:pic>
      <xdr:nvPicPr>
        <xdr:cNvPr id="14" name="Picture 15">
          <a:extLst>
            <a:ext uri="{FF2B5EF4-FFF2-40B4-BE49-F238E27FC236}">
              <a16:creationId xmlns:a16="http://schemas.microsoft.com/office/drawing/2014/main" id="{D3C3293D-D482-4CF5-8834-B1F1F4FE3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05801" y="8972550"/>
          <a:ext cx="914400" cy="50888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152401</xdr:colOff>
      <xdr:row>54</xdr:row>
      <xdr:rowOff>22744</xdr:rowOff>
    </xdr:from>
    <xdr:to>
      <xdr:col>10</xdr:col>
      <xdr:colOff>209550</xdr:colOff>
      <xdr:row>60</xdr:row>
      <xdr:rowOff>57150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5BF34D2C-F038-44DD-8E88-0E83568EE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91401" y="10271644"/>
          <a:ext cx="819149" cy="118693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246530</xdr:colOff>
      <xdr:row>54</xdr:row>
      <xdr:rowOff>17930</xdr:rowOff>
    </xdr:from>
    <xdr:to>
      <xdr:col>11</xdr:col>
      <xdr:colOff>179855</xdr:colOff>
      <xdr:row>55</xdr:row>
      <xdr:rowOff>31242</xdr:rowOff>
    </xdr:to>
    <xdr:pic>
      <xdr:nvPicPr>
        <xdr:cNvPr id="16" name="Picture 17">
          <a:extLst>
            <a:ext uri="{FF2B5EF4-FFF2-40B4-BE49-F238E27FC236}">
              <a16:creationId xmlns:a16="http://schemas.microsoft.com/office/drawing/2014/main" id="{3D2C9D74-A0FD-425F-80E1-BDEC566BC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47530" y="10266830"/>
          <a:ext cx="704850" cy="20381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129180</xdr:colOff>
      <xdr:row>61</xdr:row>
      <xdr:rowOff>47626</xdr:rowOff>
    </xdr:from>
    <xdr:to>
      <xdr:col>10</xdr:col>
      <xdr:colOff>209549</xdr:colOff>
      <xdr:row>66</xdr:row>
      <xdr:rowOff>145726</xdr:rowOff>
    </xdr:to>
    <xdr:pic>
      <xdr:nvPicPr>
        <xdr:cNvPr id="17" name="Picture 18">
          <a:extLst>
            <a:ext uri="{FF2B5EF4-FFF2-40B4-BE49-F238E27FC236}">
              <a16:creationId xmlns:a16="http://schemas.microsoft.com/office/drawing/2014/main" id="{3D30EE37-83EE-4CD7-9BD6-0E9F1E912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68180" y="11639551"/>
          <a:ext cx="842369" cy="10601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428625</xdr:colOff>
      <xdr:row>63</xdr:row>
      <xdr:rowOff>28575</xdr:rowOff>
    </xdr:from>
    <xdr:to>
      <xdr:col>11</xdr:col>
      <xdr:colOff>9525</xdr:colOff>
      <xdr:row>63</xdr:row>
      <xdr:rowOff>176103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9B66D21B-D32B-44BF-BD32-229247F75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429625" y="12011025"/>
          <a:ext cx="352425" cy="14752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152401</xdr:colOff>
      <xdr:row>67</xdr:row>
      <xdr:rowOff>152401</xdr:rowOff>
    </xdr:from>
    <xdr:to>
      <xdr:col>10</xdr:col>
      <xdr:colOff>180975</xdr:colOff>
      <xdr:row>73</xdr:row>
      <xdr:rowOff>6060</xdr:rowOff>
    </xdr:to>
    <xdr:pic>
      <xdr:nvPicPr>
        <xdr:cNvPr id="19" name="Picture 20">
          <a:extLst>
            <a:ext uri="{FF2B5EF4-FFF2-40B4-BE49-F238E27FC236}">
              <a16:creationId xmlns:a16="http://schemas.microsoft.com/office/drawing/2014/main" id="{4958D770-FE2E-48E5-BF30-F9C39D522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391401" y="12896851"/>
          <a:ext cx="790574" cy="100618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314326</xdr:colOff>
      <xdr:row>70</xdr:row>
      <xdr:rowOff>83496</xdr:rowOff>
    </xdr:from>
    <xdr:to>
      <xdr:col>13</xdr:col>
      <xdr:colOff>247651</xdr:colOff>
      <xdr:row>72</xdr:row>
      <xdr:rowOff>162696</xdr:rowOff>
    </xdr:to>
    <xdr:pic>
      <xdr:nvPicPr>
        <xdr:cNvPr id="20" name="Picture 21">
          <a:extLst>
            <a:ext uri="{FF2B5EF4-FFF2-40B4-BE49-F238E27FC236}">
              <a16:creationId xmlns:a16="http://schemas.microsoft.com/office/drawing/2014/main" id="{1F7AF07F-AD1D-4DA7-A3E7-6952B8A5F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315326" y="13408971"/>
          <a:ext cx="2228850" cy="4602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514351</xdr:colOff>
      <xdr:row>67</xdr:row>
      <xdr:rowOff>141760</xdr:rowOff>
    </xdr:from>
    <xdr:to>
      <xdr:col>12</xdr:col>
      <xdr:colOff>733425</xdr:colOff>
      <xdr:row>70</xdr:row>
      <xdr:rowOff>5544</xdr:rowOff>
    </xdr:to>
    <xdr:pic>
      <xdr:nvPicPr>
        <xdr:cNvPr id="21" name="Picture 22">
          <a:extLst>
            <a:ext uri="{FF2B5EF4-FFF2-40B4-BE49-F238E27FC236}">
              <a16:creationId xmlns:a16="http://schemas.microsoft.com/office/drawing/2014/main" id="{CA594B59-0412-49CB-B837-873940EFB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15351" y="12886210"/>
          <a:ext cx="1752599" cy="44480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65796</xdr:colOff>
          <xdr:row>19</xdr:row>
          <xdr:rowOff>1</xdr:rowOff>
        </xdr:from>
        <xdr:ext cx="2355273" cy="2528455"/>
        <xdr:pic>
          <xdr:nvPicPr>
            <xdr:cNvPr id="3" name="Imagen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S" spid="_x0000_s3114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122325" y="4011707"/>
              <a:ext cx="2355273" cy="2528455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89648</xdr:colOff>
          <xdr:row>14</xdr:row>
          <xdr:rowOff>134470</xdr:rowOff>
        </xdr:from>
        <xdr:ext cx="2355273" cy="2528455"/>
        <xdr:pic>
          <xdr:nvPicPr>
            <xdr:cNvPr id="2" name="Imagen 1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SV" spid="_x0000_s2032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146177" y="3092823"/>
              <a:ext cx="2355273" cy="2528455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338313</xdr:colOff>
          <xdr:row>21</xdr:row>
          <xdr:rowOff>53313</xdr:rowOff>
        </xdr:from>
        <xdr:ext cx="2355273" cy="2528455"/>
        <xdr:pic>
          <xdr:nvPicPr>
            <xdr:cNvPr id="2" name="Imagen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SR" spid="_x0000_s2657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089474" y="4112777"/>
              <a:ext cx="2355273" cy="2528455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 editAs="oneCell">
    <xdr:from>
      <xdr:col>9</xdr:col>
      <xdr:colOff>430894</xdr:colOff>
      <xdr:row>5</xdr:row>
      <xdr:rowOff>79376</xdr:rowOff>
    </xdr:from>
    <xdr:to>
      <xdr:col>15</xdr:col>
      <xdr:colOff>35507</xdr:colOff>
      <xdr:row>35</xdr:row>
      <xdr:rowOff>41606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0090" y="1122590"/>
          <a:ext cx="4163006" cy="56205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123265</xdr:colOff>
      <xdr:row>0</xdr:row>
      <xdr:rowOff>112061</xdr:rowOff>
    </xdr:from>
    <xdr:to>
      <xdr:col>14</xdr:col>
      <xdr:colOff>484782</xdr:colOff>
      <xdr:row>13</xdr:row>
      <xdr:rowOff>159060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98" t="40529" r="25947" b="7831"/>
        <a:stretch/>
      </xdr:blipFill>
      <xdr:spPr>
        <a:xfrm>
          <a:off x="7485530" y="112061"/>
          <a:ext cx="4171517" cy="2557817"/>
        </a:xfrm>
        <a:prstGeom prst="rect">
          <a:avLst/>
        </a:prstGeom>
      </xdr:spPr>
    </xdr:pic>
    <xdr:clientData/>
  </xdr:twoCellAnchor>
  <xdr:twoCellAnchor editAs="oneCell">
    <xdr:from>
      <xdr:col>0</xdr:col>
      <xdr:colOff>598817</xdr:colOff>
      <xdr:row>29</xdr:row>
      <xdr:rowOff>174386</xdr:rowOff>
    </xdr:from>
    <xdr:to>
      <xdr:col>4</xdr:col>
      <xdr:colOff>117871</xdr:colOff>
      <xdr:row>43</xdr:row>
      <xdr:rowOff>151972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817" y="5686980"/>
          <a:ext cx="2969066" cy="2596961"/>
        </a:xfrm>
        <a:prstGeom prst="rect">
          <a:avLst/>
        </a:prstGeom>
      </xdr:spPr>
    </xdr:pic>
    <xdr:clientData/>
  </xdr:twoCellAnchor>
  <xdr:twoCellAnchor editAs="oneCell">
    <xdr:from>
      <xdr:col>9</xdr:col>
      <xdr:colOff>638736</xdr:colOff>
      <xdr:row>60</xdr:row>
      <xdr:rowOff>22413</xdr:rowOff>
    </xdr:from>
    <xdr:to>
      <xdr:col>16</xdr:col>
      <xdr:colOff>287006</xdr:colOff>
      <xdr:row>69</xdr:row>
      <xdr:rowOff>100854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69244"/>
        <a:stretch/>
      </xdr:blipFill>
      <xdr:spPr>
        <a:xfrm>
          <a:off x="8001001" y="8841442"/>
          <a:ext cx="4982270" cy="1725705"/>
        </a:xfrm>
        <a:prstGeom prst="rect">
          <a:avLst/>
        </a:prstGeom>
      </xdr:spPr>
    </xdr:pic>
    <xdr:clientData/>
  </xdr:twoCellAnchor>
  <xdr:twoCellAnchor editAs="oneCell">
    <xdr:from>
      <xdr:col>9</xdr:col>
      <xdr:colOff>672353</xdr:colOff>
      <xdr:row>70</xdr:row>
      <xdr:rowOff>112058</xdr:rowOff>
    </xdr:from>
    <xdr:to>
      <xdr:col>16</xdr:col>
      <xdr:colOff>320623</xdr:colOff>
      <xdr:row>81</xdr:row>
      <xdr:rowOff>75302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65107"/>
        <a:stretch/>
      </xdr:blipFill>
      <xdr:spPr>
        <a:xfrm>
          <a:off x="8034618" y="10757646"/>
          <a:ext cx="4982270" cy="19578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83</xdr:row>
      <xdr:rowOff>0</xdr:rowOff>
    </xdr:from>
    <xdr:to>
      <xdr:col>16</xdr:col>
      <xdr:colOff>353112</xdr:colOff>
      <xdr:row>93</xdr:row>
      <xdr:rowOff>80387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5118" y="13547912"/>
          <a:ext cx="4925112" cy="189574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23</xdr:col>
      <xdr:colOff>67322</xdr:colOff>
      <xdr:row>102</xdr:row>
      <xdr:rowOff>117630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59118" y="13368618"/>
          <a:ext cx="4639322" cy="37819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168088</xdr:colOff>
      <xdr:row>0</xdr:row>
      <xdr:rowOff>145679</xdr:rowOff>
    </xdr:from>
    <xdr:to>
      <xdr:col>14</xdr:col>
      <xdr:colOff>529605</xdr:colOff>
      <xdr:row>14</xdr:row>
      <xdr:rowOff>14084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DBEF07-74D3-4907-BC53-3BEF084ED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98" t="40529" r="25947" b="7831"/>
        <a:stretch/>
      </xdr:blipFill>
      <xdr:spPr>
        <a:xfrm>
          <a:off x="7799294" y="145679"/>
          <a:ext cx="4171517" cy="2557817"/>
        </a:xfrm>
        <a:prstGeom prst="rect">
          <a:avLst/>
        </a:prstGeom>
      </xdr:spPr>
    </xdr:pic>
    <xdr:clientData/>
  </xdr:twoCellAnchor>
  <xdr:twoCellAnchor editAs="oneCell">
    <xdr:from>
      <xdr:col>9</xdr:col>
      <xdr:colOff>638736</xdr:colOff>
      <xdr:row>51</xdr:row>
      <xdr:rowOff>22413</xdr:rowOff>
    </xdr:from>
    <xdr:to>
      <xdr:col>16</xdr:col>
      <xdr:colOff>287006</xdr:colOff>
      <xdr:row>60</xdr:row>
      <xdr:rowOff>100855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D09F04-656B-49E4-B79C-B29C89BE9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69244"/>
        <a:stretch/>
      </xdr:blipFill>
      <xdr:spPr>
        <a:xfrm>
          <a:off x="8230161" y="10785663"/>
          <a:ext cx="4982270" cy="1735791"/>
        </a:xfrm>
        <a:prstGeom prst="rect">
          <a:avLst/>
        </a:prstGeom>
      </xdr:spPr>
    </xdr:pic>
    <xdr:clientData/>
  </xdr:twoCellAnchor>
  <xdr:twoCellAnchor editAs="oneCell">
    <xdr:from>
      <xdr:col>9</xdr:col>
      <xdr:colOff>672353</xdr:colOff>
      <xdr:row>61</xdr:row>
      <xdr:rowOff>112058</xdr:rowOff>
    </xdr:from>
    <xdr:to>
      <xdr:col>16</xdr:col>
      <xdr:colOff>320623</xdr:colOff>
      <xdr:row>72</xdr:row>
      <xdr:rowOff>75301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431730-88F3-4BCB-A0AE-11EC3B4B8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107"/>
        <a:stretch/>
      </xdr:blipFill>
      <xdr:spPr>
        <a:xfrm>
          <a:off x="8263778" y="12713633"/>
          <a:ext cx="4982270" cy="19730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74</xdr:row>
      <xdr:rowOff>0</xdr:rowOff>
    </xdr:from>
    <xdr:to>
      <xdr:col>16</xdr:col>
      <xdr:colOff>353112</xdr:colOff>
      <xdr:row>84</xdr:row>
      <xdr:rowOff>104199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3F1200-CA07-4625-A913-3C44D0E6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3425" y="14982825"/>
          <a:ext cx="4925112" cy="1909187"/>
        </a:xfrm>
        <a:prstGeom prst="rect">
          <a:avLst/>
        </a:prstGeom>
      </xdr:spPr>
    </xdr:pic>
    <xdr:clientData/>
  </xdr:twoCellAnchor>
  <xdr:twoCellAnchor editAs="oneCell">
    <xdr:from>
      <xdr:col>16</xdr:col>
      <xdr:colOff>654843</xdr:colOff>
      <xdr:row>69</xdr:row>
      <xdr:rowOff>83344</xdr:rowOff>
    </xdr:from>
    <xdr:to>
      <xdr:col>22</xdr:col>
      <xdr:colOff>722165</xdr:colOff>
      <xdr:row>90</xdr:row>
      <xdr:rowOff>70005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417C55-2992-4936-86B9-CA5D4CD4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44562" y="12906375"/>
          <a:ext cx="4639322" cy="37728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302559</xdr:colOff>
          <xdr:row>23</xdr:row>
          <xdr:rowOff>56029</xdr:rowOff>
        </xdr:from>
        <xdr:to>
          <xdr:col>7</xdr:col>
          <xdr:colOff>822104</xdr:colOff>
          <xdr:row>38</xdr:row>
          <xdr:rowOff>73347</xdr:rowOff>
        </xdr:to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CONEXIONES" spid="_x0000_s2878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493559" y="4454847"/>
              <a:ext cx="2199409" cy="263236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425824</xdr:colOff>
      <xdr:row>7</xdr:row>
      <xdr:rowOff>78046</xdr:rowOff>
    </xdr:from>
    <xdr:ext cx="1423958" cy="2432071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1024" y="1983046"/>
          <a:ext cx="1423958" cy="2432071"/>
        </a:xfrm>
        <a:prstGeom prst="rect">
          <a:avLst/>
        </a:prstGeom>
      </xdr:spPr>
    </xdr:pic>
    <xdr:clientData/>
  </xdr:oneCellAnchor>
  <xdr:oneCellAnchor>
    <xdr:from>
      <xdr:col>12</xdr:col>
      <xdr:colOff>86592</xdr:colOff>
      <xdr:row>8</xdr:row>
      <xdr:rowOff>64179</xdr:rowOff>
    </xdr:from>
    <xdr:ext cx="2149866" cy="2424545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1792" y="4502829"/>
          <a:ext cx="2149866" cy="2424545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9</xdr:row>
      <xdr:rowOff>56029</xdr:rowOff>
    </xdr:from>
    <xdr:ext cx="2072251" cy="24264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3288" y="7028329"/>
          <a:ext cx="2072251" cy="2426400"/>
        </a:xfrm>
        <a:prstGeom prst="rect">
          <a:avLst/>
        </a:prstGeom>
      </xdr:spPr>
    </xdr:pic>
    <xdr:clientData/>
  </xdr:oneCellAnchor>
  <xdr:oneCellAnchor>
    <xdr:from>
      <xdr:col>12</xdr:col>
      <xdr:colOff>257735</xdr:colOff>
      <xdr:row>10</xdr:row>
      <xdr:rowOff>44824</xdr:rowOff>
    </xdr:from>
    <xdr:ext cx="1903726" cy="24264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82935" y="9550774"/>
          <a:ext cx="1903726" cy="2426400"/>
        </a:xfrm>
        <a:prstGeom prst="rect">
          <a:avLst/>
        </a:prstGeom>
      </xdr:spPr>
    </xdr:pic>
    <xdr:clientData/>
  </xdr:oneCellAnchor>
  <xdr:oneCellAnchor>
    <xdr:from>
      <xdr:col>12</xdr:col>
      <xdr:colOff>493059</xdr:colOff>
      <xdr:row>11</xdr:row>
      <xdr:rowOff>56029</xdr:rowOff>
    </xdr:from>
    <xdr:ext cx="1444694" cy="24264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18259" y="12095629"/>
          <a:ext cx="1444694" cy="2426400"/>
        </a:xfrm>
        <a:prstGeom prst="rect">
          <a:avLst/>
        </a:prstGeom>
      </xdr:spPr>
    </xdr:pic>
    <xdr:clientData/>
  </xdr:oneCellAnchor>
  <xdr:oneCellAnchor>
    <xdr:from>
      <xdr:col>12</xdr:col>
      <xdr:colOff>302559</xdr:colOff>
      <xdr:row>12</xdr:row>
      <xdr:rowOff>67235</xdr:rowOff>
    </xdr:from>
    <xdr:ext cx="1710346" cy="24264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27759" y="14640485"/>
          <a:ext cx="1710346" cy="2426400"/>
        </a:xfrm>
        <a:prstGeom prst="rect">
          <a:avLst/>
        </a:prstGeom>
      </xdr:spPr>
    </xdr:pic>
    <xdr:clientData/>
  </xdr:oneCellAnchor>
  <xdr:oneCellAnchor>
    <xdr:from>
      <xdr:col>12</xdr:col>
      <xdr:colOff>515471</xdr:colOff>
      <xdr:row>13</xdr:row>
      <xdr:rowOff>44824</xdr:rowOff>
    </xdr:from>
    <xdr:ext cx="1381580" cy="2426400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40671" y="17151724"/>
          <a:ext cx="1381580" cy="2426400"/>
        </a:xfrm>
        <a:prstGeom prst="rect">
          <a:avLst/>
        </a:prstGeom>
      </xdr:spPr>
    </xdr:pic>
    <xdr:clientData/>
  </xdr:oneCellAnchor>
  <xdr:oneCellAnchor>
    <xdr:from>
      <xdr:col>12</xdr:col>
      <xdr:colOff>493060</xdr:colOff>
      <xdr:row>14</xdr:row>
      <xdr:rowOff>33618</xdr:rowOff>
    </xdr:from>
    <xdr:ext cx="1409580" cy="2426400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18260" y="19674168"/>
          <a:ext cx="1409580" cy="2426400"/>
        </a:xfrm>
        <a:prstGeom prst="rect">
          <a:avLst/>
        </a:prstGeom>
      </xdr:spPr>
    </xdr:pic>
    <xdr:clientData/>
  </xdr:oneCellAnchor>
  <xdr:oneCellAnchor>
    <xdr:from>
      <xdr:col>12</xdr:col>
      <xdr:colOff>168088</xdr:colOff>
      <xdr:row>15</xdr:row>
      <xdr:rowOff>56029</xdr:rowOff>
    </xdr:from>
    <xdr:ext cx="1847626" cy="2426400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93288" y="22230229"/>
          <a:ext cx="1847626" cy="2426400"/>
        </a:xfrm>
        <a:prstGeom prst="rect">
          <a:avLst/>
        </a:prstGeom>
      </xdr:spPr>
    </xdr:pic>
    <xdr:clientData/>
  </xdr:oneCellAnchor>
  <xdr:oneCellAnchor>
    <xdr:from>
      <xdr:col>12</xdr:col>
      <xdr:colOff>190502</xdr:colOff>
      <xdr:row>16</xdr:row>
      <xdr:rowOff>56030</xdr:rowOff>
    </xdr:from>
    <xdr:ext cx="1902368" cy="24264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15702" y="24763880"/>
          <a:ext cx="1902368" cy="2426400"/>
        </a:xfrm>
        <a:prstGeom prst="rect">
          <a:avLst/>
        </a:prstGeom>
      </xdr:spPr>
    </xdr:pic>
    <xdr:clientData/>
  </xdr:oneCellAnchor>
  <xdr:oneCellAnchor>
    <xdr:from>
      <xdr:col>12</xdr:col>
      <xdr:colOff>44826</xdr:colOff>
      <xdr:row>17</xdr:row>
      <xdr:rowOff>268945</xdr:rowOff>
    </xdr:from>
    <xdr:ext cx="2253319" cy="2095500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70026" y="27510445"/>
          <a:ext cx="2253319" cy="2095500"/>
        </a:xfrm>
        <a:prstGeom prst="rect">
          <a:avLst/>
        </a:prstGeom>
      </xdr:spPr>
    </xdr:pic>
    <xdr:clientData/>
  </xdr:oneCellAnchor>
  <xdr:oneCellAnchor>
    <xdr:from>
      <xdr:col>12</xdr:col>
      <xdr:colOff>56031</xdr:colOff>
      <xdr:row>18</xdr:row>
      <xdr:rowOff>224117</xdr:rowOff>
    </xdr:from>
    <xdr:ext cx="2229970" cy="2012595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81231" y="29999267"/>
          <a:ext cx="2229970" cy="2012595"/>
        </a:xfrm>
        <a:prstGeom prst="rect">
          <a:avLst/>
        </a:prstGeom>
      </xdr:spPr>
    </xdr:pic>
    <xdr:clientData/>
  </xdr:oneCellAnchor>
  <xdr:oneCellAnchor>
    <xdr:from>
      <xdr:col>12</xdr:col>
      <xdr:colOff>156883</xdr:colOff>
      <xdr:row>19</xdr:row>
      <xdr:rowOff>67235</xdr:rowOff>
    </xdr:from>
    <xdr:ext cx="1916206" cy="2384419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82083" y="32376035"/>
          <a:ext cx="1916206" cy="238441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gard/Dropbox/5.%20PROYECTOS%20EN%20CURSO/PE-0231-Caps%20-%20Fernando%20Botero/03-ESTRUCTURA/CANDELARIA/01-HOJAS%20DE%20CALCULO/3.%20IRREGULARIDA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cuments/XIMENA/AVE%20CONSULTORIA/PROYECTOS/PE-0248-REFORZAMIENTO%20IPIALES/03.Estructuras/05.Hojas%20de%20calculo/REFORZAMIENTO/Espectro%20Dis.%20I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EGULARIDADES"/>
    </sheetNames>
    <sheetDataSet>
      <sheetData sheetId="0">
        <row r="15">
          <cell r="L15" t="str">
            <v>SI</v>
          </cell>
        </row>
        <row r="16">
          <cell r="L16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 R"/>
      <sheetName val="Sistemas estructurales"/>
      <sheetName val="RoOmegao"/>
      <sheetName val="SE Combinado"/>
      <sheetName val="Espectro microzonif bta DISEÑO"/>
      <sheetName val="Espect microz bta SEGURID LTDA"/>
      <sheetName val="Espect microz bta umbral daño"/>
      <sheetName val="Diseño"/>
      <sheetName val="municipios"/>
      <sheetName val="AaAvAeAd Municipios"/>
      <sheetName val="Fa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Amazonas</v>
          </cell>
          <cell r="B1" t="str">
            <v>Antioquia</v>
          </cell>
          <cell r="C1" t="str">
            <v>Arauca</v>
          </cell>
          <cell r="D1" t="str">
            <v>San_Andrés</v>
          </cell>
          <cell r="E1" t="str">
            <v>Atlántico</v>
          </cell>
          <cell r="F1" t="str">
            <v>Bolivar</v>
          </cell>
          <cell r="G1" t="str">
            <v>Boyacá</v>
          </cell>
          <cell r="H1" t="str">
            <v>Caldas</v>
          </cell>
          <cell r="I1" t="str">
            <v>Caquetá</v>
          </cell>
          <cell r="J1" t="str">
            <v>Casanare</v>
          </cell>
          <cell r="K1" t="str">
            <v>Cauca</v>
          </cell>
          <cell r="L1" t="str">
            <v>Cesar</v>
          </cell>
          <cell r="M1" t="str">
            <v>Chocó</v>
          </cell>
          <cell r="N1" t="str">
            <v>Córdoba</v>
          </cell>
          <cell r="O1" t="str">
            <v>Cundinamarca</v>
          </cell>
          <cell r="P1" t="str">
            <v>Distrito_Capital</v>
          </cell>
          <cell r="Q1" t="str">
            <v>Guainía</v>
          </cell>
          <cell r="R1" t="str">
            <v>Guajira</v>
          </cell>
          <cell r="S1" t="str">
            <v>Guaviare</v>
          </cell>
          <cell r="T1" t="str">
            <v>Huila</v>
          </cell>
          <cell r="U1" t="str">
            <v>Magdalena</v>
          </cell>
          <cell r="V1" t="str">
            <v>Meta</v>
          </cell>
          <cell r="W1" t="str">
            <v>Nariño</v>
          </cell>
          <cell r="X1" t="str">
            <v>Norte_de_Santander</v>
          </cell>
          <cell r="Y1" t="str">
            <v>Putumayo</v>
          </cell>
          <cell r="Z1" t="str">
            <v>Quindío</v>
          </cell>
          <cell r="AA1" t="str">
            <v>Risaralda</v>
          </cell>
          <cell r="AB1" t="str">
            <v>Santander</v>
          </cell>
          <cell r="AC1" t="str">
            <v>Sucre</v>
          </cell>
          <cell r="AD1" t="str">
            <v>Tolima</v>
          </cell>
          <cell r="AE1" t="str">
            <v>Valle_del_Cauca</v>
          </cell>
          <cell r="AF1" t="str">
            <v>Vaupés</v>
          </cell>
          <cell r="AG1" t="str">
            <v>Vichada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Q69"/>
  <sheetViews>
    <sheetView view="pageBreakPreview" topLeftCell="A14" zoomScale="40" zoomScaleNormal="100" zoomScaleSheetLayoutView="40" workbookViewId="0">
      <selection activeCell="W40" sqref="W40"/>
    </sheetView>
  </sheetViews>
  <sheetFormatPr baseColWidth="10" defaultColWidth="11.42578125" defaultRowHeight="14.25" x14ac:dyDescent="0.2"/>
  <cols>
    <col min="1" max="1" width="4.7109375" style="4" customWidth="1"/>
    <col min="2" max="2" width="7.42578125" style="25" customWidth="1"/>
    <col min="3" max="7" width="8.7109375" style="4" customWidth="1"/>
    <col min="8" max="8" width="17.5703125" style="386" customWidth="1"/>
    <col min="9" max="9" width="4.28515625" style="4" customWidth="1"/>
    <col min="10" max="10" width="9.85546875" style="4" customWidth="1"/>
    <col min="11" max="11" width="10.28515625" style="4" customWidth="1"/>
    <col min="12" max="12" width="9.7109375" style="4" customWidth="1"/>
    <col min="13" max="16" width="12.7109375" style="4" customWidth="1"/>
    <col min="17" max="17" width="5" style="4" customWidth="1"/>
    <col min="18" max="16384" width="11.42578125" style="4"/>
  </cols>
  <sheetData>
    <row r="1" spans="1:17" ht="15.75" thickBot="1" x14ac:dyDescent="0.25">
      <c r="A1" s="7"/>
      <c r="B1" s="22"/>
      <c r="C1" s="393"/>
      <c r="D1" s="8"/>
      <c r="E1" s="8"/>
      <c r="F1" s="7"/>
      <c r="G1" s="8"/>
      <c r="H1" s="8"/>
      <c r="I1" s="8"/>
      <c r="J1" s="8"/>
      <c r="K1" s="8"/>
      <c r="L1" s="8"/>
      <c r="M1" s="8"/>
      <c r="N1" s="8"/>
      <c r="O1" s="8"/>
      <c r="P1" s="8"/>
      <c r="Q1" s="6"/>
    </row>
    <row r="2" spans="1:17" ht="17.25" thickBot="1" x14ac:dyDescent="0.25">
      <c r="A2" s="9"/>
      <c r="B2" s="428"/>
      <c r="C2" s="429"/>
      <c r="D2" s="459" t="s">
        <v>2514</v>
      </c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60"/>
      <c r="Q2" s="6"/>
    </row>
    <row r="3" spans="1:17" ht="7.5" customHeight="1" thickBot="1" x14ac:dyDescent="0.25">
      <c r="A3" s="9"/>
      <c r="B3" s="430"/>
      <c r="C3" s="431"/>
      <c r="D3" s="3"/>
      <c r="E3" s="10"/>
      <c r="F3" s="10"/>
      <c r="G3" s="10"/>
      <c r="H3" s="390"/>
      <c r="I3" s="10"/>
      <c r="J3" s="10"/>
      <c r="K3" s="10"/>
      <c r="L3" s="10"/>
      <c r="M3" s="11"/>
      <c r="N3" s="11"/>
      <c r="O3" s="11"/>
      <c r="P3" s="11"/>
      <c r="Q3" s="6"/>
    </row>
    <row r="4" spans="1:17" ht="19.5" customHeight="1" x14ac:dyDescent="0.2">
      <c r="A4" s="9"/>
      <c r="B4" s="430"/>
      <c r="C4" s="431"/>
      <c r="D4" s="422" t="s">
        <v>0</v>
      </c>
      <c r="E4" s="423"/>
      <c r="F4" s="426"/>
      <c r="G4" s="422"/>
      <c r="H4" s="422"/>
      <c r="I4" s="422"/>
      <c r="J4" s="422"/>
      <c r="K4" s="422"/>
      <c r="L4" s="423"/>
      <c r="M4" s="453" t="s">
        <v>1</v>
      </c>
      <c r="N4" s="454"/>
      <c r="O4" s="454"/>
      <c r="P4" s="455"/>
      <c r="Q4" s="6"/>
    </row>
    <row r="5" spans="1:17" ht="15.75" thickBot="1" x14ac:dyDescent="0.25">
      <c r="A5" s="16"/>
      <c r="B5" s="432"/>
      <c r="C5" s="433"/>
      <c r="D5" s="424" t="s">
        <v>2</v>
      </c>
      <c r="E5" s="425"/>
      <c r="F5" s="427"/>
      <c r="G5" s="424"/>
      <c r="H5" s="424"/>
      <c r="I5" s="424"/>
      <c r="J5" s="424"/>
      <c r="K5" s="424"/>
      <c r="L5" s="425"/>
      <c r="M5" s="456" t="s">
        <v>3</v>
      </c>
      <c r="N5" s="457"/>
      <c r="O5" s="457"/>
      <c r="P5" s="458"/>
      <c r="Q5" s="6"/>
    </row>
    <row r="6" spans="1:17" ht="15.75" thickBot="1" x14ac:dyDescent="0.25">
      <c r="A6" s="2"/>
      <c r="B6" s="22"/>
      <c r="C6" s="7"/>
      <c r="D6" s="8"/>
      <c r="E6" s="8"/>
      <c r="F6" s="7"/>
      <c r="G6" s="8"/>
      <c r="H6" s="8"/>
      <c r="I6" s="8"/>
      <c r="J6" s="8"/>
      <c r="K6" s="8"/>
      <c r="L6" s="8"/>
      <c r="M6" s="8"/>
      <c r="N6" s="8"/>
      <c r="O6" s="8"/>
      <c r="P6" s="12"/>
      <c r="Q6" s="6"/>
    </row>
    <row r="7" spans="1:17" ht="16.5" customHeight="1" thickBot="1" x14ac:dyDescent="0.3">
      <c r="A7" s="17"/>
      <c r="B7" s="462" t="s">
        <v>4</v>
      </c>
      <c r="C7" s="463"/>
      <c r="D7" s="463"/>
      <c r="E7" s="463"/>
      <c r="F7" s="463"/>
      <c r="G7" s="464"/>
      <c r="H7" s="397" t="s">
        <v>5</v>
      </c>
      <c r="I7" s="12"/>
      <c r="J7" s="465" t="s">
        <v>6</v>
      </c>
      <c r="K7" s="466"/>
      <c r="L7" s="468"/>
      <c r="M7" s="465" t="s">
        <v>7</v>
      </c>
      <c r="N7" s="466"/>
      <c r="O7" s="466"/>
      <c r="P7" s="467"/>
      <c r="Q7" s="6"/>
    </row>
    <row r="8" spans="1:17" ht="15" x14ac:dyDescent="0.2">
      <c r="A8" s="2"/>
      <c r="B8" s="1"/>
      <c r="C8" s="12"/>
      <c r="D8" s="285"/>
      <c r="E8" s="285"/>
      <c r="F8" s="12"/>
      <c r="G8" s="285"/>
      <c r="H8" s="391"/>
      <c r="I8" s="12"/>
      <c r="J8" s="280"/>
      <c r="K8" s="280"/>
      <c r="L8" s="280"/>
      <c r="M8" s="280"/>
      <c r="N8" s="280"/>
      <c r="O8" s="19"/>
      <c r="P8" s="2"/>
      <c r="Q8" s="6"/>
    </row>
    <row r="9" spans="1:17" ht="45" x14ac:dyDescent="0.2">
      <c r="A9" s="2"/>
      <c r="B9" s="394">
        <v>1</v>
      </c>
      <c r="C9" s="442" t="s">
        <v>8</v>
      </c>
      <c r="D9" s="442"/>
      <c r="E9" s="442"/>
      <c r="F9" s="442"/>
      <c r="G9" s="442"/>
      <c r="H9" s="442"/>
      <c r="I9" s="12"/>
      <c r="J9" s="396" t="s">
        <v>9</v>
      </c>
      <c r="K9" s="396" t="s">
        <v>10</v>
      </c>
      <c r="L9" s="396" t="s">
        <v>11</v>
      </c>
      <c r="M9" s="440" t="s">
        <v>12</v>
      </c>
      <c r="N9" s="440"/>
      <c r="O9" s="440"/>
      <c r="P9" s="440"/>
      <c r="Q9" s="6"/>
    </row>
    <row r="10" spans="1:17" ht="15" x14ac:dyDescent="0.2">
      <c r="A10" s="2"/>
      <c r="B10" s="1"/>
      <c r="C10" s="12"/>
      <c r="D10" s="285"/>
      <c r="E10" s="285"/>
      <c r="F10" s="12"/>
      <c r="G10" s="285"/>
      <c r="H10" s="391"/>
      <c r="I10" s="12"/>
      <c r="J10" s="280"/>
      <c r="K10" s="280"/>
      <c r="L10" s="280"/>
      <c r="M10" s="280"/>
      <c r="N10" s="280"/>
      <c r="O10" s="19"/>
      <c r="P10" s="2"/>
      <c r="Q10" s="6"/>
    </row>
    <row r="11" spans="1:17" s="389" customFormat="1" ht="33" customHeight="1" x14ac:dyDescent="0.2">
      <c r="A11" s="387"/>
      <c r="B11" s="400">
        <v>1.1000000000000001</v>
      </c>
      <c r="C11" s="441" t="s">
        <v>13</v>
      </c>
      <c r="D11" s="441"/>
      <c r="E11" s="441"/>
      <c r="F11" s="441"/>
      <c r="G11" s="441"/>
      <c r="H11" s="401" t="s">
        <v>14</v>
      </c>
      <c r="I11" s="402"/>
      <c r="J11" s="403"/>
      <c r="K11" s="403"/>
      <c r="L11" s="403"/>
      <c r="M11" s="434"/>
      <c r="N11" s="434"/>
      <c r="O11" s="434"/>
      <c r="P11" s="434"/>
      <c r="Q11" s="388"/>
    </row>
    <row r="12" spans="1:17" ht="26.25" customHeight="1" x14ac:dyDescent="0.2">
      <c r="A12" s="2"/>
      <c r="B12" s="400">
        <v>1.2</v>
      </c>
      <c r="C12" s="441" t="s">
        <v>15</v>
      </c>
      <c r="D12" s="441"/>
      <c r="E12" s="441"/>
      <c r="F12" s="441"/>
      <c r="G12" s="441"/>
      <c r="H12" s="401" t="s">
        <v>16</v>
      </c>
      <c r="I12" s="398"/>
      <c r="J12" s="404"/>
      <c r="K12" s="404"/>
      <c r="L12" s="404"/>
      <c r="M12" s="434"/>
      <c r="N12" s="435"/>
      <c r="O12" s="435"/>
      <c r="P12" s="435"/>
      <c r="Q12" s="6"/>
    </row>
    <row r="13" spans="1:17" x14ac:dyDescent="0.2">
      <c r="A13" s="2"/>
      <c r="B13" s="400">
        <v>1.3</v>
      </c>
      <c r="C13" s="441" t="s">
        <v>17</v>
      </c>
      <c r="D13" s="441"/>
      <c r="E13" s="441"/>
      <c r="F13" s="441"/>
      <c r="G13" s="441"/>
      <c r="H13" s="401" t="s">
        <v>18</v>
      </c>
      <c r="I13" s="398"/>
      <c r="J13" s="404"/>
      <c r="K13" s="404"/>
      <c r="L13" s="404"/>
      <c r="M13" s="434"/>
      <c r="N13" s="435"/>
      <c r="O13" s="435"/>
      <c r="P13" s="435"/>
      <c r="Q13" s="6"/>
    </row>
    <row r="14" spans="1:17" ht="25.5" x14ac:dyDescent="0.2">
      <c r="A14" s="2"/>
      <c r="B14" s="400">
        <v>1.4</v>
      </c>
      <c r="C14" s="441" t="s">
        <v>19</v>
      </c>
      <c r="D14" s="441"/>
      <c r="E14" s="441"/>
      <c r="F14" s="441"/>
      <c r="G14" s="441"/>
      <c r="H14" s="401" t="s">
        <v>20</v>
      </c>
      <c r="I14" s="398"/>
      <c r="J14" s="404"/>
      <c r="K14" s="404"/>
      <c r="L14" s="404"/>
      <c r="M14" s="434"/>
      <c r="N14" s="435"/>
      <c r="O14" s="435"/>
      <c r="P14" s="435"/>
      <c r="Q14" s="6"/>
    </row>
    <row r="15" spans="1:17" ht="25.5" x14ac:dyDescent="0.2">
      <c r="A15" s="2"/>
      <c r="B15" s="400">
        <v>1.5</v>
      </c>
      <c r="C15" s="441" t="s">
        <v>21</v>
      </c>
      <c r="D15" s="441"/>
      <c r="E15" s="441"/>
      <c r="F15" s="441"/>
      <c r="G15" s="441"/>
      <c r="H15" s="401" t="s">
        <v>20</v>
      </c>
      <c r="I15" s="398"/>
      <c r="J15" s="404"/>
      <c r="K15" s="404"/>
      <c r="L15" s="404"/>
      <c r="M15" s="461"/>
      <c r="N15" s="461"/>
      <c r="O15" s="461"/>
      <c r="P15" s="461"/>
      <c r="Q15" s="6"/>
    </row>
    <row r="16" spans="1:17" ht="15" x14ac:dyDescent="0.2">
      <c r="A16" s="2"/>
      <c r="B16" s="1"/>
      <c r="C16" s="12"/>
      <c r="D16" s="285"/>
      <c r="E16" s="285"/>
      <c r="F16" s="12"/>
      <c r="G16" s="285"/>
      <c r="H16" s="391"/>
      <c r="I16" s="12"/>
      <c r="J16" s="280"/>
      <c r="K16" s="280"/>
      <c r="L16" s="280"/>
      <c r="M16" s="280"/>
      <c r="N16" s="280"/>
      <c r="O16" s="19"/>
      <c r="P16" s="2"/>
      <c r="Q16" s="6"/>
    </row>
    <row r="17" spans="1:17" ht="45" x14ac:dyDescent="0.2">
      <c r="A17" s="18"/>
      <c r="B17" s="395">
        <v>2</v>
      </c>
      <c r="C17" s="442" t="s">
        <v>22</v>
      </c>
      <c r="D17" s="442"/>
      <c r="E17" s="442"/>
      <c r="F17" s="442"/>
      <c r="G17" s="442"/>
      <c r="H17" s="442"/>
      <c r="I17" s="20"/>
      <c r="J17" s="396" t="s">
        <v>9</v>
      </c>
      <c r="K17" s="396" t="s">
        <v>10</v>
      </c>
      <c r="L17" s="410" t="s">
        <v>11</v>
      </c>
      <c r="M17" s="440" t="s">
        <v>12</v>
      </c>
      <c r="N17" s="440"/>
      <c r="O17" s="440"/>
      <c r="P17" s="440"/>
      <c r="Q17" s="6"/>
    </row>
    <row r="18" spans="1:17" ht="15" x14ac:dyDescent="0.2">
      <c r="A18" s="2"/>
      <c r="B18" s="1"/>
      <c r="C18" s="12"/>
      <c r="D18" s="285"/>
      <c r="E18" s="285"/>
      <c r="F18" s="12"/>
      <c r="G18" s="285"/>
      <c r="H18" s="391"/>
      <c r="I18" s="12"/>
      <c r="J18" s="280"/>
      <c r="K18" s="280"/>
      <c r="L18" s="280"/>
      <c r="M18" s="280"/>
      <c r="N18" s="280"/>
      <c r="O18" s="19"/>
      <c r="P18" s="2"/>
      <c r="Q18" s="6"/>
    </row>
    <row r="19" spans="1:17" ht="58.5" customHeight="1" x14ac:dyDescent="0.2">
      <c r="A19" s="2"/>
      <c r="B19" s="400">
        <v>2.1</v>
      </c>
      <c r="C19" s="441" t="s">
        <v>23</v>
      </c>
      <c r="D19" s="441"/>
      <c r="E19" s="441"/>
      <c r="F19" s="441"/>
      <c r="G19" s="441"/>
      <c r="H19" s="439" t="s">
        <v>2528</v>
      </c>
      <c r="I19" s="399"/>
      <c r="J19" s="404"/>
      <c r="K19" s="404"/>
      <c r="L19" s="404"/>
      <c r="M19" s="434"/>
      <c r="N19" s="435"/>
      <c r="O19" s="435"/>
      <c r="P19" s="435"/>
      <c r="Q19" s="6"/>
    </row>
    <row r="20" spans="1:17" x14ac:dyDescent="0.2">
      <c r="A20" s="2"/>
      <c r="B20" s="400">
        <v>2.2000000000000002</v>
      </c>
      <c r="C20" s="441" t="s">
        <v>24</v>
      </c>
      <c r="D20" s="441"/>
      <c r="E20" s="441"/>
      <c r="F20" s="441"/>
      <c r="G20" s="441"/>
      <c r="H20" s="439"/>
      <c r="I20" s="399"/>
      <c r="J20" s="404"/>
      <c r="K20" s="404"/>
      <c r="L20" s="404"/>
      <c r="M20" s="434"/>
      <c r="N20" s="435"/>
      <c r="O20" s="435"/>
      <c r="P20" s="435"/>
      <c r="Q20" s="6"/>
    </row>
    <row r="21" spans="1:17" ht="25.5" x14ac:dyDescent="0.2">
      <c r="A21" s="2"/>
      <c r="B21" s="400">
        <v>2.2999999999999998</v>
      </c>
      <c r="C21" s="441" t="s">
        <v>2508</v>
      </c>
      <c r="D21" s="441"/>
      <c r="E21" s="441"/>
      <c r="F21" s="441"/>
      <c r="G21" s="441"/>
      <c r="H21" s="401" t="s">
        <v>2529</v>
      </c>
      <c r="I21" s="399"/>
      <c r="J21" s="404"/>
      <c r="K21" s="404"/>
      <c r="L21" s="404"/>
      <c r="M21" s="434"/>
      <c r="N21" s="435"/>
      <c r="O21" s="435"/>
      <c r="P21" s="435"/>
      <c r="Q21" s="6"/>
    </row>
    <row r="22" spans="1:17" ht="25.5" x14ac:dyDescent="0.2">
      <c r="A22" s="2"/>
      <c r="B22" s="400">
        <v>2.4</v>
      </c>
      <c r="C22" s="441" t="s">
        <v>25</v>
      </c>
      <c r="D22" s="441"/>
      <c r="E22" s="441"/>
      <c r="F22" s="441"/>
      <c r="G22" s="441"/>
      <c r="H22" s="401" t="s">
        <v>2522</v>
      </c>
      <c r="I22" s="399"/>
      <c r="J22" s="404"/>
      <c r="K22" s="404"/>
      <c r="L22" s="404"/>
      <c r="M22" s="434"/>
      <c r="N22" s="435"/>
      <c r="O22" s="435"/>
      <c r="P22" s="435"/>
      <c r="Q22" s="6"/>
    </row>
    <row r="23" spans="1:17" ht="25.5" x14ac:dyDescent="0.2">
      <c r="A23" s="2"/>
      <c r="B23" s="400">
        <v>2.5</v>
      </c>
      <c r="C23" s="441" t="s">
        <v>26</v>
      </c>
      <c r="D23" s="441"/>
      <c r="E23" s="441"/>
      <c r="F23" s="441"/>
      <c r="G23" s="441"/>
      <c r="H23" s="401" t="s">
        <v>2527</v>
      </c>
      <c r="I23" s="399"/>
      <c r="J23" s="404"/>
      <c r="K23" s="404"/>
      <c r="L23" s="404"/>
      <c r="M23" s="434"/>
      <c r="N23" s="435"/>
      <c r="O23" s="435"/>
      <c r="P23" s="435"/>
      <c r="Q23" s="6"/>
    </row>
    <row r="24" spans="1:17" ht="16.5" customHeight="1" x14ac:dyDescent="0.2">
      <c r="A24" s="2"/>
      <c r="B24" s="400">
        <v>2.6</v>
      </c>
      <c r="C24" s="441" t="s">
        <v>27</v>
      </c>
      <c r="D24" s="441"/>
      <c r="E24" s="441"/>
      <c r="F24" s="441"/>
      <c r="G24" s="441"/>
      <c r="H24" s="401" t="s">
        <v>2535</v>
      </c>
      <c r="I24" s="399"/>
      <c r="J24" s="404"/>
      <c r="K24" s="404"/>
      <c r="L24" s="404"/>
      <c r="M24" s="434"/>
      <c r="N24" s="435"/>
      <c r="O24" s="435"/>
      <c r="P24" s="435"/>
      <c r="Q24" s="6"/>
    </row>
    <row r="25" spans="1:17" ht="38.25" x14ac:dyDescent="0.2">
      <c r="A25" s="18"/>
      <c r="B25" s="400">
        <v>2.7</v>
      </c>
      <c r="C25" s="441" t="s">
        <v>28</v>
      </c>
      <c r="D25" s="441"/>
      <c r="E25" s="441"/>
      <c r="F25" s="441"/>
      <c r="G25" s="441"/>
      <c r="H25" s="401" t="s">
        <v>2538</v>
      </c>
      <c r="I25" s="399"/>
      <c r="J25" s="404"/>
      <c r="K25" s="404"/>
      <c r="L25" s="404"/>
      <c r="M25" s="434"/>
      <c r="N25" s="435"/>
      <c r="O25" s="435"/>
      <c r="P25" s="435"/>
      <c r="Q25" s="6"/>
    </row>
    <row r="26" spans="1:17" ht="25.5" x14ac:dyDescent="0.2">
      <c r="A26" s="18"/>
      <c r="B26" s="400">
        <v>2.8</v>
      </c>
      <c r="C26" s="441" t="s">
        <v>2537</v>
      </c>
      <c r="D26" s="441"/>
      <c r="E26" s="441"/>
      <c r="F26" s="441"/>
      <c r="G26" s="441"/>
      <c r="H26" s="401" t="s">
        <v>2536</v>
      </c>
      <c r="I26" s="399"/>
      <c r="J26" s="404"/>
      <c r="K26" s="404"/>
      <c r="L26" s="404"/>
      <c r="M26" s="434"/>
      <c r="N26" s="435"/>
      <c r="O26" s="435"/>
      <c r="P26" s="435"/>
      <c r="Q26" s="6"/>
    </row>
    <row r="27" spans="1:17" ht="33" customHeight="1" x14ac:dyDescent="0.2">
      <c r="A27" s="18"/>
      <c r="B27" s="400">
        <v>2.9</v>
      </c>
      <c r="C27" s="441" t="s">
        <v>29</v>
      </c>
      <c r="D27" s="441"/>
      <c r="E27" s="441"/>
      <c r="F27" s="441"/>
      <c r="G27" s="441"/>
      <c r="H27" s="401"/>
      <c r="I27" s="405"/>
      <c r="J27" s="404"/>
      <c r="K27" s="404"/>
      <c r="L27" s="404"/>
      <c r="M27" s="434"/>
      <c r="N27" s="435"/>
      <c r="O27" s="435"/>
      <c r="P27" s="435"/>
      <c r="Q27" s="6"/>
    </row>
    <row r="28" spans="1:17" ht="15" x14ac:dyDescent="0.2">
      <c r="A28" s="18"/>
      <c r="B28" s="23"/>
      <c r="C28" s="8"/>
      <c r="D28" s="13"/>
      <c r="E28" s="13"/>
      <c r="F28" s="8"/>
      <c r="G28" s="13"/>
      <c r="H28" s="392"/>
      <c r="I28" s="21"/>
      <c r="J28" s="6"/>
      <c r="K28" s="6"/>
      <c r="L28" s="6"/>
      <c r="M28" s="6"/>
      <c r="N28" s="6"/>
      <c r="O28" s="6"/>
      <c r="P28" s="6"/>
      <c r="Q28" s="6"/>
    </row>
    <row r="29" spans="1:17" ht="45" x14ac:dyDescent="0.2">
      <c r="A29" s="18"/>
      <c r="B29" s="395">
        <v>3</v>
      </c>
      <c r="C29" s="442" t="s">
        <v>30</v>
      </c>
      <c r="D29" s="442"/>
      <c r="E29" s="442"/>
      <c r="F29" s="442"/>
      <c r="G29" s="442"/>
      <c r="H29" s="442"/>
      <c r="I29" s="21"/>
      <c r="J29" s="396" t="s">
        <v>9</v>
      </c>
      <c r="K29" s="396" t="s">
        <v>10</v>
      </c>
      <c r="L29" s="396" t="s">
        <v>11</v>
      </c>
      <c r="M29" s="440" t="s">
        <v>12</v>
      </c>
      <c r="N29" s="440"/>
      <c r="O29" s="440"/>
      <c r="P29" s="440"/>
      <c r="Q29" s="6"/>
    </row>
    <row r="30" spans="1:17" ht="15" x14ac:dyDescent="0.2">
      <c r="A30" s="18"/>
      <c r="B30" s="1"/>
      <c r="C30" s="8"/>
      <c r="D30" s="13"/>
      <c r="E30" s="13"/>
      <c r="F30" s="8"/>
      <c r="G30" s="13"/>
      <c r="H30" s="391"/>
      <c r="I30" s="21"/>
      <c r="J30" s="280"/>
      <c r="K30" s="280"/>
      <c r="L30" s="280"/>
      <c r="M30" s="280"/>
      <c r="N30" s="280"/>
      <c r="O30" s="19"/>
      <c r="P30" s="2"/>
      <c r="Q30" s="6"/>
    </row>
    <row r="31" spans="1:17" ht="25.5" x14ac:dyDescent="0.2">
      <c r="A31" s="18"/>
      <c r="B31" s="400" t="s">
        <v>31</v>
      </c>
      <c r="C31" s="450" t="s">
        <v>32</v>
      </c>
      <c r="D31" s="450"/>
      <c r="E31" s="450"/>
      <c r="F31" s="450"/>
      <c r="G31" s="450"/>
      <c r="H31" s="401" t="s">
        <v>2529</v>
      </c>
      <c r="I31" s="405"/>
      <c r="J31" s="404"/>
      <c r="K31" s="404"/>
      <c r="L31" s="404"/>
      <c r="M31" s="434"/>
      <c r="N31" s="435"/>
      <c r="O31" s="435"/>
      <c r="P31" s="435"/>
      <c r="Q31" s="6"/>
    </row>
    <row r="32" spans="1:17" x14ac:dyDescent="0.2">
      <c r="A32" s="18"/>
      <c r="B32" s="400" t="s">
        <v>33</v>
      </c>
      <c r="C32" s="449" t="s">
        <v>34</v>
      </c>
      <c r="D32" s="449"/>
      <c r="E32" s="449"/>
      <c r="F32" s="449"/>
      <c r="G32" s="449"/>
      <c r="H32" s="401" t="s">
        <v>2521</v>
      </c>
      <c r="I32" s="405"/>
      <c r="J32" s="404"/>
      <c r="K32" s="404"/>
      <c r="L32" s="404"/>
      <c r="M32" s="434"/>
      <c r="N32" s="435"/>
      <c r="O32" s="435"/>
      <c r="P32" s="435"/>
      <c r="Q32" s="6"/>
    </row>
    <row r="33" spans="1:17" ht="25.5" x14ac:dyDescent="0.2">
      <c r="A33" s="18"/>
      <c r="B33" s="400" t="s">
        <v>35</v>
      </c>
      <c r="C33" s="449" t="s">
        <v>36</v>
      </c>
      <c r="D33" s="449"/>
      <c r="E33" s="449"/>
      <c r="F33" s="449"/>
      <c r="G33" s="449"/>
      <c r="H33" s="401" t="s">
        <v>2522</v>
      </c>
      <c r="I33" s="405"/>
      <c r="J33" s="404"/>
      <c r="K33" s="404"/>
      <c r="L33" s="404"/>
      <c r="M33" s="434"/>
      <c r="N33" s="435"/>
      <c r="O33" s="435"/>
      <c r="P33" s="435"/>
      <c r="Q33" s="6"/>
    </row>
    <row r="34" spans="1:17" ht="25.5" x14ac:dyDescent="0.2">
      <c r="A34" s="18"/>
      <c r="B34" s="400" t="s">
        <v>37</v>
      </c>
      <c r="C34" s="449" t="s">
        <v>38</v>
      </c>
      <c r="D34" s="449"/>
      <c r="E34" s="449"/>
      <c r="F34" s="449"/>
      <c r="G34" s="449"/>
      <c r="H34" s="401" t="s">
        <v>2525</v>
      </c>
      <c r="I34" s="405"/>
      <c r="J34" s="404"/>
      <c r="K34" s="404"/>
      <c r="L34" s="404"/>
      <c r="M34" s="434"/>
      <c r="N34" s="435"/>
      <c r="O34" s="435"/>
      <c r="P34" s="435"/>
      <c r="Q34" s="6"/>
    </row>
    <row r="35" spans="1:17" x14ac:dyDescent="0.2">
      <c r="A35" s="2"/>
      <c r="B35" s="406" t="s">
        <v>39</v>
      </c>
      <c r="C35" s="451" t="s">
        <v>40</v>
      </c>
      <c r="D35" s="451"/>
      <c r="E35" s="451"/>
      <c r="F35" s="451"/>
      <c r="G35" s="451"/>
      <c r="H35" s="401" t="s">
        <v>2523</v>
      </c>
      <c r="I35" s="405"/>
      <c r="J35" s="404"/>
      <c r="K35" s="404"/>
      <c r="L35" s="404"/>
      <c r="M35" s="434"/>
      <c r="N35" s="435"/>
      <c r="O35" s="435"/>
      <c r="P35" s="435"/>
      <c r="Q35" s="6"/>
    </row>
    <row r="36" spans="1:17" ht="25.5" x14ac:dyDescent="0.2">
      <c r="A36" s="18"/>
      <c r="B36" s="406" t="s">
        <v>41</v>
      </c>
      <c r="C36" s="449" t="s">
        <v>42</v>
      </c>
      <c r="D36" s="449"/>
      <c r="E36" s="449"/>
      <c r="F36" s="449"/>
      <c r="G36" s="449"/>
      <c r="H36" s="401" t="s">
        <v>2524</v>
      </c>
      <c r="I36" s="405"/>
      <c r="J36" s="404"/>
      <c r="K36" s="404"/>
      <c r="L36" s="404"/>
      <c r="M36" s="434"/>
      <c r="N36" s="435"/>
      <c r="O36" s="435"/>
      <c r="P36" s="435"/>
      <c r="Q36" s="6"/>
    </row>
    <row r="37" spans="1:17" ht="25.5" x14ac:dyDescent="0.2">
      <c r="A37" s="2"/>
      <c r="B37" s="406" t="s">
        <v>43</v>
      </c>
      <c r="C37" s="449" t="s">
        <v>44</v>
      </c>
      <c r="D37" s="449"/>
      <c r="E37" s="449"/>
      <c r="F37" s="449"/>
      <c r="G37" s="449"/>
      <c r="H37" s="401" t="s">
        <v>2527</v>
      </c>
      <c r="I37" s="405"/>
      <c r="J37" s="404"/>
      <c r="K37" s="404"/>
      <c r="L37" s="404"/>
      <c r="M37" s="434"/>
      <c r="N37" s="435"/>
      <c r="O37" s="435"/>
      <c r="P37" s="435"/>
      <c r="Q37" s="6"/>
    </row>
    <row r="38" spans="1:17" x14ac:dyDescent="0.2">
      <c r="A38" s="2"/>
      <c r="B38" s="406" t="s">
        <v>45</v>
      </c>
      <c r="C38" s="448" t="s">
        <v>46</v>
      </c>
      <c r="D38" s="448"/>
      <c r="E38" s="448"/>
      <c r="F38" s="448"/>
      <c r="G38" s="448"/>
      <c r="H38" s="401" t="s">
        <v>2526</v>
      </c>
      <c r="I38" s="405"/>
      <c r="J38" s="404"/>
      <c r="K38" s="404"/>
      <c r="L38" s="404"/>
      <c r="M38" s="434"/>
      <c r="N38" s="435"/>
      <c r="O38" s="435"/>
      <c r="P38" s="435"/>
      <c r="Q38" s="6"/>
    </row>
    <row r="39" spans="1:17" ht="25.5" x14ac:dyDescent="0.2">
      <c r="A39" s="18"/>
      <c r="B39" s="407" t="s">
        <v>47</v>
      </c>
      <c r="C39" s="446" t="s">
        <v>48</v>
      </c>
      <c r="D39" s="446"/>
      <c r="E39" s="446"/>
      <c r="F39" s="446"/>
      <c r="G39" s="446"/>
      <c r="H39" s="401" t="s">
        <v>2530</v>
      </c>
      <c r="I39" s="405"/>
      <c r="J39" s="404"/>
      <c r="K39" s="404"/>
      <c r="L39" s="404"/>
      <c r="M39" s="434"/>
      <c r="N39" s="435"/>
      <c r="O39" s="435"/>
      <c r="P39" s="435"/>
      <c r="Q39" s="6"/>
    </row>
    <row r="40" spans="1:17" ht="25.5" x14ac:dyDescent="0.2">
      <c r="A40" s="18"/>
      <c r="B40" s="407" t="s">
        <v>49</v>
      </c>
      <c r="C40" s="447" t="s">
        <v>50</v>
      </c>
      <c r="D40" s="447"/>
      <c r="E40" s="447"/>
      <c r="F40" s="447"/>
      <c r="G40" s="447"/>
      <c r="H40" s="401" t="s">
        <v>2533</v>
      </c>
      <c r="I40" s="405"/>
      <c r="J40" s="404"/>
      <c r="K40" s="404"/>
      <c r="L40" s="404"/>
      <c r="M40" s="434"/>
      <c r="N40" s="435"/>
      <c r="O40" s="435"/>
      <c r="P40" s="435"/>
      <c r="Q40" s="6"/>
    </row>
    <row r="41" spans="1:17" ht="25.5" x14ac:dyDescent="0.2">
      <c r="A41" s="18"/>
      <c r="B41" s="407" t="s">
        <v>51</v>
      </c>
      <c r="C41" s="447" t="s">
        <v>53</v>
      </c>
      <c r="D41" s="447"/>
      <c r="E41" s="447"/>
      <c r="F41" s="447"/>
      <c r="G41" s="447"/>
      <c r="H41" s="401" t="s">
        <v>2531</v>
      </c>
      <c r="I41" s="405"/>
      <c r="J41" s="404"/>
      <c r="K41" s="404"/>
      <c r="L41" s="404"/>
      <c r="M41" s="434"/>
      <c r="N41" s="435"/>
      <c r="O41" s="435"/>
      <c r="P41" s="435"/>
      <c r="Q41" s="6"/>
    </row>
    <row r="42" spans="1:17" ht="25.5" x14ac:dyDescent="0.2">
      <c r="A42" s="18"/>
      <c r="B42" s="407" t="s">
        <v>52</v>
      </c>
      <c r="C42" s="446" t="s">
        <v>54</v>
      </c>
      <c r="D42" s="446"/>
      <c r="E42" s="446"/>
      <c r="F42" s="446"/>
      <c r="G42" s="446"/>
      <c r="H42" s="401" t="s">
        <v>2532</v>
      </c>
      <c r="I42" s="405"/>
      <c r="J42" s="404"/>
      <c r="K42" s="404"/>
      <c r="L42" s="404"/>
      <c r="M42" s="434"/>
      <c r="N42" s="435"/>
      <c r="O42" s="435"/>
      <c r="P42" s="435"/>
      <c r="Q42" s="6"/>
    </row>
    <row r="43" spans="1:17" ht="15" x14ac:dyDescent="0.2">
      <c r="A43" s="18"/>
      <c r="B43" s="23"/>
      <c r="C43" s="8"/>
      <c r="D43" s="13"/>
      <c r="E43" s="13"/>
      <c r="F43" s="8"/>
      <c r="G43" s="13"/>
      <c r="H43" s="392"/>
      <c r="I43" s="21"/>
      <c r="J43" s="14"/>
      <c r="K43" s="14"/>
      <c r="L43" s="14"/>
      <c r="M43" s="14"/>
      <c r="N43" s="14"/>
      <c r="O43" s="15"/>
      <c r="P43" s="7"/>
      <c r="Q43" s="6"/>
    </row>
    <row r="44" spans="1:17" ht="45" x14ac:dyDescent="0.2">
      <c r="A44" s="18"/>
      <c r="B44" s="395">
        <v>4</v>
      </c>
      <c r="C44" s="452" t="s">
        <v>55</v>
      </c>
      <c r="D44" s="452"/>
      <c r="E44" s="452"/>
      <c r="F44" s="452"/>
      <c r="G44" s="452"/>
      <c r="H44" s="452"/>
      <c r="I44" s="21"/>
      <c r="J44" s="396" t="s">
        <v>9</v>
      </c>
      <c r="K44" s="396" t="s">
        <v>10</v>
      </c>
      <c r="L44" s="396" t="s">
        <v>11</v>
      </c>
      <c r="M44" s="440" t="s">
        <v>12</v>
      </c>
      <c r="N44" s="440"/>
      <c r="O44" s="440"/>
      <c r="P44" s="440"/>
      <c r="Q44" s="6"/>
    </row>
    <row r="45" spans="1:17" ht="15" x14ac:dyDescent="0.2">
      <c r="A45" s="18"/>
      <c r="B45" s="1"/>
      <c r="C45" s="445"/>
      <c r="D45" s="445"/>
      <c r="E45" s="445"/>
      <c r="F45" s="445"/>
      <c r="G45" s="445"/>
      <c r="H45" s="392"/>
      <c r="I45" s="21"/>
      <c r="J45" s="14"/>
      <c r="K45" s="14"/>
      <c r="L45" s="14"/>
      <c r="M45" s="14"/>
      <c r="N45" s="14"/>
      <c r="O45" s="15"/>
      <c r="P45" s="2"/>
      <c r="Q45" s="6"/>
    </row>
    <row r="46" spans="1:17" ht="18" customHeight="1" x14ac:dyDescent="0.2">
      <c r="A46" s="18"/>
      <c r="B46" s="406">
        <v>4.0999999999999996</v>
      </c>
      <c r="C46" s="441" t="s">
        <v>2509</v>
      </c>
      <c r="D46" s="441"/>
      <c r="E46" s="441"/>
      <c r="F46" s="441"/>
      <c r="G46" s="441"/>
      <c r="H46" s="401"/>
      <c r="I46" s="405"/>
      <c r="J46" s="404"/>
      <c r="K46" s="404"/>
      <c r="L46" s="404"/>
      <c r="M46" s="434"/>
      <c r="N46" s="435"/>
      <c r="O46" s="435"/>
      <c r="P46" s="435"/>
      <c r="Q46" s="6"/>
    </row>
    <row r="47" spans="1:17" ht="42.75" customHeight="1" x14ac:dyDescent="0.2">
      <c r="A47" s="18"/>
      <c r="B47" s="406">
        <v>4.2</v>
      </c>
      <c r="C47" s="444" t="s">
        <v>56</v>
      </c>
      <c r="D47" s="444"/>
      <c r="E47" s="444"/>
      <c r="F47" s="444"/>
      <c r="G47" s="444"/>
      <c r="H47" s="401"/>
      <c r="I47" s="405"/>
      <c r="J47" s="404"/>
      <c r="K47" s="404"/>
      <c r="L47" s="404"/>
      <c r="M47" s="434"/>
      <c r="N47" s="435"/>
      <c r="O47" s="435"/>
      <c r="P47" s="435"/>
      <c r="Q47" s="6"/>
    </row>
    <row r="48" spans="1:17" ht="46.5" customHeight="1" x14ac:dyDescent="0.2">
      <c r="A48" s="18"/>
      <c r="B48" s="406">
        <v>4.3</v>
      </c>
      <c r="C48" s="444" t="s">
        <v>57</v>
      </c>
      <c r="D48" s="444"/>
      <c r="E48" s="444"/>
      <c r="F48" s="444"/>
      <c r="G48" s="444"/>
      <c r="H48" s="401"/>
      <c r="I48" s="405"/>
      <c r="J48" s="404"/>
      <c r="K48" s="404"/>
      <c r="L48" s="404"/>
      <c r="M48" s="434"/>
      <c r="N48" s="435"/>
      <c r="O48" s="435"/>
      <c r="P48" s="435"/>
      <c r="Q48" s="6"/>
    </row>
    <row r="49" spans="1:17" ht="51" customHeight="1" x14ac:dyDescent="0.2">
      <c r="A49" s="18"/>
      <c r="B49" s="406">
        <v>4.4000000000000004</v>
      </c>
      <c r="C49" s="444" t="s">
        <v>58</v>
      </c>
      <c r="D49" s="444"/>
      <c r="E49" s="444"/>
      <c r="F49" s="444"/>
      <c r="G49" s="444"/>
      <c r="H49" s="401"/>
      <c r="I49" s="405"/>
      <c r="J49" s="404"/>
      <c r="K49" s="404"/>
      <c r="L49" s="404"/>
      <c r="M49" s="434"/>
      <c r="N49" s="435"/>
      <c r="O49" s="435"/>
      <c r="P49" s="435"/>
      <c r="Q49" s="6"/>
    </row>
    <row r="50" spans="1:17" x14ac:dyDescent="0.2">
      <c r="A50" s="18"/>
      <c r="B50" s="406">
        <v>4.5</v>
      </c>
      <c r="C50" s="444" t="s">
        <v>2534</v>
      </c>
      <c r="D50" s="444"/>
      <c r="E50" s="444"/>
      <c r="F50" s="444"/>
      <c r="G50" s="444"/>
      <c r="H50" s="401"/>
      <c r="I50" s="405"/>
      <c r="J50" s="404"/>
      <c r="K50" s="404"/>
      <c r="L50" s="404"/>
      <c r="M50" s="434"/>
      <c r="N50" s="435"/>
      <c r="O50" s="435"/>
      <c r="P50" s="435"/>
      <c r="Q50" s="6"/>
    </row>
    <row r="51" spans="1:17" x14ac:dyDescent="0.2">
      <c r="A51" s="18"/>
      <c r="B51" s="406">
        <v>4.5999999999999996</v>
      </c>
      <c r="C51" s="444" t="s">
        <v>59</v>
      </c>
      <c r="D51" s="444"/>
      <c r="E51" s="444"/>
      <c r="F51" s="444"/>
      <c r="G51" s="444"/>
      <c r="H51" s="401"/>
      <c r="I51" s="405"/>
      <c r="J51" s="404"/>
      <c r="K51" s="404"/>
      <c r="L51" s="404"/>
      <c r="M51" s="434"/>
      <c r="N51" s="435"/>
      <c r="O51" s="435"/>
      <c r="P51" s="435"/>
      <c r="Q51" s="6"/>
    </row>
    <row r="52" spans="1:17" x14ac:dyDescent="0.2">
      <c r="A52" s="18"/>
      <c r="B52" s="406">
        <v>4.7</v>
      </c>
      <c r="C52" s="444" t="s">
        <v>60</v>
      </c>
      <c r="D52" s="444"/>
      <c r="E52" s="444"/>
      <c r="F52" s="444"/>
      <c r="G52" s="444"/>
      <c r="H52" s="401"/>
      <c r="I52" s="405"/>
      <c r="J52" s="404"/>
      <c r="K52" s="404"/>
      <c r="L52" s="404"/>
      <c r="M52" s="434"/>
      <c r="N52" s="435"/>
      <c r="O52" s="435"/>
      <c r="P52" s="435"/>
      <c r="Q52" s="6"/>
    </row>
    <row r="53" spans="1:17" ht="38.25" customHeight="1" x14ac:dyDescent="0.2">
      <c r="A53" s="18"/>
      <c r="B53" s="406">
        <v>4.8</v>
      </c>
      <c r="C53" s="444" t="s">
        <v>61</v>
      </c>
      <c r="D53" s="444"/>
      <c r="E53" s="444"/>
      <c r="F53" s="444"/>
      <c r="G53" s="444"/>
      <c r="H53" s="401"/>
      <c r="I53" s="405"/>
      <c r="J53" s="404"/>
      <c r="K53" s="404"/>
      <c r="L53" s="404"/>
      <c r="M53" s="434"/>
      <c r="N53" s="435"/>
      <c r="O53" s="435"/>
      <c r="P53" s="435"/>
      <c r="Q53" s="6"/>
    </row>
    <row r="54" spans="1:17" x14ac:dyDescent="0.2">
      <c r="A54" s="18"/>
      <c r="B54" s="406">
        <v>4.9000000000000004</v>
      </c>
      <c r="C54" s="444" t="s">
        <v>62</v>
      </c>
      <c r="D54" s="444"/>
      <c r="E54" s="444"/>
      <c r="F54" s="444"/>
      <c r="G54" s="444"/>
      <c r="H54" s="401"/>
      <c r="I54" s="405"/>
      <c r="J54" s="404"/>
      <c r="K54" s="404"/>
      <c r="L54" s="404"/>
      <c r="M54" s="434"/>
      <c r="N54" s="435"/>
      <c r="O54" s="435"/>
      <c r="P54" s="435"/>
      <c r="Q54" s="6"/>
    </row>
    <row r="55" spans="1:17" ht="26.25" customHeight="1" x14ac:dyDescent="0.2">
      <c r="A55" s="18"/>
      <c r="B55" s="408">
        <v>4.0999999999999996</v>
      </c>
      <c r="C55" s="444" t="s">
        <v>2507</v>
      </c>
      <c r="D55" s="444"/>
      <c r="E55" s="444"/>
      <c r="F55" s="444"/>
      <c r="G55" s="444"/>
      <c r="H55" s="401"/>
      <c r="I55" s="405"/>
      <c r="J55" s="404"/>
      <c r="K55" s="404"/>
      <c r="L55" s="404"/>
      <c r="M55" s="434"/>
      <c r="N55" s="435"/>
      <c r="O55" s="435"/>
      <c r="P55" s="435"/>
      <c r="Q55" s="6"/>
    </row>
    <row r="56" spans="1:17" x14ac:dyDescent="0.2">
      <c r="A56" s="18"/>
      <c r="B56" s="406">
        <v>4.1100000000000003</v>
      </c>
      <c r="C56" s="444" t="s">
        <v>63</v>
      </c>
      <c r="D56" s="444"/>
      <c r="E56" s="444"/>
      <c r="F56" s="444"/>
      <c r="G56" s="444"/>
      <c r="H56" s="401"/>
      <c r="I56" s="405"/>
      <c r="J56" s="404"/>
      <c r="K56" s="404"/>
      <c r="L56" s="404"/>
      <c r="M56" s="434"/>
      <c r="N56" s="435"/>
      <c r="O56" s="435"/>
      <c r="P56" s="435"/>
      <c r="Q56" s="6"/>
    </row>
    <row r="57" spans="1:17" x14ac:dyDescent="0.2">
      <c r="A57" s="18"/>
      <c r="B57" s="406">
        <v>4.12</v>
      </c>
      <c r="C57" s="444" t="s">
        <v>64</v>
      </c>
      <c r="D57" s="444"/>
      <c r="E57" s="444"/>
      <c r="F57" s="444"/>
      <c r="G57" s="444"/>
      <c r="H57" s="401"/>
      <c r="I57" s="405"/>
      <c r="J57" s="404"/>
      <c r="K57" s="404"/>
      <c r="L57" s="404"/>
      <c r="M57" s="434"/>
      <c r="N57" s="435"/>
      <c r="O57" s="435"/>
      <c r="P57" s="435"/>
      <c r="Q57" s="6"/>
    </row>
    <row r="58" spans="1:17" x14ac:dyDescent="0.2">
      <c r="A58" s="18"/>
      <c r="B58" s="406">
        <v>4.13</v>
      </c>
      <c r="C58" s="444" t="s">
        <v>65</v>
      </c>
      <c r="D58" s="444"/>
      <c r="E58" s="444"/>
      <c r="F58" s="444"/>
      <c r="G58" s="444"/>
      <c r="H58" s="401"/>
      <c r="I58" s="405"/>
      <c r="J58" s="404"/>
      <c r="K58" s="404"/>
      <c r="L58" s="404"/>
      <c r="M58" s="434"/>
      <c r="N58" s="435"/>
      <c r="O58" s="435"/>
      <c r="P58" s="435"/>
      <c r="Q58" s="6"/>
    </row>
    <row r="59" spans="1:17" x14ac:dyDescent="0.2">
      <c r="A59" s="18"/>
      <c r="B59" s="406">
        <v>4.1399999999999997</v>
      </c>
      <c r="C59" s="444" t="s">
        <v>66</v>
      </c>
      <c r="D59" s="444"/>
      <c r="E59" s="444"/>
      <c r="F59" s="444"/>
      <c r="G59" s="444"/>
      <c r="H59" s="401"/>
      <c r="I59" s="405"/>
      <c r="J59" s="404"/>
      <c r="K59" s="404"/>
      <c r="L59" s="404"/>
      <c r="M59" s="434"/>
      <c r="N59" s="435"/>
      <c r="O59" s="435"/>
      <c r="P59" s="435"/>
      <c r="Q59" s="6"/>
    </row>
    <row r="60" spans="1:17" ht="15" x14ac:dyDescent="0.2">
      <c r="A60" s="2"/>
      <c r="B60" s="22"/>
      <c r="C60" s="8"/>
      <c r="D60" s="8"/>
      <c r="E60" s="8"/>
      <c r="F60" s="8"/>
      <c r="G60" s="8"/>
      <c r="H60" s="8"/>
      <c r="I60" s="21"/>
      <c r="J60" s="8"/>
      <c r="K60" s="8"/>
      <c r="L60" s="8"/>
      <c r="M60" s="8"/>
      <c r="N60" s="8"/>
      <c r="O60" s="8"/>
      <c r="Q60" s="6"/>
    </row>
    <row r="61" spans="1:17" ht="45" x14ac:dyDescent="0.2">
      <c r="A61" s="18"/>
      <c r="B61" s="411">
        <v>5</v>
      </c>
      <c r="C61" s="442" t="s">
        <v>67</v>
      </c>
      <c r="D61" s="442"/>
      <c r="E61" s="442"/>
      <c r="F61" s="442"/>
      <c r="G61" s="442"/>
      <c r="H61" s="442"/>
      <c r="I61" s="21"/>
      <c r="J61" s="396" t="s">
        <v>9</v>
      </c>
      <c r="K61" s="396" t="s">
        <v>10</v>
      </c>
      <c r="L61" s="396" t="s">
        <v>11</v>
      </c>
      <c r="M61" s="440" t="s">
        <v>12</v>
      </c>
      <c r="N61" s="440"/>
      <c r="O61" s="440"/>
      <c r="P61" s="440"/>
      <c r="Q61" s="6"/>
    </row>
    <row r="62" spans="1:17" ht="15" x14ac:dyDescent="0.2">
      <c r="A62" s="18"/>
      <c r="B62" s="22"/>
      <c r="C62" s="8"/>
      <c r="D62" s="8"/>
      <c r="E62" s="8"/>
      <c r="F62" s="8"/>
      <c r="G62" s="8"/>
      <c r="H62" s="8"/>
      <c r="I62" s="21"/>
      <c r="J62" s="8"/>
      <c r="K62" s="8"/>
      <c r="L62" s="8"/>
      <c r="M62" s="8"/>
      <c r="N62" s="8"/>
      <c r="O62" s="8"/>
      <c r="P62" s="8"/>
      <c r="Q62" s="6"/>
    </row>
    <row r="63" spans="1:17" ht="18.75" customHeight="1" x14ac:dyDescent="0.2">
      <c r="A63" s="18"/>
      <c r="B63" s="409" t="s">
        <v>68</v>
      </c>
      <c r="C63" s="443" t="s">
        <v>69</v>
      </c>
      <c r="D63" s="443"/>
      <c r="E63" s="443"/>
      <c r="F63" s="443"/>
      <c r="G63" s="443"/>
      <c r="H63" s="439" t="s">
        <v>2539</v>
      </c>
      <c r="I63" s="405"/>
      <c r="J63" s="404"/>
      <c r="K63" s="404"/>
      <c r="L63" s="404"/>
      <c r="M63" s="436"/>
      <c r="N63" s="437"/>
      <c r="O63" s="437"/>
      <c r="P63" s="438"/>
      <c r="Q63" s="6"/>
    </row>
    <row r="64" spans="1:17" ht="18.75" customHeight="1" x14ac:dyDescent="0.2">
      <c r="A64" s="18"/>
      <c r="B64" s="409" t="s">
        <v>70</v>
      </c>
      <c r="C64" s="443" t="s">
        <v>71</v>
      </c>
      <c r="D64" s="443"/>
      <c r="E64" s="443"/>
      <c r="F64" s="443"/>
      <c r="G64" s="443"/>
      <c r="H64" s="439"/>
      <c r="I64" s="405"/>
      <c r="J64" s="404"/>
      <c r="K64" s="404"/>
      <c r="L64" s="404"/>
      <c r="M64" s="436"/>
      <c r="N64" s="437"/>
      <c r="O64" s="437"/>
      <c r="P64" s="438"/>
      <c r="Q64" s="6"/>
    </row>
    <row r="65" spans="1:17" ht="15" x14ac:dyDescent="0.2">
      <c r="A65" s="6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Q65" s="6"/>
    </row>
    <row r="66" spans="1:17" ht="15" customHeight="1" x14ac:dyDescent="0.2">
      <c r="A66" s="6"/>
      <c r="B66" s="413" t="s">
        <v>72</v>
      </c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5"/>
      <c r="Q66" s="6"/>
    </row>
    <row r="67" spans="1:17" ht="15" customHeight="1" x14ac:dyDescent="0.2">
      <c r="A67" s="6"/>
      <c r="B67" s="416"/>
      <c r="C67" s="417"/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8"/>
      <c r="Q67" s="6"/>
    </row>
    <row r="68" spans="1:17" x14ac:dyDescent="0.2">
      <c r="A68" s="6"/>
      <c r="B68" s="419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1"/>
      <c r="Q68" s="6"/>
    </row>
    <row r="69" spans="1:17" x14ac:dyDescent="0.2">
      <c r="A69" s="6"/>
      <c r="B69" s="24"/>
      <c r="C69" s="19"/>
      <c r="D69" s="1"/>
      <c r="E69" s="1"/>
      <c r="F69" s="19"/>
      <c r="G69" s="1"/>
      <c r="H69" s="280"/>
      <c r="I69" s="19"/>
      <c r="J69" s="6"/>
      <c r="K69" s="6"/>
      <c r="L69" s="6"/>
      <c r="M69" s="6"/>
      <c r="N69" s="6"/>
      <c r="O69" s="6"/>
      <c r="P69" s="6"/>
      <c r="Q69" s="6"/>
    </row>
  </sheetData>
  <mergeCells count="109">
    <mergeCell ref="C57:G57"/>
    <mergeCell ref="C58:G58"/>
    <mergeCell ref="C59:G59"/>
    <mergeCell ref="C46:G46"/>
    <mergeCell ref="C54:G54"/>
    <mergeCell ref="C55:G55"/>
    <mergeCell ref="B7:G7"/>
    <mergeCell ref="M7:P7"/>
    <mergeCell ref="J7:L7"/>
    <mergeCell ref="M40:P40"/>
    <mergeCell ref="M41:P41"/>
    <mergeCell ref="M42:P42"/>
    <mergeCell ref="M47:P47"/>
    <mergeCell ref="M48:P48"/>
    <mergeCell ref="M49:P49"/>
    <mergeCell ref="M50:P50"/>
    <mergeCell ref="M51:P51"/>
    <mergeCell ref="M46:P46"/>
    <mergeCell ref="M44:P44"/>
    <mergeCell ref="M4:P4"/>
    <mergeCell ref="M5:P5"/>
    <mergeCell ref="D2:P2"/>
    <mergeCell ref="M29:P29"/>
    <mergeCell ref="C33:G33"/>
    <mergeCell ref="M35:P35"/>
    <mergeCell ref="C34:G34"/>
    <mergeCell ref="M34:P34"/>
    <mergeCell ref="C32:G32"/>
    <mergeCell ref="M33:P33"/>
    <mergeCell ref="C9:H9"/>
    <mergeCell ref="C19:G19"/>
    <mergeCell ref="C20:G20"/>
    <mergeCell ref="C27:G27"/>
    <mergeCell ref="M15:P15"/>
    <mergeCell ref="H19:H20"/>
    <mergeCell ref="M32:P32"/>
    <mergeCell ref="M31:P31"/>
    <mergeCell ref="C64:G64"/>
    <mergeCell ref="C63:G63"/>
    <mergeCell ref="C49:G49"/>
    <mergeCell ref="C29:H29"/>
    <mergeCell ref="C26:G26"/>
    <mergeCell ref="C48:G48"/>
    <mergeCell ref="C47:G47"/>
    <mergeCell ref="C50:G50"/>
    <mergeCell ref="C45:G45"/>
    <mergeCell ref="C42:G42"/>
    <mergeCell ref="C40:G40"/>
    <mergeCell ref="C39:G39"/>
    <mergeCell ref="C38:G38"/>
    <mergeCell ref="C37:G37"/>
    <mergeCell ref="C31:G31"/>
    <mergeCell ref="C36:G36"/>
    <mergeCell ref="C41:G41"/>
    <mergeCell ref="C35:G35"/>
    <mergeCell ref="C61:H61"/>
    <mergeCell ref="C44:H44"/>
    <mergeCell ref="C51:G51"/>
    <mergeCell ref="C52:G52"/>
    <mergeCell ref="C53:G53"/>
    <mergeCell ref="C56:G56"/>
    <mergeCell ref="M61:P61"/>
    <mergeCell ref="C11:G11"/>
    <mergeCell ref="M11:P11"/>
    <mergeCell ref="M9:P9"/>
    <mergeCell ref="C12:G12"/>
    <mergeCell ref="M12:P12"/>
    <mergeCell ref="C17:H17"/>
    <mergeCell ref="C13:G13"/>
    <mergeCell ref="C15:G15"/>
    <mergeCell ref="M19:P19"/>
    <mergeCell ref="M20:P20"/>
    <mergeCell ref="M21:P21"/>
    <mergeCell ref="M22:P22"/>
    <mergeCell ref="M23:P23"/>
    <mergeCell ref="M17:P17"/>
    <mergeCell ref="C14:G14"/>
    <mergeCell ref="M27:P27"/>
    <mergeCell ref="C21:G21"/>
    <mergeCell ref="C22:G22"/>
    <mergeCell ref="C23:G23"/>
    <mergeCell ref="C24:G24"/>
    <mergeCell ref="C25:G25"/>
    <mergeCell ref="M24:P24"/>
    <mergeCell ref="M25:P25"/>
    <mergeCell ref="B66:P68"/>
    <mergeCell ref="D4:E4"/>
    <mergeCell ref="D5:E5"/>
    <mergeCell ref="F4:L4"/>
    <mergeCell ref="F5:L5"/>
    <mergeCell ref="B2:C5"/>
    <mergeCell ref="M57:P57"/>
    <mergeCell ref="M58:P58"/>
    <mergeCell ref="M59:P59"/>
    <mergeCell ref="M63:P63"/>
    <mergeCell ref="M64:P64"/>
    <mergeCell ref="M52:P52"/>
    <mergeCell ref="M53:P53"/>
    <mergeCell ref="M54:P54"/>
    <mergeCell ref="M55:P55"/>
    <mergeCell ref="M56:P56"/>
    <mergeCell ref="H63:H64"/>
    <mergeCell ref="M13:P13"/>
    <mergeCell ref="M14:P14"/>
    <mergeCell ref="M26:P26"/>
    <mergeCell ref="M36:P36"/>
    <mergeCell ref="M37:P37"/>
    <mergeCell ref="M38:P38"/>
    <mergeCell ref="M39:P39"/>
  </mergeCells>
  <phoneticPr fontId="7" type="noConversion"/>
  <printOptions horizontalCentered="1"/>
  <pageMargins left="0.25" right="0.25" top="0.75" bottom="0.75" header="0.3" footer="0.3"/>
  <pageSetup scale="63" orientation="portrait" r:id="rId1"/>
  <rowBreaks count="1" manualBreakCount="1">
    <brk id="43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9</xdr:col>
                    <xdr:colOff>219075</xdr:colOff>
                    <xdr:row>10</xdr:row>
                    <xdr:rowOff>9525</xdr:rowOff>
                  </from>
                  <to>
                    <xdr:col>9</xdr:col>
                    <xdr:colOff>409575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10</xdr:col>
                    <xdr:colOff>247650</xdr:colOff>
                    <xdr:row>10</xdr:row>
                    <xdr:rowOff>9525</xdr:rowOff>
                  </from>
                  <to>
                    <xdr:col>10</xdr:col>
                    <xdr:colOff>438150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9</xdr:col>
                    <xdr:colOff>219075</xdr:colOff>
                    <xdr:row>11</xdr:row>
                    <xdr:rowOff>9525</xdr:rowOff>
                  </from>
                  <to>
                    <xdr:col>9</xdr:col>
                    <xdr:colOff>409575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9</xdr:col>
                    <xdr:colOff>219075</xdr:colOff>
                    <xdr:row>12</xdr:row>
                    <xdr:rowOff>9525</xdr:rowOff>
                  </from>
                  <to>
                    <xdr:col>9</xdr:col>
                    <xdr:colOff>409575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9</xdr:col>
                    <xdr:colOff>219075</xdr:colOff>
                    <xdr:row>13</xdr:row>
                    <xdr:rowOff>85725</xdr:rowOff>
                  </from>
                  <to>
                    <xdr:col>9</xdr:col>
                    <xdr:colOff>409575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9</xdr:col>
                    <xdr:colOff>219075</xdr:colOff>
                    <xdr:row>14</xdr:row>
                    <xdr:rowOff>85725</xdr:rowOff>
                  </from>
                  <to>
                    <xdr:col>9</xdr:col>
                    <xdr:colOff>409575</xdr:colOff>
                    <xdr:row>14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Check Box 11">
              <controlPr defaultSize="0" autoFill="0" autoLine="0" autoPict="0">
                <anchor moveWithCells="1">
                  <from>
                    <xdr:col>9</xdr:col>
                    <xdr:colOff>219075</xdr:colOff>
                    <xdr:row>18</xdr:row>
                    <xdr:rowOff>9525</xdr:rowOff>
                  </from>
                  <to>
                    <xdr:col>9</xdr:col>
                    <xdr:colOff>409575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12">
              <controlPr defaultSize="0" autoFill="0" autoLine="0" autoPict="0">
                <anchor moveWithCells="1">
                  <from>
                    <xdr:col>9</xdr:col>
                    <xdr:colOff>219075</xdr:colOff>
                    <xdr:row>19</xdr:row>
                    <xdr:rowOff>9525</xdr:rowOff>
                  </from>
                  <to>
                    <xdr:col>9</xdr:col>
                    <xdr:colOff>409575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13">
              <controlPr defaultSize="0" autoFill="0" autoLine="0" autoPict="0">
                <anchor moveWithCells="1">
                  <from>
                    <xdr:col>9</xdr:col>
                    <xdr:colOff>219075</xdr:colOff>
                    <xdr:row>20</xdr:row>
                    <xdr:rowOff>9525</xdr:rowOff>
                  </from>
                  <to>
                    <xdr:col>9</xdr:col>
                    <xdr:colOff>409575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defaultSize="0" autoFill="0" autoLine="0" autoPict="0">
                <anchor moveWithCells="1">
                  <from>
                    <xdr:col>9</xdr:col>
                    <xdr:colOff>219075</xdr:colOff>
                    <xdr:row>21</xdr:row>
                    <xdr:rowOff>9525</xdr:rowOff>
                  </from>
                  <to>
                    <xdr:col>9</xdr:col>
                    <xdr:colOff>409575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9</xdr:col>
                    <xdr:colOff>219075</xdr:colOff>
                    <xdr:row>22</xdr:row>
                    <xdr:rowOff>9525</xdr:rowOff>
                  </from>
                  <to>
                    <xdr:col>9</xdr:col>
                    <xdr:colOff>409575</xdr:colOff>
                    <xdr:row>22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defaultSize="0" autoFill="0" autoLine="0" autoPict="0">
                <anchor moveWithCells="1">
                  <from>
                    <xdr:col>10</xdr:col>
                    <xdr:colOff>247650</xdr:colOff>
                    <xdr:row>11</xdr:row>
                    <xdr:rowOff>9525</xdr:rowOff>
                  </from>
                  <to>
                    <xdr:col>10</xdr:col>
                    <xdr:colOff>438150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defaultSize="0" autoFill="0" autoLine="0" autoPict="0">
                <anchor moveWithCells="1">
                  <from>
                    <xdr:col>10</xdr:col>
                    <xdr:colOff>247650</xdr:colOff>
                    <xdr:row>12</xdr:row>
                    <xdr:rowOff>9525</xdr:rowOff>
                  </from>
                  <to>
                    <xdr:col>10</xdr:col>
                    <xdr:colOff>438150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defaultSize="0" autoFill="0" autoLine="0" autoPict="0">
                <anchor moveWithCells="1">
                  <from>
                    <xdr:col>10</xdr:col>
                    <xdr:colOff>247650</xdr:colOff>
                    <xdr:row>13</xdr:row>
                    <xdr:rowOff>85725</xdr:rowOff>
                  </from>
                  <to>
                    <xdr:col>10</xdr:col>
                    <xdr:colOff>438150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defaultSize="0" autoFill="0" autoLine="0" autoPict="0">
                <anchor moveWithCells="1">
                  <from>
                    <xdr:col>10</xdr:col>
                    <xdr:colOff>247650</xdr:colOff>
                    <xdr:row>14</xdr:row>
                    <xdr:rowOff>85725</xdr:rowOff>
                  </from>
                  <to>
                    <xdr:col>10</xdr:col>
                    <xdr:colOff>438150</xdr:colOff>
                    <xdr:row>14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9" name="Check Box 25">
              <controlPr defaultSize="0" autoFill="0" autoLine="0" autoPict="0">
                <anchor moveWithCells="1">
                  <from>
                    <xdr:col>10</xdr:col>
                    <xdr:colOff>247650</xdr:colOff>
                    <xdr:row>18</xdr:row>
                    <xdr:rowOff>9525</xdr:rowOff>
                  </from>
                  <to>
                    <xdr:col>10</xdr:col>
                    <xdr:colOff>438150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0" name="Check Box 26">
              <controlPr defaultSize="0" autoFill="0" autoLine="0" autoPict="0">
                <anchor moveWithCells="1">
                  <from>
                    <xdr:col>10</xdr:col>
                    <xdr:colOff>247650</xdr:colOff>
                    <xdr:row>19</xdr:row>
                    <xdr:rowOff>9525</xdr:rowOff>
                  </from>
                  <to>
                    <xdr:col>10</xdr:col>
                    <xdr:colOff>438150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1" name="Check Box 27">
              <controlPr defaultSize="0" autoFill="0" autoLine="0" autoPict="0">
                <anchor moveWithCells="1">
                  <from>
                    <xdr:col>10</xdr:col>
                    <xdr:colOff>247650</xdr:colOff>
                    <xdr:row>20</xdr:row>
                    <xdr:rowOff>9525</xdr:rowOff>
                  </from>
                  <to>
                    <xdr:col>10</xdr:col>
                    <xdr:colOff>438150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2" name="Check Box 28">
              <controlPr defaultSize="0" autoFill="0" autoLine="0" autoPict="0">
                <anchor moveWithCells="1">
                  <from>
                    <xdr:col>10</xdr:col>
                    <xdr:colOff>247650</xdr:colOff>
                    <xdr:row>21</xdr:row>
                    <xdr:rowOff>9525</xdr:rowOff>
                  </from>
                  <to>
                    <xdr:col>10</xdr:col>
                    <xdr:colOff>438150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3" name="Check Box 29">
              <controlPr defaultSize="0" autoFill="0" autoLine="0" autoPict="0">
                <anchor moveWithCells="1">
                  <from>
                    <xdr:col>10</xdr:col>
                    <xdr:colOff>247650</xdr:colOff>
                    <xdr:row>22</xdr:row>
                    <xdr:rowOff>9525</xdr:rowOff>
                  </from>
                  <to>
                    <xdr:col>10</xdr:col>
                    <xdr:colOff>438150</xdr:colOff>
                    <xdr:row>22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4" name="Check Box 30">
              <controlPr defaultSize="0" autoFill="0" autoLine="0" autoPict="0">
                <anchor moveWithCells="1">
                  <from>
                    <xdr:col>10</xdr:col>
                    <xdr:colOff>247650</xdr:colOff>
                    <xdr:row>23</xdr:row>
                    <xdr:rowOff>9525</xdr:rowOff>
                  </from>
                  <to>
                    <xdr:col>10</xdr:col>
                    <xdr:colOff>438150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5" name="Check Box 31">
              <controlPr defaultSize="0" autoFill="0" autoLine="0" autoPict="0">
                <anchor moveWithCells="1">
                  <from>
                    <xdr:col>10</xdr:col>
                    <xdr:colOff>247650</xdr:colOff>
                    <xdr:row>24</xdr:row>
                    <xdr:rowOff>9525</xdr:rowOff>
                  </from>
                  <to>
                    <xdr:col>10</xdr:col>
                    <xdr:colOff>438150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6" name="Check Box 32">
              <controlPr defaultSize="0" autoFill="0" autoLine="0" autoPict="0">
                <anchor moveWithCells="1">
                  <from>
                    <xdr:col>9</xdr:col>
                    <xdr:colOff>219075</xdr:colOff>
                    <xdr:row>23</xdr:row>
                    <xdr:rowOff>9525</xdr:rowOff>
                  </from>
                  <to>
                    <xdr:col>9</xdr:col>
                    <xdr:colOff>409575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7" name="Check Box 33">
              <controlPr defaultSize="0" autoFill="0" autoLine="0" autoPict="0">
                <anchor moveWithCells="1">
                  <from>
                    <xdr:col>9</xdr:col>
                    <xdr:colOff>219075</xdr:colOff>
                    <xdr:row>24</xdr:row>
                    <xdr:rowOff>9525</xdr:rowOff>
                  </from>
                  <to>
                    <xdr:col>9</xdr:col>
                    <xdr:colOff>409575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8" name="Check Box 34">
              <controlPr defaultSize="0" autoFill="0" autoLine="0" autoPict="0">
                <anchor moveWithCells="1">
                  <from>
                    <xdr:col>9</xdr:col>
                    <xdr:colOff>219075</xdr:colOff>
                    <xdr:row>25</xdr:row>
                    <xdr:rowOff>104775</xdr:rowOff>
                  </from>
                  <to>
                    <xdr:col>9</xdr:col>
                    <xdr:colOff>409575</xdr:colOff>
                    <xdr:row>25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9" name="Check Box 35">
              <controlPr defaultSize="0" autoFill="0" autoLine="0" autoPict="0">
                <anchor moveWithCells="1">
                  <from>
                    <xdr:col>9</xdr:col>
                    <xdr:colOff>219075</xdr:colOff>
                    <xdr:row>26</xdr:row>
                    <xdr:rowOff>104775</xdr:rowOff>
                  </from>
                  <to>
                    <xdr:col>9</xdr:col>
                    <xdr:colOff>409575</xdr:colOff>
                    <xdr:row>26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0" name="Check Box 36">
              <controlPr defaultSize="0" autoFill="0" autoLine="0" autoPict="0">
                <anchor moveWithCells="1">
                  <from>
                    <xdr:col>10</xdr:col>
                    <xdr:colOff>247650</xdr:colOff>
                    <xdr:row>25</xdr:row>
                    <xdr:rowOff>104775</xdr:rowOff>
                  </from>
                  <to>
                    <xdr:col>10</xdr:col>
                    <xdr:colOff>438150</xdr:colOff>
                    <xdr:row>25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1" name="Check Box 37">
              <controlPr defaultSize="0" autoFill="0" autoLine="0" autoPict="0">
                <anchor moveWithCells="1">
                  <from>
                    <xdr:col>10</xdr:col>
                    <xdr:colOff>247650</xdr:colOff>
                    <xdr:row>26</xdr:row>
                    <xdr:rowOff>104775</xdr:rowOff>
                  </from>
                  <to>
                    <xdr:col>10</xdr:col>
                    <xdr:colOff>438150</xdr:colOff>
                    <xdr:row>26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2" name="Check Box 38">
              <controlPr defaultSize="0" autoFill="0" autoLine="0" autoPict="0">
                <anchor moveWithCells="1">
                  <from>
                    <xdr:col>9</xdr:col>
                    <xdr:colOff>219075</xdr:colOff>
                    <xdr:row>30</xdr:row>
                    <xdr:rowOff>9525</xdr:rowOff>
                  </from>
                  <to>
                    <xdr:col>9</xdr:col>
                    <xdr:colOff>409575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3" name="Check Box 39">
              <controlPr defaultSize="0" autoFill="0" autoLine="0" autoPict="0">
                <anchor moveWithCells="1">
                  <from>
                    <xdr:col>9</xdr:col>
                    <xdr:colOff>219075</xdr:colOff>
                    <xdr:row>31</xdr:row>
                    <xdr:rowOff>9525</xdr:rowOff>
                  </from>
                  <to>
                    <xdr:col>9</xdr:col>
                    <xdr:colOff>409575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4" name="Check Box 40">
              <controlPr defaultSize="0" autoFill="0" autoLine="0" autoPict="0">
                <anchor moveWithCells="1">
                  <from>
                    <xdr:col>9</xdr:col>
                    <xdr:colOff>219075</xdr:colOff>
                    <xdr:row>32</xdr:row>
                    <xdr:rowOff>9525</xdr:rowOff>
                  </from>
                  <to>
                    <xdr:col>9</xdr:col>
                    <xdr:colOff>409575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5" name="Check Box 41">
              <controlPr defaultSize="0" autoFill="0" autoLine="0" autoPict="0">
                <anchor moveWithCells="1">
                  <from>
                    <xdr:col>9</xdr:col>
                    <xdr:colOff>219075</xdr:colOff>
                    <xdr:row>33</xdr:row>
                    <xdr:rowOff>9525</xdr:rowOff>
                  </from>
                  <to>
                    <xdr:col>9</xdr:col>
                    <xdr:colOff>409575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6" name="Check Box 42">
              <controlPr defaultSize="0" autoFill="0" autoLine="0" autoPict="0">
                <anchor moveWithCells="1">
                  <from>
                    <xdr:col>9</xdr:col>
                    <xdr:colOff>219075</xdr:colOff>
                    <xdr:row>34</xdr:row>
                    <xdr:rowOff>9525</xdr:rowOff>
                  </from>
                  <to>
                    <xdr:col>9</xdr:col>
                    <xdr:colOff>409575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7" name="Check Box 43">
              <controlPr defaultSize="0" autoFill="0" autoLine="0" autoPict="0">
                <anchor moveWithCells="1">
                  <from>
                    <xdr:col>10</xdr:col>
                    <xdr:colOff>247650</xdr:colOff>
                    <xdr:row>30</xdr:row>
                    <xdr:rowOff>9525</xdr:rowOff>
                  </from>
                  <to>
                    <xdr:col>10</xdr:col>
                    <xdr:colOff>438150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8" name="Check Box 44">
              <controlPr defaultSize="0" autoFill="0" autoLine="0" autoPict="0">
                <anchor moveWithCells="1">
                  <from>
                    <xdr:col>10</xdr:col>
                    <xdr:colOff>247650</xdr:colOff>
                    <xdr:row>31</xdr:row>
                    <xdr:rowOff>9525</xdr:rowOff>
                  </from>
                  <to>
                    <xdr:col>10</xdr:col>
                    <xdr:colOff>438150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9" name="Check Box 45">
              <controlPr defaultSize="0" autoFill="0" autoLine="0" autoPict="0">
                <anchor moveWithCells="1">
                  <from>
                    <xdr:col>10</xdr:col>
                    <xdr:colOff>247650</xdr:colOff>
                    <xdr:row>32</xdr:row>
                    <xdr:rowOff>9525</xdr:rowOff>
                  </from>
                  <to>
                    <xdr:col>10</xdr:col>
                    <xdr:colOff>438150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10</xdr:col>
                    <xdr:colOff>247650</xdr:colOff>
                    <xdr:row>33</xdr:row>
                    <xdr:rowOff>9525</xdr:rowOff>
                  </from>
                  <to>
                    <xdr:col>10</xdr:col>
                    <xdr:colOff>438150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1" name="Check Box 47">
              <controlPr defaultSize="0" autoFill="0" autoLine="0" autoPict="0">
                <anchor moveWithCells="1">
                  <from>
                    <xdr:col>10</xdr:col>
                    <xdr:colOff>247650</xdr:colOff>
                    <xdr:row>34</xdr:row>
                    <xdr:rowOff>9525</xdr:rowOff>
                  </from>
                  <to>
                    <xdr:col>10</xdr:col>
                    <xdr:colOff>438150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2" name="Check Box 48">
              <controlPr defaultSize="0" autoFill="0" autoLine="0" autoPict="0">
                <anchor moveWithCells="1">
                  <from>
                    <xdr:col>10</xdr:col>
                    <xdr:colOff>247650</xdr:colOff>
                    <xdr:row>35</xdr:row>
                    <xdr:rowOff>9525</xdr:rowOff>
                  </from>
                  <to>
                    <xdr:col>10</xdr:col>
                    <xdr:colOff>438150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3" name="Check Box 49">
              <controlPr defaultSize="0" autoFill="0" autoLine="0" autoPict="0">
                <anchor moveWithCells="1">
                  <from>
                    <xdr:col>10</xdr:col>
                    <xdr:colOff>247650</xdr:colOff>
                    <xdr:row>36</xdr:row>
                    <xdr:rowOff>9525</xdr:rowOff>
                  </from>
                  <to>
                    <xdr:col>10</xdr:col>
                    <xdr:colOff>438150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4" name="Check Box 50">
              <controlPr defaultSize="0" autoFill="0" autoLine="0" autoPict="0">
                <anchor moveWithCells="1">
                  <from>
                    <xdr:col>9</xdr:col>
                    <xdr:colOff>219075</xdr:colOff>
                    <xdr:row>35</xdr:row>
                    <xdr:rowOff>9525</xdr:rowOff>
                  </from>
                  <to>
                    <xdr:col>9</xdr:col>
                    <xdr:colOff>409575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5" name="Check Box 51">
              <controlPr defaultSize="0" autoFill="0" autoLine="0" autoPict="0">
                <anchor moveWithCells="1">
                  <from>
                    <xdr:col>9</xdr:col>
                    <xdr:colOff>219075</xdr:colOff>
                    <xdr:row>36</xdr:row>
                    <xdr:rowOff>9525</xdr:rowOff>
                  </from>
                  <to>
                    <xdr:col>9</xdr:col>
                    <xdr:colOff>409575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46" name="Check Box 53">
              <controlPr defaultSize="0" autoFill="0" autoLine="0" autoPict="0">
                <anchor moveWithCells="1">
                  <from>
                    <xdr:col>9</xdr:col>
                    <xdr:colOff>219075</xdr:colOff>
                    <xdr:row>38</xdr:row>
                    <xdr:rowOff>9525</xdr:rowOff>
                  </from>
                  <to>
                    <xdr:col>9</xdr:col>
                    <xdr:colOff>409575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7" name="Check Box 54">
              <controlPr defaultSize="0" autoFill="0" autoLine="0" autoPict="0">
                <anchor moveWithCells="1">
                  <from>
                    <xdr:col>9</xdr:col>
                    <xdr:colOff>219075</xdr:colOff>
                    <xdr:row>39</xdr:row>
                    <xdr:rowOff>9525</xdr:rowOff>
                  </from>
                  <to>
                    <xdr:col>9</xdr:col>
                    <xdr:colOff>409575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8" name="Check Box 55">
              <controlPr defaultSize="0" autoFill="0" autoLine="0" autoPict="0">
                <anchor moveWithCells="1">
                  <from>
                    <xdr:col>9</xdr:col>
                    <xdr:colOff>219075</xdr:colOff>
                    <xdr:row>40</xdr:row>
                    <xdr:rowOff>9525</xdr:rowOff>
                  </from>
                  <to>
                    <xdr:col>9</xdr:col>
                    <xdr:colOff>409575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9" name="Check Box 56">
              <controlPr defaultSize="0" autoFill="0" autoLine="0" autoPict="0">
                <anchor moveWithCells="1">
                  <from>
                    <xdr:col>9</xdr:col>
                    <xdr:colOff>219075</xdr:colOff>
                    <xdr:row>41</xdr:row>
                    <xdr:rowOff>9525</xdr:rowOff>
                  </from>
                  <to>
                    <xdr:col>9</xdr:col>
                    <xdr:colOff>409575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0" name="Check Box 58">
              <controlPr defaultSize="0" autoFill="0" autoLine="0" autoPict="0">
                <anchor moveWithCells="1">
                  <from>
                    <xdr:col>10</xdr:col>
                    <xdr:colOff>247650</xdr:colOff>
                    <xdr:row>38</xdr:row>
                    <xdr:rowOff>9525</xdr:rowOff>
                  </from>
                  <to>
                    <xdr:col>10</xdr:col>
                    <xdr:colOff>438150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51" name="Check Box 59">
              <controlPr defaultSize="0" autoFill="0" autoLine="0" autoPict="0">
                <anchor moveWithCells="1">
                  <from>
                    <xdr:col>10</xdr:col>
                    <xdr:colOff>247650</xdr:colOff>
                    <xdr:row>39</xdr:row>
                    <xdr:rowOff>9525</xdr:rowOff>
                  </from>
                  <to>
                    <xdr:col>10</xdr:col>
                    <xdr:colOff>438150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52" name="Check Box 60">
              <controlPr defaultSize="0" autoFill="0" autoLine="0" autoPict="0">
                <anchor moveWithCells="1">
                  <from>
                    <xdr:col>10</xdr:col>
                    <xdr:colOff>247650</xdr:colOff>
                    <xdr:row>40</xdr:row>
                    <xdr:rowOff>9525</xdr:rowOff>
                  </from>
                  <to>
                    <xdr:col>10</xdr:col>
                    <xdr:colOff>438150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53" name="Check Box 61">
              <controlPr defaultSize="0" autoFill="0" autoLine="0" autoPict="0">
                <anchor moveWithCells="1">
                  <from>
                    <xdr:col>10</xdr:col>
                    <xdr:colOff>247650</xdr:colOff>
                    <xdr:row>41</xdr:row>
                    <xdr:rowOff>9525</xdr:rowOff>
                  </from>
                  <to>
                    <xdr:col>10</xdr:col>
                    <xdr:colOff>438150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4" name="Check Box 96">
              <controlPr defaultSize="0" autoFill="0" autoLine="0" autoPict="0">
                <anchor moveWithCells="1">
                  <from>
                    <xdr:col>11</xdr:col>
                    <xdr:colOff>247650</xdr:colOff>
                    <xdr:row>10</xdr:row>
                    <xdr:rowOff>9525</xdr:rowOff>
                  </from>
                  <to>
                    <xdr:col>11</xdr:col>
                    <xdr:colOff>438150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55" name="Check Box 97">
              <controlPr defaultSize="0" autoFill="0" autoLine="0" autoPict="0">
                <anchor moveWithCells="1">
                  <from>
                    <xdr:col>11</xdr:col>
                    <xdr:colOff>247650</xdr:colOff>
                    <xdr:row>11</xdr:row>
                    <xdr:rowOff>9525</xdr:rowOff>
                  </from>
                  <to>
                    <xdr:col>11</xdr:col>
                    <xdr:colOff>438150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6" name="Check Box 98">
              <controlPr defaultSize="0" autoFill="0" autoLine="0" autoPict="0">
                <anchor moveWithCells="1">
                  <from>
                    <xdr:col>11</xdr:col>
                    <xdr:colOff>247650</xdr:colOff>
                    <xdr:row>12</xdr:row>
                    <xdr:rowOff>9525</xdr:rowOff>
                  </from>
                  <to>
                    <xdr:col>11</xdr:col>
                    <xdr:colOff>438150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7" name="Check Box 99">
              <controlPr defaultSize="0" autoFill="0" autoLine="0" autoPict="0">
                <anchor moveWithCells="1">
                  <from>
                    <xdr:col>11</xdr:col>
                    <xdr:colOff>247650</xdr:colOff>
                    <xdr:row>13</xdr:row>
                    <xdr:rowOff>85725</xdr:rowOff>
                  </from>
                  <to>
                    <xdr:col>11</xdr:col>
                    <xdr:colOff>438150</xdr:colOff>
                    <xdr:row>13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58" name="Check Box 100">
              <controlPr defaultSize="0" autoFill="0" autoLine="0" autoPict="0">
                <anchor moveWithCells="1">
                  <from>
                    <xdr:col>11</xdr:col>
                    <xdr:colOff>247650</xdr:colOff>
                    <xdr:row>14</xdr:row>
                    <xdr:rowOff>85725</xdr:rowOff>
                  </from>
                  <to>
                    <xdr:col>11</xdr:col>
                    <xdr:colOff>438150</xdr:colOff>
                    <xdr:row>14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59" name="Check Box 101">
              <controlPr defaultSize="0" autoFill="0" autoLine="0" autoPict="0">
                <anchor moveWithCells="1">
                  <from>
                    <xdr:col>11</xdr:col>
                    <xdr:colOff>247650</xdr:colOff>
                    <xdr:row>18</xdr:row>
                    <xdr:rowOff>9525</xdr:rowOff>
                  </from>
                  <to>
                    <xdr:col>11</xdr:col>
                    <xdr:colOff>438150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60" name="Check Box 102">
              <controlPr defaultSize="0" autoFill="0" autoLine="0" autoPict="0">
                <anchor moveWithCells="1">
                  <from>
                    <xdr:col>11</xdr:col>
                    <xdr:colOff>247650</xdr:colOff>
                    <xdr:row>19</xdr:row>
                    <xdr:rowOff>9525</xdr:rowOff>
                  </from>
                  <to>
                    <xdr:col>11</xdr:col>
                    <xdr:colOff>438150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61" name="Check Box 103">
              <controlPr defaultSize="0" autoFill="0" autoLine="0" autoPict="0">
                <anchor moveWithCells="1">
                  <from>
                    <xdr:col>11</xdr:col>
                    <xdr:colOff>247650</xdr:colOff>
                    <xdr:row>20</xdr:row>
                    <xdr:rowOff>9525</xdr:rowOff>
                  </from>
                  <to>
                    <xdr:col>11</xdr:col>
                    <xdr:colOff>438150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2" name="Check Box 104">
              <controlPr defaultSize="0" autoFill="0" autoLine="0" autoPict="0">
                <anchor moveWithCells="1">
                  <from>
                    <xdr:col>11</xdr:col>
                    <xdr:colOff>247650</xdr:colOff>
                    <xdr:row>21</xdr:row>
                    <xdr:rowOff>9525</xdr:rowOff>
                  </from>
                  <to>
                    <xdr:col>11</xdr:col>
                    <xdr:colOff>438150</xdr:colOff>
                    <xdr:row>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3" name="Check Box 105">
              <controlPr defaultSize="0" autoFill="0" autoLine="0" autoPict="0">
                <anchor moveWithCells="1">
                  <from>
                    <xdr:col>11</xdr:col>
                    <xdr:colOff>247650</xdr:colOff>
                    <xdr:row>22</xdr:row>
                    <xdr:rowOff>9525</xdr:rowOff>
                  </from>
                  <to>
                    <xdr:col>11</xdr:col>
                    <xdr:colOff>438150</xdr:colOff>
                    <xdr:row>22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4" name="Check Box 106">
              <controlPr defaultSize="0" autoFill="0" autoLine="0" autoPict="0">
                <anchor moveWithCells="1">
                  <from>
                    <xdr:col>11</xdr:col>
                    <xdr:colOff>247650</xdr:colOff>
                    <xdr:row>23</xdr:row>
                    <xdr:rowOff>9525</xdr:rowOff>
                  </from>
                  <to>
                    <xdr:col>11</xdr:col>
                    <xdr:colOff>438150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5" name="Check Box 107">
              <controlPr defaultSize="0" autoFill="0" autoLine="0" autoPict="0">
                <anchor moveWithCells="1">
                  <from>
                    <xdr:col>11</xdr:col>
                    <xdr:colOff>247650</xdr:colOff>
                    <xdr:row>24</xdr:row>
                    <xdr:rowOff>9525</xdr:rowOff>
                  </from>
                  <to>
                    <xdr:col>11</xdr:col>
                    <xdr:colOff>438150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6" name="Check Box 108">
              <controlPr defaultSize="0" autoFill="0" autoLine="0" autoPict="0">
                <anchor moveWithCells="1">
                  <from>
                    <xdr:col>11</xdr:col>
                    <xdr:colOff>247650</xdr:colOff>
                    <xdr:row>25</xdr:row>
                    <xdr:rowOff>104775</xdr:rowOff>
                  </from>
                  <to>
                    <xdr:col>11</xdr:col>
                    <xdr:colOff>438150</xdr:colOff>
                    <xdr:row>25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7" name="Check Box 109">
              <controlPr defaultSize="0" autoFill="0" autoLine="0" autoPict="0">
                <anchor moveWithCells="1">
                  <from>
                    <xdr:col>11</xdr:col>
                    <xdr:colOff>247650</xdr:colOff>
                    <xdr:row>26</xdr:row>
                    <xdr:rowOff>104775</xdr:rowOff>
                  </from>
                  <to>
                    <xdr:col>11</xdr:col>
                    <xdr:colOff>438150</xdr:colOff>
                    <xdr:row>26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68" name="Check Box 110">
              <controlPr defaultSize="0" autoFill="0" autoLine="0" autoPict="0">
                <anchor moveWithCells="1">
                  <from>
                    <xdr:col>11</xdr:col>
                    <xdr:colOff>247650</xdr:colOff>
                    <xdr:row>30</xdr:row>
                    <xdr:rowOff>9525</xdr:rowOff>
                  </from>
                  <to>
                    <xdr:col>11</xdr:col>
                    <xdr:colOff>438150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69" name="Check Box 111">
              <controlPr defaultSize="0" autoFill="0" autoLine="0" autoPict="0">
                <anchor moveWithCells="1">
                  <from>
                    <xdr:col>11</xdr:col>
                    <xdr:colOff>247650</xdr:colOff>
                    <xdr:row>31</xdr:row>
                    <xdr:rowOff>9525</xdr:rowOff>
                  </from>
                  <to>
                    <xdr:col>11</xdr:col>
                    <xdr:colOff>438150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70" name="Check Box 112">
              <controlPr defaultSize="0" autoFill="0" autoLine="0" autoPict="0">
                <anchor moveWithCells="1">
                  <from>
                    <xdr:col>11</xdr:col>
                    <xdr:colOff>247650</xdr:colOff>
                    <xdr:row>32</xdr:row>
                    <xdr:rowOff>9525</xdr:rowOff>
                  </from>
                  <to>
                    <xdr:col>11</xdr:col>
                    <xdr:colOff>438150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71" name="Check Box 113">
              <controlPr defaultSize="0" autoFill="0" autoLine="0" autoPict="0">
                <anchor moveWithCells="1">
                  <from>
                    <xdr:col>11</xdr:col>
                    <xdr:colOff>247650</xdr:colOff>
                    <xdr:row>33</xdr:row>
                    <xdr:rowOff>9525</xdr:rowOff>
                  </from>
                  <to>
                    <xdr:col>11</xdr:col>
                    <xdr:colOff>438150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72" name="Check Box 114">
              <controlPr defaultSize="0" autoFill="0" autoLine="0" autoPict="0">
                <anchor moveWithCells="1">
                  <from>
                    <xdr:col>11</xdr:col>
                    <xdr:colOff>247650</xdr:colOff>
                    <xdr:row>34</xdr:row>
                    <xdr:rowOff>9525</xdr:rowOff>
                  </from>
                  <to>
                    <xdr:col>11</xdr:col>
                    <xdr:colOff>438150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73" name="Check Box 115">
              <controlPr defaultSize="0" autoFill="0" autoLine="0" autoPict="0">
                <anchor moveWithCells="1">
                  <from>
                    <xdr:col>11</xdr:col>
                    <xdr:colOff>247650</xdr:colOff>
                    <xdr:row>35</xdr:row>
                    <xdr:rowOff>9525</xdr:rowOff>
                  </from>
                  <to>
                    <xdr:col>11</xdr:col>
                    <xdr:colOff>438150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4" name="Check Box 116">
              <controlPr defaultSize="0" autoFill="0" autoLine="0" autoPict="0">
                <anchor moveWithCells="1">
                  <from>
                    <xdr:col>11</xdr:col>
                    <xdr:colOff>247650</xdr:colOff>
                    <xdr:row>36</xdr:row>
                    <xdr:rowOff>9525</xdr:rowOff>
                  </from>
                  <to>
                    <xdr:col>11</xdr:col>
                    <xdr:colOff>438150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75" name="Check Box 117">
              <controlPr defaultSize="0" autoFill="0" autoLine="0" autoPict="0">
                <anchor moveWithCells="1">
                  <from>
                    <xdr:col>11</xdr:col>
                    <xdr:colOff>247650</xdr:colOff>
                    <xdr:row>38</xdr:row>
                    <xdr:rowOff>9525</xdr:rowOff>
                  </from>
                  <to>
                    <xdr:col>11</xdr:col>
                    <xdr:colOff>438150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76" name="Check Box 118">
              <controlPr defaultSize="0" autoFill="0" autoLine="0" autoPict="0">
                <anchor moveWithCells="1">
                  <from>
                    <xdr:col>11</xdr:col>
                    <xdr:colOff>247650</xdr:colOff>
                    <xdr:row>39</xdr:row>
                    <xdr:rowOff>9525</xdr:rowOff>
                  </from>
                  <to>
                    <xdr:col>11</xdr:col>
                    <xdr:colOff>438150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7" name="Check Box 119">
              <controlPr defaultSize="0" autoFill="0" autoLine="0" autoPict="0">
                <anchor moveWithCells="1">
                  <from>
                    <xdr:col>11</xdr:col>
                    <xdr:colOff>247650</xdr:colOff>
                    <xdr:row>40</xdr:row>
                    <xdr:rowOff>9525</xdr:rowOff>
                  </from>
                  <to>
                    <xdr:col>11</xdr:col>
                    <xdr:colOff>438150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8" name="Check Box 120">
              <controlPr defaultSize="0" autoFill="0" autoLine="0" autoPict="0">
                <anchor moveWithCells="1">
                  <from>
                    <xdr:col>11</xdr:col>
                    <xdr:colOff>247650</xdr:colOff>
                    <xdr:row>41</xdr:row>
                    <xdr:rowOff>9525</xdr:rowOff>
                  </from>
                  <to>
                    <xdr:col>11</xdr:col>
                    <xdr:colOff>438150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79" name="Check Box 64">
              <controlPr defaultSize="0" autoFill="0" autoLine="0" autoPict="0">
                <anchor moveWithCells="1">
                  <from>
                    <xdr:col>9</xdr:col>
                    <xdr:colOff>219075</xdr:colOff>
                    <xdr:row>49</xdr:row>
                    <xdr:rowOff>9525</xdr:rowOff>
                  </from>
                  <to>
                    <xdr:col>9</xdr:col>
                    <xdr:colOff>409575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80" name="Check Box 65">
              <controlPr defaultSize="0" autoFill="0" autoLine="0" autoPict="0">
                <anchor moveWithCells="1">
                  <from>
                    <xdr:col>9</xdr:col>
                    <xdr:colOff>219075</xdr:colOff>
                    <xdr:row>50</xdr:row>
                    <xdr:rowOff>9525</xdr:rowOff>
                  </from>
                  <to>
                    <xdr:col>9</xdr:col>
                    <xdr:colOff>409575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81" name="Check Box 66">
              <controlPr defaultSize="0" autoFill="0" autoLine="0" autoPict="0">
                <anchor moveWithCells="1">
                  <from>
                    <xdr:col>10</xdr:col>
                    <xdr:colOff>247650</xdr:colOff>
                    <xdr:row>49</xdr:row>
                    <xdr:rowOff>9525</xdr:rowOff>
                  </from>
                  <to>
                    <xdr:col>10</xdr:col>
                    <xdr:colOff>438150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82" name="Check Box 67">
              <controlPr defaultSize="0" autoFill="0" autoLine="0" autoPict="0">
                <anchor moveWithCells="1">
                  <from>
                    <xdr:col>10</xdr:col>
                    <xdr:colOff>247650</xdr:colOff>
                    <xdr:row>50</xdr:row>
                    <xdr:rowOff>9525</xdr:rowOff>
                  </from>
                  <to>
                    <xdr:col>10</xdr:col>
                    <xdr:colOff>438150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83" name="Check Box 68">
              <controlPr defaultSize="0" autoFill="0" autoLine="0" autoPict="0">
                <anchor moveWithCells="1">
                  <from>
                    <xdr:col>10</xdr:col>
                    <xdr:colOff>247650</xdr:colOff>
                    <xdr:row>51</xdr:row>
                    <xdr:rowOff>9525</xdr:rowOff>
                  </from>
                  <to>
                    <xdr:col>10</xdr:col>
                    <xdr:colOff>438150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84" name="Check Box 69">
              <controlPr defaultSize="0" autoFill="0" autoLine="0" autoPict="0">
                <anchor moveWithCells="1">
                  <from>
                    <xdr:col>9</xdr:col>
                    <xdr:colOff>219075</xdr:colOff>
                    <xdr:row>51</xdr:row>
                    <xdr:rowOff>9525</xdr:rowOff>
                  </from>
                  <to>
                    <xdr:col>9</xdr:col>
                    <xdr:colOff>409575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85" name="Check Box 70">
              <controlPr defaultSize="0" autoFill="0" autoLine="0" autoPict="0">
                <anchor moveWithCells="1">
                  <from>
                    <xdr:col>9</xdr:col>
                    <xdr:colOff>219075</xdr:colOff>
                    <xdr:row>53</xdr:row>
                    <xdr:rowOff>9525</xdr:rowOff>
                  </from>
                  <to>
                    <xdr:col>9</xdr:col>
                    <xdr:colOff>409575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86" name="Check Box 71">
              <controlPr defaultSize="0" autoFill="0" autoLine="0" autoPict="0">
                <anchor moveWithCells="1">
                  <from>
                    <xdr:col>9</xdr:col>
                    <xdr:colOff>219075</xdr:colOff>
                    <xdr:row>54</xdr:row>
                    <xdr:rowOff>9525</xdr:rowOff>
                  </from>
                  <to>
                    <xdr:col>9</xdr:col>
                    <xdr:colOff>409575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87" name="Check Box 72">
              <controlPr defaultSize="0" autoFill="0" autoLine="0" autoPict="0">
                <anchor moveWithCells="1">
                  <from>
                    <xdr:col>10</xdr:col>
                    <xdr:colOff>247650</xdr:colOff>
                    <xdr:row>53</xdr:row>
                    <xdr:rowOff>9525</xdr:rowOff>
                  </from>
                  <to>
                    <xdr:col>10</xdr:col>
                    <xdr:colOff>438150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88" name="Check Box 73">
              <controlPr defaultSize="0" autoFill="0" autoLine="0" autoPict="0">
                <anchor moveWithCells="1">
                  <from>
                    <xdr:col>10</xdr:col>
                    <xdr:colOff>247650</xdr:colOff>
                    <xdr:row>54</xdr:row>
                    <xdr:rowOff>9525</xdr:rowOff>
                  </from>
                  <to>
                    <xdr:col>10</xdr:col>
                    <xdr:colOff>438150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89" name="Check Box 74">
              <controlPr defaultSize="0" autoFill="0" autoLine="0" autoPict="0">
                <anchor moveWithCells="1">
                  <from>
                    <xdr:col>10</xdr:col>
                    <xdr:colOff>247650</xdr:colOff>
                    <xdr:row>55</xdr:row>
                    <xdr:rowOff>9525</xdr:rowOff>
                  </from>
                  <to>
                    <xdr:col>10</xdr:col>
                    <xdr:colOff>438150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90" name="Check Box 75">
              <controlPr defaultSize="0" autoFill="0" autoLine="0" autoPict="0">
                <anchor moveWithCells="1">
                  <from>
                    <xdr:col>9</xdr:col>
                    <xdr:colOff>219075</xdr:colOff>
                    <xdr:row>55</xdr:row>
                    <xdr:rowOff>9525</xdr:rowOff>
                  </from>
                  <to>
                    <xdr:col>9</xdr:col>
                    <xdr:colOff>409575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91" name="Check Box 76">
              <controlPr defaultSize="0" autoFill="0" autoLine="0" autoPict="0">
                <anchor moveWithCells="1">
                  <from>
                    <xdr:col>9</xdr:col>
                    <xdr:colOff>219075</xdr:colOff>
                    <xdr:row>56</xdr:row>
                    <xdr:rowOff>9525</xdr:rowOff>
                  </from>
                  <to>
                    <xdr:col>9</xdr:col>
                    <xdr:colOff>409575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92" name="Check Box 77">
              <controlPr defaultSize="0" autoFill="0" autoLine="0" autoPict="0">
                <anchor moveWithCells="1">
                  <from>
                    <xdr:col>9</xdr:col>
                    <xdr:colOff>219075</xdr:colOff>
                    <xdr:row>57</xdr:row>
                    <xdr:rowOff>9525</xdr:rowOff>
                  </from>
                  <to>
                    <xdr:col>9</xdr:col>
                    <xdr:colOff>409575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93" name="Check Box 78">
              <controlPr defaultSize="0" autoFill="0" autoLine="0" autoPict="0">
                <anchor moveWithCells="1">
                  <from>
                    <xdr:col>10</xdr:col>
                    <xdr:colOff>247650</xdr:colOff>
                    <xdr:row>56</xdr:row>
                    <xdr:rowOff>9525</xdr:rowOff>
                  </from>
                  <to>
                    <xdr:col>10</xdr:col>
                    <xdr:colOff>438150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94" name="Check Box 79">
              <controlPr defaultSize="0" autoFill="0" autoLine="0" autoPict="0">
                <anchor moveWithCells="1">
                  <from>
                    <xdr:col>10</xdr:col>
                    <xdr:colOff>247650</xdr:colOff>
                    <xdr:row>57</xdr:row>
                    <xdr:rowOff>9525</xdr:rowOff>
                  </from>
                  <to>
                    <xdr:col>10</xdr:col>
                    <xdr:colOff>438150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95" name="Check Box 80">
              <controlPr defaultSize="0" autoFill="0" autoLine="0" autoPict="0">
                <anchor moveWithCells="1">
                  <from>
                    <xdr:col>10</xdr:col>
                    <xdr:colOff>247650</xdr:colOff>
                    <xdr:row>58</xdr:row>
                    <xdr:rowOff>9525</xdr:rowOff>
                  </from>
                  <to>
                    <xdr:col>10</xdr:col>
                    <xdr:colOff>438150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96" name="Check Box 81">
              <controlPr defaultSize="0" autoFill="0" autoLine="0" autoPict="0">
                <anchor moveWithCells="1">
                  <from>
                    <xdr:col>9</xdr:col>
                    <xdr:colOff>219075</xdr:colOff>
                    <xdr:row>58</xdr:row>
                    <xdr:rowOff>9525</xdr:rowOff>
                  </from>
                  <to>
                    <xdr:col>9</xdr:col>
                    <xdr:colOff>409575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97" name="Check Box 82">
              <controlPr defaultSize="0" autoFill="0" autoLine="0" autoPict="0">
                <anchor moveWithCells="1">
                  <from>
                    <xdr:col>9</xdr:col>
                    <xdr:colOff>219075</xdr:colOff>
                    <xdr:row>45</xdr:row>
                    <xdr:rowOff>9525</xdr:rowOff>
                  </from>
                  <to>
                    <xdr:col>9</xdr:col>
                    <xdr:colOff>409575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98" name="Check Box 83">
              <controlPr defaultSize="0" autoFill="0" autoLine="0" autoPict="0">
                <anchor moveWithCells="1">
                  <from>
                    <xdr:col>10</xdr:col>
                    <xdr:colOff>247650</xdr:colOff>
                    <xdr:row>45</xdr:row>
                    <xdr:rowOff>9525</xdr:rowOff>
                  </from>
                  <to>
                    <xdr:col>10</xdr:col>
                    <xdr:colOff>438150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99" name="Check Box 84">
              <controlPr defaultSize="0" autoFill="0" autoLine="0" autoPict="0">
                <anchor moveWithCells="1">
                  <from>
                    <xdr:col>10</xdr:col>
                    <xdr:colOff>247650</xdr:colOff>
                    <xdr:row>46</xdr:row>
                    <xdr:rowOff>152400</xdr:rowOff>
                  </from>
                  <to>
                    <xdr:col>10</xdr:col>
                    <xdr:colOff>438150</xdr:colOff>
                    <xdr:row>46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100" name="Check Box 85">
              <controlPr defaultSize="0" autoFill="0" autoLine="0" autoPict="0">
                <anchor moveWithCells="1">
                  <from>
                    <xdr:col>9</xdr:col>
                    <xdr:colOff>219075</xdr:colOff>
                    <xdr:row>46</xdr:row>
                    <xdr:rowOff>152400</xdr:rowOff>
                  </from>
                  <to>
                    <xdr:col>9</xdr:col>
                    <xdr:colOff>409575</xdr:colOff>
                    <xdr:row>46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01" name="Check Box 86">
              <controlPr defaultSize="0" autoFill="0" autoLine="0" autoPict="0">
                <anchor moveWithCells="1">
                  <from>
                    <xdr:col>10</xdr:col>
                    <xdr:colOff>247650</xdr:colOff>
                    <xdr:row>47</xdr:row>
                    <xdr:rowOff>152400</xdr:rowOff>
                  </from>
                  <to>
                    <xdr:col>10</xdr:col>
                    <xdr:colOff>438150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102" name="Check Box 87">
              <controlPr defaultSize="0" autoFill="0" autoLine="0" autoPict="0">
                <anchor moveWithCells="1">
                  <from>
                    <xdr:col>9</xdr:col>
                    <xdr:colOff>219075</xdr:colOff>
                    <xdr:row>47</xdr:row>
                    <xdr:rowOff>152400</xdr:rowOff>
                  </from>
                  <to>
                    <xdr:col>9</xdr:col>
                    <xdr:colOff>409575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103" name="Check Box 88">
              <controlPr defaultSize="0" autoFill="0" autoLine="0" autoPict="0">
                <anchor moveWithCells="1">
                  <from>
                    <xdr:col>10</xdr:col>
                    <xdr:colOff>247650</xdr:colOff>
                    <xdr:row>48</xdr:row>
                    <xdr:rowOff>152400</xdr:rowOff>
                  </from>
                  <to>
                    <xdr:col>10</xdr:col>
                    <xdr:colOff>438150</xdr:colOff>
                    <xdr:row>48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104" name="Check Box 89">
              <controlPr defaultSize="0" autoFill="0" autoLine="0" autoPict="0">
                <anchor moveWithCells="1">
                  <from>
                    <xdr:col>9</xdr:col>
                    <xdr:colOff>219075</xdr:colOff>
                    <xdr:row>48</xdr:row>
                    <xdr:rowOff>152400</xdr:rowOff>
                  </from>
                  <to>
                    <xdr:col>9</xdr:col>
                    <xdr:colOff>409575</xdr:colOff>
                    <xdr:row>48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105" name="Check Box 90">
              <controlPr defaultSize="0" autoFill="0" autoLine="0" autoPict="0">
                <anchor moveWithCells="1">
                  <from>
                    <xdr:col>10</xdr:col>
                    <xdr:colOff>247650</xdr:colOff>
                    <xdr:row>52</xdr:row>
                    <xdr:rowOff>123825</xdr:rowOff>
                  </from>
                  <to>
                    <xdr:col>10</xdr:col>
                    <xdr:colOff>438150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106" name="Check Box 91">
              <controlPr defaultSize="0" autoFill="0" autoLine="0" autoPict="0">
                <anchor moveWithCells="1">
                  <from>
                    <xdr:col>9</xdr:col>
                    <xdr:colOff>219075</xdr:colOff>
                    <xdr:row>52</xdr:row>
                    <xdr:rowOff>123825</xdr:rowOff>
                  </from>
                  <to>
                    <xdr:col>9</xdr:col>
                    <xdr:colOff>409575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107" name="Check Box 92">
              <controlPr defaultSize="0" autoFill="0" autoLine="0" autoPict="0">
                <anchor moveWithCells="1">
                  <from>
                    <xdr:col>9</xdr:col>
                    <xdr:colOff>219075</xdr:colOff>
                    <xdr:row>62</xdr:row>
                    <xdr:rowOff>9525</xdr:rowOff>
                  </from>
                  <to>
                    <xdr:col>9</xdr:col>
                    <xdr:colOff>409575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108" name="Check Box 93">
              <controlPr defaultSize="0" autoFill="0" autoLine="0" autoPict="0">
                <anchor moveWithCells="1">
                  <from>
                    <xdr:col>10</xdr:col>
                    <xdr:colOff>247650</xdr:colOff>
                    <xdr:row>62</xdr:row>
                    <xdr:rowOff>9525</xdr:rowOff>
                  </from>
                  <to>
                    <xdr:col>10</xdr:col>
                    <xdr:colOff>438150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109" name="Check Box 94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9525</xdr:rowOff>
                  </from>
                  <to>
                    <xdr:col>10</xdr:col>
                    <xdr:colOff>438150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110" name="Check Box 95">
              <controlPr defaultSize="0" autoFill="0" autoLine="0" autoPict="0">
                <anchor moveWithCells="1">
                  <from>
                    <xdr:col>9</xdr:col>
                    <xdr:colOff>219075</xdr:colOff>
                    <xdr:row>63</xdr:row>
                    <xdr:rowOff>9525</xdr:rowOff>
                  </from>
                  <to>
                    <xdr:col>9</xdr:col>
                    <xdr:colOff>409575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11" name="Check Box 121">
              <controlPr defaultSize="0" autoFill="0" autoLine="0" autoPict="0">
                <anchor moveWithCells="1">
                  <from>
                    <xdr:col>11</xdr:col>
                    <xdr:colOff>247650</xdr:colOff>
                    <xdr:row>49</xdr:row>
                    <xdr:rowOff>9525</xdr:rowOff>
                  </from>
                  <to>
                    <xdr:col>11</xdr:col>
                    <xdr:colOff>438150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12" name="Check Box 122">
              <controlPr defaultSize="0" autoFill="0" autoLine="0" autoPict="0">
                <anchor moveWithCells="1">
                  <from>
                    <xdr:col>11</xdr:col>
                    <xdr:colOff>247650</xdr:colOff>
                    <xdr:row>50</xdr:row>
                    <xdr:rowOff>9525</xdr:rowOff>
                  </from>
                  <to>
                    <xdr:col>11</xdr:col>
                    <xdr:colOff>438150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13" name="Check Box 123">
              <controlPr defaultSize="0" autoFill="0" autoLine="0" autoPict="0">
                <anchor moveWithCells="1">
                  <from>
                    <xdr:col>11</xdr:col>
                    <xdr:colOff>247650</xdr:colOff>
                    <xdr:row>51</xdr:row>
                    <xdr:rowOff>9525</xdr:rowOff>
                  </from>
                  <to>
                    <xdr:col>11</xdr:col>
                    <xdr:colOff>438150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14" name="Check Box 124">
              <controlPr defaultSize="0" autoFill="0" autoLine="0" autoPict="0">
                <anchor moveWithCells="1">
                  <from>
                    <xdr:col>11</xdr:col>
                    <xdr:colOff>247650</xdr:colOff>
                    <xdr:row>53</xdr:row>
                    <xdr:rowOff>9525</xdr:rowOff>
                  </from>
                  <to>
                    <xdr:col>11</xdr:col>
                    <xdr:colOff>438150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15" name="Check Box 125">
              <controlPr defaultSize="0" autoFill="0" autoLine="0" autoPict="0">
                <anchor moveWithCells="1">
                  <from>
                    <xdr:col>11</xdr:col>
                    <xdr:colOff>247650</xdr:colOff>
                    <xdr:row>54</xdr:row>
                    <xdr:rowOff>9525</xdr:rowOff>
                  </from>
                  <to>
                    <xdr:col>11</xdr:col>
                    <xdr:colOff>438150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16" name="Check Box 126">
              <controlPr defaultSize="0" autoFill="0" autoLine="0" autoPict="0">
                <anchor moveWithCells="1">
                  <from>
                    <xdr:col>11</xdr:col>
                    <xdr:colOff>247650</xdr:colOff>
                    <xdr:row>55</xdr:row>
                    <xdr:rowOff>9525</xdr:rowOff>
                  </from>
                  <to>
                    <xdr:col>11</xdr:col>
                    <xdr:colOff>438150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17" name="Check Box 127">
              <controlPr defaultSize="0" autoFill="0" autoLine="0" autoPict="0">
                <anchor moveWithCells="1">
                  <from>
                    <xdr:col>11</xdr:col>
                    <xdr:colOff>247650</xdr:colOff>
                    <xdr:row>56</xdr:row>
                    <xdr:rowOff>9525</xdr:rowOff>
                  </from>
                  <to>
                    <xdr:col>11</xdr:col>
                    <xdr:colOff>438150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18" name="Check Box 128">
              <controlPr defaultSize="0" autoFill="0" autoLine="0" autoPict="0">
                <anchor moveWithCells="1">
                  <from>
                    <xdr:col>11</xdr:col>
                    <xdr:colOff>247650</xdr:colOff>
                    <xdr:row>57</xdr:row>
                    <xdr:rowOff>9525</xdr:rowOff>
                  </from>
                  <to>
                    <xdr:col>11</xdr:col>
                    <xdr:colOff>438150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19" name="Check Box 129">
              <controlPr defaultSize="0" autoFill="0" autoLine="0" autoPict="0">
                <anchor moveWithCells="1">
                  <from>
                    <xdr:col>11</xdr:col>
                    <xdr:colOff>247650</xdr:colOff>
                    <xdr:row>58</xdr:row>
                    <xdr:rowOff>9525</xdr:rowOff>
                  </from>
                  <to>
                    <xdr:col>11</xdr:col>
                    <xdr:colOff>438150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20" name="Check Box 130">
              <controlPr defaultSize="0" autoFill="0" autoLine="0" autoPict="0">
                <anchor moveWithCells="1">
                  <from>
                    <xdr:col>11</xdr:col>
                    <xdr:colOff>247650</xdr:colOff>
                    <xdr:row>45</xdr:row>
                    <xdr:rowOff>9525</xdr:rowOff>
                  </from>
                  <to>
                    <xdr:col>11</xdr:col>
                    <xdr:colOff>438150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21" name="Check Box 131">
              <controlPr defaultSize="0" autoFill="0" autoLine="0" autoPict="0">
                <anchor moveWithCells="1">
                  <from>
                    <xdr:col>11</xdr:col>
                    <xdr:colOff>247650</xdr:colOff>
                    <xdr:row>46</xdr:row>
                    <xdr:rowOff>152400</xdr:rowOff>
                  </from>
                  <to>
                    <xdr:col>11</xdr:col>
                    <xdr:colOff>438150</xdr:colOff>
                    <xdr:row>46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22" name="Check Box 132">
              <controlPr defaultSize="0" autoFill="0" autoLine="0" autoPict="0">
                <anchor moveWithCells="1">
                  <from>
                    <xdr:col>11</xdr:col>
                    <xdr:colOff>247650</xdr:colOff>
                    <xdr:row>47</xdr:row>
                    <xdr:rowOff>152400</xdr:rowOff>
                  </from>
                  <to>
                    <xdr:col>11</xdr:col>
                    <xdr:colOff>438150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23" name="Check Box 133">
              <controlPr defaultSize="0" autoFill="0" autoLine="0" autoPict="0">
                <anchor moveWithCells="1">
                  <from>
                    <xdr:col>11</xdr:col>
                    <xdr:colOff>247650</xdr:colOff>
                    <xdr:row>48</xdr:row>
                    <xdr:rowOff>152400</xdr:rowOff>
                  </from>
                  <to>
                    <xdr:col>11</xdr:col>
                    <xdr:colOff>438150</xdr:colOff>
                    <xdr:row>48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24" name="Check Box 134">
              <controlPr defaultSize="0" autoFill="0" autoLine="0" autoPict="0">
                <anchor moveWithCells="1">
                  <from>
                    <xdr:col>11</xdr:col>
                    <xdr:colOff>247650</xdr:colOff>
                    <xdr:row>52</xdr:row>
                    <xdr:rowOff>123825</xdr:rowOff>
                  </from>
                  <to>
                    <xdr:col>11</xdr:col>
                    <xdr:colOff>438150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25" name="Check Box 135">
              <controlPr defaultSize="0" autoFill="0" autoLine="0" autoPict="0">
                <anchor moveWithCells="1">
                  <from>
                    <xdr:col>11</xdr:col>
                    <xdr:colOff>247650</xdr:colOff>
                    <xdr:row>62</xdr:row>
                    <xdr:rowOff>9525</xdr:rowOff>
                  </from>
                  <to>
                    <xdr:col>11</xdr:col>
                    <xdr:colOff>438150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26" name="Check Box 136">
              <controlPr defaultSize="0" autoFill="0" autoLine="0" autoPict="0">
                <anchor moveWithCells="1">
                  <from>
                    <xdr:col>11</xdr:col>
                    <xdr:colOff>247650</xdr:colOff>
                    <xdr:row>63</xdr:row>
                    <xdr:rowOff>9525</xdr:rowOff>
                  </from>
                  <to>
                    <xdr:col>11</xdr:col>
                    <xdr:colOff>438150</xdr:colOff>
                    <xdr:row>63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K7"/>
  <sheetViews>
    <sheetView workbookViewId="0">
      <selection activeCell="M10" sqref="M10"/>
    </sheetView>
  </sheetViews>
  <sheetFormatPr baseColWidth="10" defaultRowHeight="15" x14ac:dyDescent="0.25"/>
  <cols>
    <col min="2" max="11" width="5.85546875" customWidth="1"/>
  </cols>
  <sheetData>
    <row r="1" spans="1:11" x14ac:dyDescent="0.25">
      <c r="A1" t="s">
        <v>2429</v>
      </c>
      <c r="B1">
        <v>0.05</v>
      </c>
      <c r="C1">
        <v>0.1</v>
      </c>
      <c r="D1">
        <v>0.15</v>
      </c>
      <c r="E1">
        <v>0.2</v>
      </c>
      <c r="F1">
        <v>0.25</v>
      </c>
      <c r="G1">
        <v>0.3</v>
      </c>
      <c r="H1">
        <v>0.35</v>
      </c>
      <c r="I1">
        <v>0.4</v>
      </c>
      <c r="J1">
        <v>0.45</v>
      </c>
      <c r="K1">
        <v>0.5</v>
      </c>
    </row>
    <row r="2" spans="1:11" x14ac:dyDescent="0.25">
      <c r="A2" t="s">
        <v>1237</v>
      </c>
      <c r="B2">
        <v>0.8</v>
      </c>
      <c r="C2">
        <v>0.8</v>
      </c>
      <c r="D2">
        <v>0.8</v>
      </c>
      <c r="E2">
        <v>0.8</v>
      </c>
      <c r="F2">
        <v>0.8</v>
      </c>
      <c r="G2">
        <v>0.8</v>
      </c>
      <c r="H2">
        <v>0.8</v>
      </c>
      <c r="I2">
        <v>0.8</v>
      </c>
      <c r="J2">
        <v>0.8</v>
      </c>
      <c r="K2">
        <v>0.8</v>
      </c>
    </row>
    <row r="3" spans="1:11" x14ac:dyDescent="0.25">
      <c r="A3" t="s">
        <v>1241</v>
      </c>
      <c r="B3">
        <v>1</v>
      </c>
      <c r="C3">
        <v>1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</row>
    <row r="4" spans="1:11" x14ac:dyDescent="0.25">
      <c r="A4" t="s">
        <v>200</v>
      </c>
      <c r="B4">
        <v>1.2</v>
      </c>
      <c r="C4">
        <v>1.2</v>
      </c>
      <c r="D4">
        <v>1.2</v>
      </c>
      <c r="E4">
        <v>1.2</v>
      </c>
      <c r="F4">
        <f>(((G1-F1)*(E4-G4))/(G1-E1))+G4</f>
        <v>1.1499999999999999</v>
      </c>
      <c r="G4">
        <v>1.1000000000000001</v>
      </c>
      <c r="H4">
        <f>(((I1-H1)*(G4-I4))/(I1-G1))+I4</f>
        <v>1.05</v>
      </c>
      <c r="I4">
        <v>1</v>
      </c>
      <c r="J4">
        <v>1</v>
      </c>
      <c r="K4">
        <v>1</v>
      </c>
    </row>
    <row r="5" spans="1:11" x14ac:dyDescent="0.25">
      <c r="A5" t="s">
        <v>1231</v>
      </c>
      <c r="B5">
        <v>1.6</v>
      </c>
      <c r="C5">
        <v>1.6</v>
      </c>
      <c r="D5">
        <f>(((E1-D1)*(C5-E5))/(E1-C1))+E5</f>
        <v>1.5</v>
      </c>
      <c r="E5">
        <v>1.4</v>
      </c>
      <c r="F5">
        <f>(((G1-F1)*(E5-G5))/(G1-E1))+G5</f>
        <v>1.2999999999999998</v>
      </c>
      <c r="G5">
        <v>1.2</v>
      </c>
      <c r="H5">
        <f>(((I1-H1)*(G5-I5))/(I1-G1))+I5</f>
        <v>1.1500000000000001</v>
      </c>
      <c r="I5">
        <v>1.1000000000000001</v>
      </c>
      <c r="J5">
        <f>(((K1-J1)*(I5-K5))/(K1-I1))+K5</f>
        <v>1.05</v>
      </c>
      <c r="K5">
        <v>1</v>
      </c>
    </row>
    <row r="6" spans="1:11" x14ac:dyDescent="0.25">
      <c r="A6" t="s">
        <v>1242</v>
      </c>
      <c r="B6">
        <v>2.5</v>
      </c>
      <c r="C6">
        <v>2.5</v>
      </c>
      <c r="D6">
        <f>(((E1-D1)*(C6-E6))/(E1-C1))+E6</f>
        <v>2.1</v>
      </c>
      <c r="E6">
        <v>1.7</v>
      </c>
      <c r="F6">
        <f>(((G1-F1)*(E6-G6))/(G1-E1))+G6</f>
        <v>1.45</v>
      </c>
      <c r="G6">
        <v>1.2</v>
      </c>
      <c r="H6">
        <f>(((I1-H1)*(G6-I6))/(I1-G1))+I6</f>
        <v>1.05</v>
      </c>
      <c r="I6">
        <v>0.9</v>
      </c>
      <c r="J6">
        <f>(((K1-J1)*(I6-K6))/(K1-I1))+K6</f>
        <v>0.9</v>
      </c>
      <c r="K6">
        <v>0.9</v>
      </c>
    </row>
    <row r="7" spans="1:11" x14ac:dyDescent="0.25">
      <c r="A7" t="s">
        <v>1243</v>
      </c>
      <c r="B7" t="s">
        <v>2430</v>
      </c>
      <c r="C7" t="s">
        <v>2430</v>
      </c>
      <c r="D7" t="s">
        <v>2430</v>
      </c>
      <c r="E7" t="s">
        <v>2430</v>
      </c>
      <c r="F7" t="s">
        <v>2430</v>
      </c>
      <c r="G7" t="s">
        <v>2430</v>
      </c>
      <c r="H7" t="s">
        <v>2430</v>
      </c>
      <c r="I7" t="s">
        <v>2430</v>
      </c>
      <c r="J7" t="s">
        <v>2430</v>
      </c>
      <c r="K7" t="s">
        <v>2430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K7"/>
  <sheetViews>
    <sheetView workbookViewId="0">
      <selection activeCell="M10" sqref="M10"/>
    </sheetView>
  </sheetViews>
  <sheetFormatPr baseColWidth="10" defaultRowHeight="15" x14ac:dyDescent="0.25"/>
  <cols>
    <col min="2" max="11" width="5.85546875" customWidth="1"/>
  </cols>
  <sheetData>
    <row r="1" spans="1:11" x14ac:dyDescent="0.25">
      <c r="A1" t="s">
        <v>2429</v>
      </c>
      <c r="B1">
        <v>0.05</v>
      </c>
      <c r="C1">
        <v>0.1</v>
      </c>
      <c r="D1">
        <v>0.15</v>
      </c>
      <c r="E1">
        <v>0.2</v>
      </c>
      <c r="F1">
        <v>0.25</v>
      </c>
      <c r="G1">
        <v>0.3</v>
      </c>
      <c r="H1">
        <v>0.35</v>
      </c>
      <c r="I1">
        <v>0.4</v>
      </c>
      <c r="J1">
        <v>0.45</v>
      </c>
      <c r="K1">
        <v>0.5</v>
      </c>
    </row>
    <row r="2" spans="1:11" x14ac:dyDescent="0.25">
      <c r="A2" t="s">
        <v>1237</v>
      </c>
      <c r="B2">
        <v>0.8</v>
      </c>
      <c r="C2">
        <v>0.8</v>
      </c>
      <c r="D2">
        <v>0.8</v>
      </c>
      <c r="E2">
        <v>0.8</v>
      </c>
      <c r="F2">
        <v>0.8</v>
      </c>
      <c r="G2">
        <v>0.8</v>
      </c>
      <c r="H2">
        <v>0.8</v>
      </c>
      <c r="I2">
        <v>0.8</v>
      </c>
      <c r="J2">
        <v>0.8</v>
      </c>
      <c r="K2">
        <v>0.8</v>
      </c>
    </row>
    <row r="3" spans="1:11" x14ac:dyDescent="0.25">
      <c r="A3" t="s">
        <v>1241</v>
      </c>
      <c r="B3">
        <v>1</v>
      </c>
      <c r="C3">
        <v>1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</row>
    <row r="4" spans="1:11" x14ac:dyDescent="0.25">
      <c r="A4" t="s">
        <v>200</v>
      </c>
      <c r="B4">
        <v>1.7</v>
      </c>
      <c r="C4">
        <v>1.7</v>
      </c>
      <c r="D4">
        <f>(((E1-D1)*(C4-E4))/(E1-C1))+E4</f>
        <v>1.6500000000000001</v>
      </c>
      <c r="E4">
        <v>1.6</v>
      </c>
      <c r="F4">
        <f>(((G1-F1)*(E4-G4))/(G1-E1))+G4</f>
        <v>1.55</v>
      </c>
      <c r="G4">
        <v>1.5</v>
      </c>
      <c r="H4">
        <f>(((I1-H1)*(G4-I4))/(I1-G1))+I4</f>
        <v>1.45</v>
      </c>
      <c r="I4">
        <v>1.4</v>
      </c>
      <c r="J4">
        <f>(((K1-J1)*(I4-K4))/(K1-I1))+K4</f>
        <v>1.35</v>
      </c>
      <c r="K4">
        <v>1.3</v>
      </c>
    </row>
    <row r="5" spans="1:11" x14ac:dyDescent="0.25">
      <c r="A5" t="s">
        <v>1231</v>
      </c>
      <c r="B5">
        <v>2.4</v>
      </c>
      <c r="C5">
        <v>2.4</v>
      </c>
      <c r="D5">
        <f>(((E1-D1)*(C5-E5))/(E1-C1))+E5</f>
        <v>2.2000000000000002</v>
      </c>
      <c r="E5">
        <v>2</v>
      </c>
      <c r="F5">
        <f>(((G1-F1)*(E5-G5))/(G1-E1))+G5</f>
        <v>1.9</v>
      </c>
      <c r="G5">
        <v>1.8</v>
      </c>
      <c r="H5">
        <f>(((I1-H1)*(G5-I5))/(I1-G1))+I5</f>
        <v>1.7000000000000002</v>
      </c>
      <c r="I5">
        <v>1.6</v>
      </c>
      <c r="J5">
        <f>(((K1-J1)*(I5-K5))/(K1-I1))+K5</f>
        <v>1.55</v>
      </c>
      <c r="K5">
        <v>1.5</v>
      </c>
    </row>
    <row r="6" spans="1:11" x14ac:dyDescent="0.25">
      <c r="A6" t="s">
        <v>1242</v>
      </c>
      <c r="B6">
        <v>3.5</v>
      </c>
      <c r="C6">
        <v>3.5</v>
      </c>
      <c r="D6">
        <f>(((E1-D1)*(C6-E6))/(E1-C1))+E6</f>
        <v>3.35</v>
      </c>
      <c r="E6">
        <v>3.2</v>
      </c>
      <c r="F6">
        <f>(((G1-F1)*(E6-G6))/(G1-E1))+G6</f>
        <v>3</v>
      </c>
      <c r="G6">
        <v>2.8</v>
      </c>
      <c r="H6">
        <f>(((I1-H1)*(G6-I6))/(I1-G1))+I6</f>
        <v>2.6</v>
      </c>
      <c r="I6">
        <v>2.4</v>
      </c>
      <c r="J6">
        <f>(((K1-J1)*(I6-K6))/(K1-I1))+K6</f>
        <v>2.4</v>
      </c>
      <c r="K6">
        <v>2.4</v>
      </c>
    </row>
    <row r="7" spans="1:11" x14ac:dyDescent="0.25">
      <c r="A7" t="s">
        <v>1243</v>
      </c>
      <c r="B7" t="s">
        <v>2430</v>
      </c>
      <c r="C7" t="s">
        <v>2430</v>
      </c>
      <c r="D7" t="s">
        <v>2430</v>
      </c>
      <c r="E7" t="s">
        <v>2430</v>
      </c>
      <c r="F7" t="s">
        <v>2430</v>
      </c>
      <c r="G7" t="s">
        <v>2430</v>
      </c>
      <c r="H7" t="s">
        <v>2430</v>
      </c>
      <c r="I7" t="s">
        <v>2430</v>
      </c>
      <c r="J7" t="s">
        <v>2430</v>
      </c>
      <c r="K7" t="s">
        <v>2430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G126"/>
  <sheetViews>
    <sheetView zoomScale="85" zoomScaleNormal="85" workbookViewId="0">
      <selection activeCell="M10" sqref="M10"/>
    </sheetView>
  </sheetViews>
  <sheetFormatPr baseColWidth="10" defaultRowHeight="15" x14ac:dyDescent="0.25"/>
  <sheetData>
    <row r="1" spans="1:33" x14ac:dyDescent="0.25">
      <c r="A1" t="s">
        <v>1268</v>
      </c>
      <c r="B1" t="s">
        <v>1269</v>
      </c>
      <c r="C1" t="s">
        <v>1270</v>
      </c>
      <c r="D1" t="s">
        <v>1272</v>
      </c>
      <c r="E1" t="s">
        <v>2416</v>
      </c>
      <c r="F1" t="s">
        <v>1273</v>
      </c>
      <c r="G1" t="s">
        <v>1274</v>
      </c>
      <c r="H1" t="s">
        <v>1275</v>
      </c>
      <c r="I1" t="s">
        <v>1276</v>
      </c>
      <c r="J1" t="s">
        <v>1277</v>
      </c>
      <c r="K1" t="s">
        <v>1278</v>
      </c>
      <c r="L1" t="s">
        <v>1279</v>
      </c>
      <c r="M1" t="s">
        <v>1280</v>
      </c>
      <c r="N1" t="s">
        <v>1281</v>
      </c>
      <c r="O1" t="s">
        <v>1282</v>
      </c>
      <c r="P1" t="s">
        <v>1283</v>
      </c>
      <c r="Q1" t="s">
        <v>1284</v>
      </c>
      <c r="R1" t="s">
        <v>1285</v>
      </c>
      <c r="S1" t="s">
        <v>1286</v>
      </c>
      <c r="T1" t="s">
        <v>1287</v>
      </c>
      <c r="U1" t="s">
        <v>1288</v>
      </c>
      <c r="V1" t="s">
        <v>1229</v>
      </c>
      <c r="W1" t="s">
        <v>1289</v>
      </c>
      <c r="X1" t="s">
        <v>1290</v>
      </c>
      <c r="Y1" t="s">
        <v>1291</v>
      </c>
      <c r="Z1" t="s">
        <v>1292</v>
      </c>
      <c r="AA1" t="s">
        <v>1271</v>
      </c>
      <c r="AB1" t="s">
        <v>1267</v>
      </c>
      <c r="AC1" t="s">
        <v>1293</v>
      </c>
      <c r="AD1" t="s">
        <v>1294</v>
      </c>
      <c r="AE1" t="s">
        <v>1295</v>
      </c>
      <c r="AF1" t="s">
        <v>1296</v>
      </c>
      <c r="AG1" t="s">
        <v>1297</v>
      </c>
    </row>
    <row r="2" spans="1:33" x14ac:dyDescent="0.25">
      <c r="A2" t="s">
        <v>1329</v>
      </c>
      <c r="B2" t="s">
        <v>1330</v>
      </c>
      <c r="C2" t="s">
        <v>1331</v>
      </c>
      <c r="D2" t="s">
        <v>1333</v>
      </c>
      <c r="E2" t="s">
        <v>2416</v>
      </c>
      <c r="F2" t="s">
        <v>1334</v>
      </c>
      <c r="G2" t="s">
        <v>1335</v>
      </c>
      <c r="H2" t="s">
        <v>1336</v>
      </c>
      <c r="I2" t="s">
        <v>1337</v>
      </c>
      <c r="J2" t="s">
        <v>1338</v>
      </c>
      <c r="K2" t="s">
        <v>1339</v>
      </c>
      <c r="L2" t="s">
        <v>1340</v>
      </c>
      <c r="M2" t="s">
        <v>1341</v>
      </c>
      <c r="N2" t="s">
        <v>1342</v>
      </c>
      <c r="O2" t="s">
        <v>1343</v>
      </c>
      <c r="P2" t="s">
        <v>1344</v>
      </c>
      <c r="Q2" t="s">
        <v>1345</v>
      </c>
      <c r="R2" t="s">
        <v>1346</v>
      </c>
      <c r="S2" t="s">
        <v>1347</v>
      </c>
      <c r="T2" t="s">
        <v>1348</v>
      </c>
      <c r="U2" t="s">
        <v>1349</v>
      </c>
      <c r="V2" t="s">
        <v>1350</v>
      </c>
      <c r="W2" t="s">
        <v>1351</v>
      </c>
      <c r="X2" t="s">
        <v>1352</v>
      </c>
      <c r="Y2" t="s">
        <v>1353</v>
      </c>
      <c r="Z2" t="s">
        <v>1354</v>
      </c>
      <c r="AA2" t="s">
        <v>1332</v>
      </c>
      <c r="AB2" t="s">
        <v>1355</v>
      </c>
      <c r="AC2" t="s">
        <v>1356</v>
      </c>
      <c r="AD2" t="s">
        <v>1357</v>
      </c>
      <c r="AE2" t="s">
        <v>1358</v>
      </c>
      <c r="AF2" t="s">
        <v>1359</v>
      </c>
      <c r="AG2" t="s">
        <v>1360</v>
      </c>
    </row>
    <row r="3" spans="1:33" x14ac:dyDescent="0.25">
      <c r="A3" t="s">
        <v>1361</v>
      </c>
      <c r="B3" t="s">
        <v>1362</v>
      </c>
      <c r="C3" t="s">
        <v>1363</v>
      </c>
      <c r="D3" t="s">
        <v>1364</v>
      </c>
      <c r="F3" t="s">
        <v>1365</v>
      </c>
      <c r="G3" t="s">
        <v>1366</v>
      </c>
      <c r="H3" t="s">
        <v>1367</v>
      </c>
      <c r="I3" t="s">
        <v>1368</v>
      </c>
      <c r="J3" t="s">
        <v>1369</v>
      </c>
      <c r="K3" t="s">
        <v>1370</v>
      </c>
      <c r="L3" t="s">
        <v>1371</v>
      </c>
      <c r="M3" t="s">
        <v>1372</v>
      </c>
      <c r="N3" t="s">
        <v>1373</v>
      </c>
      <c r="O3" t="s">
        <v>1374</v>
      </c>
      <c r="P3" t="s">
        <v>1375</v>
      </c>
      <c r="Q3" t="s">
        <v>1376</v>
      </c>
      <c r="R3" t="s">
        <v>1377</v>
      </c>
      <c r="S3" t="s">
        <v>1378</v>
      </c>
      <c r="T3" t="s">
        <v>1379</v>
      </c>
      <c r="U3" t="s">
        <v>1380</v>
      </c>
      <c r="V3" t="s">
        <v>1381</v>
      </c>
      <c r="W3" t="s">
        <v>1382</v>
      </c>
      <c r="X3" t="s">
        <v>1383</v>
      </c>
      <c r="Y3" t="s">
        <v>1384</v>
      </c>
      <c r="Z3" t="s">
        <v>1385</v>
      </c>
      <c r="AA3" t="s">
        <v>1300</v>
      </c>
      <c r="AB3" t="s">
        <v>1386</v>
      </c>
      <c r="AC3" t="s">
        <v>1387</v>
      </c>
      <c r="AD3" t="s">
        <v>1388</v>
      </c>
      <c r="AE3" t="s">
        <v>1389</v>
      </c>
      <c r="AF3" t="s">
        <v>1327</v>
      </c>
      <c r="AG3" t="s">
        <v>1391</v>
      </c>
    </row>
    <row r="4" spans="1:33" x14ac:dyDescent="0.25">
      <c r="A4" t="s">
        <v>1392</v>
      </c>
      <c r="B4" t="s">
        <v>1393</v>
      </c>
      <c r="C4" t="s">
        <v>1394</v>
      </c>
      <c r="D4" t="s">
        <v>1395</v>
      </c>
      <c r="F4" t="s">
        <v>1396</v>
      </c>
      <c r="G4" t="s">
        <v>1397</v>
      </c>
      <c r="H4" t="s">
        <v>1398</v>
      </c>
      <c r="I4" t="s">
        <v>1399</v>
      </c>
      <c r="J4" t="s">
        <v>1400</v>
      </c>
      <c r="K4" t="s">
        <v>1401</v>
      </c>
      <c r="L4" t="s">
        <v>1402</v>
      </c>
      <c r="M4" t="s">
        <v>1403</v>
      </c>
      <c r="N4" t="s">
        <v>1404</v>
      </c>
      <c r="O4" t="s">
        <v>1405</v>
      </c>
      <c r="P4" t="s">
        <v>1406</v>
      </c>
      <c r="Q4" t="s">
        <v>1407</v>
      </c>
      <c r="R4" t="s">
        <v>1408</v>
      </c>
      <c r="S4" t="s">
        <v>1409</v>
      </c>
      <c r="T4" t="s">
        <v>1410</v>
      </c>
      <c r="U4" t="s">
        <v>1411</v>
      </c>
      <c r="V4" t="s">
        <v>1412</v>
      </c>
      <c r="W4" t="s">
        <v>1413</v>
      </c>
      <c r="X4" t="s">
        <v>1414</v>
      </c>
      <c r="Y4" t="s">
        <v>1415</v>
      </c>
      <c r="Z4" t="s">
        <v>1416</v>
      </c>
      <c r="AB4" t="s">
        <v>1417</v>
      </c>
      <c r="AC4" t="s">
        <v>1418</v>
      </c>
      <c r="AD4" t="s">
        <v>1419</v>
      </c>
      <c r="AE4" t="s">
        <v>1420</v>
      </c>
      <c r="AF4" t="s">
        <v>1390</v>
      </c>
      <c r="AG4" t="s">
        <v>1422</v>
      </c>
    </row>
    <row r="5" spans="1:33" x14ac:dyDescent="0.25">
      <c r="A5" t="s">
        <v>1423</v>
      </c>
      <c r="B5" t="s">
        <v>1424</v>
      </c>
      <c r="C5" t="s">
        <v>1425</v>
      </c>
      <c r="D5" t="s">
        <v>1426</v>
      </c>
      <c r="F5" t="s">
        <v>1427</v>
      </c>
      <c r="G5" t="s">
        <v>1428</v>
      </c>
      <c r="H5" t="s">
        <v>1429</v>
      </c>
      <c r="I5" t="s">
        <v>1430</v>
      </c>
      <c r="J5" t="s">
        <v>1431</v>
      </c>
      <c r="K5" t="s">
        <v>1432</v>
      </c>
      <c r="L5" t="s">
        <v>1433</v>
      </c>
      <c r="M5" t="s">
        <v>1434</v>
      </c>
      <c r="N5" t="s">
        <v>1435</v>
      </c>
      <c r="O5" t="s">
        <v>1436</v>
      </c>
      <c r="P5" t="s">
        <v>1437</v>
      </c>
      <c r="Q5" t="s">
        <v>1438</v>
      </c>
      <c r="R5" t="s">
        <v>1314</v>
      </c>
      <c r="S5" t="s">
        <v>1439</v>
      </c>
      <c r="T5" t="s">
        <v>1440</v>
      </c>
      <c r="U5" t="s">
        <v>1441</v>
      </c>
      <c r="V5" t="s">
        <v>1442</v>
      </c>
      <c r="W5" t="s">
        <v>1443</v>
      </c>
      <c r="X5" t="s">
        <v>1444</v>
      </c>
      <c r="Y5" t="s">
        <v>1445</v>
      </c>
      <c r="Z5" t="s">
        <v>1446</v>
      </c>
      <c r="AB5" t="s">
        <v>1447</v>
      </c>
      <c r="AC5" t="s">
        <v>1448</v>
      </c>
      <c r="AD5" t="s">
        <v>1449</v>
      </c>
      <c r="AE5" t="s">
        <v>1370</v>
      </c>
      <c r="AF5" t="s">
        <v>1421</v>
      </c>
      <c r="AG5" t="s">
        <v>1328</v>
      </c>
    </row>
    <row r="6" spans="1:33" x14ac:dyDescent="0.25">
      <c r="A6" t="s">
        <v>1298</v>
      </c>
      <c r="B6" t="s">
        <v>1299</v>
      </c>
      <c r="C6" t="s">
        <v>1270</v>
      </c>
      <c r="D6" t="s">
        <v>1301</v>
      </c>
      <c r="F6" t="s">
        <v>1302</v>
      </c>
      <c r="G6" t="s">
        <v>1303</v>
      </c>
      <c r="H6" t="s">
        <v>1304</v>
      </c>
      <c r="I6" t="s">
        <v>1305</v>
      </c>
      <c r="J6" t="s">
        <v>1306</v>
      </c>
      <c r="K6" t="s">
        <v>1307</v>
      </c>
      <c r="L6" t="s">
        <v>1308</v>
      </c>
      <c r="M6" t="s">
        <v>1309</v>
      </c>
      <c r="N6" t="s">
        <v>1310</v>
      </c>
      <c r="O6" t="s">
        <v>1311</v>
      </c>
      <c r="P6" t="s">
        <v>1312</v>
      </c>
      <c r="Q6" t="s">
        <v>1313</v>
      </c>
      <c r="S6" t="s">
        <v>1315</v>
      </c>
      <c r="T6" t="s">
        <v>1316</v>
      </c>
      <c r="U6" t="s">
        <v>1317</v>
      </c>
      <c r="V6" t="s">
        <v>1318</v>
      </c>
      <c r="W6" t="s">
        <v>1319</v>
      </c>
      <c r="X6" t="s">
        <v>1320</v>
      </c>
      <c r="Y6" t="s">
        <v>1321</v>
      </c>
      <c r="Z6" t="s">
        <v>1322</v>
      </c>
      <c r="AB6" t="s">
        <v>1323</v>
      </c>
      <c r="AC6" t="s">
        <v>1324</v>
      </c>
      <c r="AD6" t="s">
        <v>1325</v>
      </c>
      <c r="AE6" t="s">
        <v>1326</v>
      </c>
      <c r="AF6" t="s">
        <v>1450</v>
      </c>
    </row>
    <row r="7" spans="1:33" x14ac:dyDescent="0.25">
      <c r="A7" t="s">
        <v>1451</v>
      </c>
      <c r="B7" t="s">
        <v>1452</v>
      </c>
      <c r="C7" t="s">
        <v>1453</v>
      </c>
      <c r="D7" t="s">
        <v>1454</v>
      </c>
      <c r="F7" t="s">
        <v>1455</v>
      </c>
      <c r="G7" t="s">
        <v>1456</v>
      </c>
      <c r="H7" t="s">
        <v>1457</v>
      </c>
      <c r="I7" t="s">
        <v>1458</v>
      </c>
      <c r="J7" t="s">
        <v>1459</v>
      </c>
      <c r="K7" t="s">
        <v>1460</v>
      </c>
      <c r="L7" t="s">
        <v>1461</v>
      </c>
      <c r="M7" t="s">
        <v>1462</v>
      </c>
      <c r="N7" t="s">
        <v>1463</v>
      </c>
      <c r="O7" t="s">
        <v>1464</v>
      </c>
      <c r="P7" t="s">
        <v>1465</v>
      </c>
      <c r="Q7" t="s">
        <v>1466</v>
      </c>
      <c r="S7" t="s">
        <v>1467</v>
      </c>
      <c r="T7" t="s">
        <v>1468</v>
      </c>
      <c r="U7" t="s">
        <v>1469</v>
      </c>
      <c r="V7" t="s">
        <v>1470</v>
      </c>
      <c r="W7" t="s">
        <v>1471</v>
      </c>
      <c r="X7" t="s">
        <v>1472</v>
      </c>
      <c r="Y7" t="s">
        <v>1473</v>
      </c>
      <c r="Z7" t="s">
        <v>1474</v>
      </c>
      <c r="AB7" t="s">
        <v>1475</v>
      </c>
      <c r="AC7" t="s">
        <v>1476</v>
      </c>
      <c r="AD7" t="s">
        <v>1477</v>
      </c>
      <c r="AE7" t="s">
        <v>1478</v>
      </c>
      <c r="AF7" t="s">
        <v>1479</v>
      </c>
    </row>
    <row r="8" spans="1:33" x14ac:dyDescent="0.25">
      <c r="A8" t="s">
        <v>1480</v>
      </c>
      <c r="B8" t="s">
        <v>1481</v>
      </c>
      <c r="C8" t="s">
        <v>1482</v>
      </c>
      <c r="D8" t="s">
        <v>1483</v>
      </c>
      <c r="F8" t="s">
        <v>1484</v>
      </c>
      <c r="G8" t="s">
        <v>1485</v>
      </c>
      <c r="H8" t="s">
        <v>1486</v>
      </c>
      <c r="I8" t="s">
        <v>1487</v>
      </c>
      <c r="J8" t="s">
        <v>1488</v>
      </c>
      <c r="K8" t="s">
        <v>1489</v>
      </c>
      <c r="L8" t="s">
        <v>1490</v>
      </c>
      <c r="M8" t="s">
        <v>1491</v>
      </c>
      <c r="N8" t="s">
        <v>1492</v>
      </c>
      <c r="O8" t="s">
        <v>1493</v>
      </c>
      <c r="P8" t="s">
        <v>1494</v>
      </c>
      <c r="Q8" t="s">
        <v>1495</v>
      </c>
      <c r="S8" t="s">
        <v>1496</v>
      </c>
      <c r="T8" t="s">
        <v>1497</v>
      </c>
      <c r="U8" t="s">
        <v>1498</v>
      </c>
      <c r="V8" t="s">
        <v>1499</v>
      </c>
      <c r="W8" t="s">
        <v>1500</v>
      </c>
      <c r="X8" t="s">
        <v>1501</v>
      </c>
      <c r="Y8" t="s">
        <v>1502</v>
      </c>
      <c r="Z8" t="s">
        <v>1503</v>
      </c>
      <c r="AB8" t="s">
        <v>1504</v>
      </c>
      <c r="AC8" t="s">
        <v>1505</v>
      </c>
      <c r="AD8" t="s">
        <v>1506</v>
      </c>
      <c r="AE8" t="s">
        <v>1507</v>
      </c>
    </row>
    <row r="9" spans="1:33" x14ac:dyDescent="0.25">
      <c r="A9" t="s">
        <v>1508</v>
      </c>
      <c r="B9" t="s">
        <v>1509</v>
      </c>
      <c r="D9" t="s">
        <v>1510</v>
      </c>
      <c r="F9" t="s">
        <v>1346</v>
      </c>
      <c r="G9" t="s">
        <v>1511</v>
      </c>
      <c r="H9" t="s">
        <v>1512</v>
      </c>
      <c r="I9" t="s">
        <v>1513</v>
      </c>
      <c r="J9" t="s">
        <v>1514</v>
      </c>
      <c r="K9" t="s">
        <v>1515</v>
      </c>
      <c r="L9" t="s">
        <v>1516</v>
      </c>
      <c r="M9" t="s">
        <v>1517</v>
      </c>
      <c r="N9" t="s">
        <v>1518</v>
      </c>
      <c r="O9" t="s">
        <v>1519</v>
      </c>
      <c r="P9" t="s">
        <v>1520</v>
      </c>
      <c r="Q9" t="s">
        <v>1521</v>
      </c>
      <c r="S9" t="s">
        <v>1522</v>
      </c>
      <c r="T9" t="s">
        <v>1523</v>
      </c>
      <c r="U9" t="s">
        <v>1524</v>
      </c>
      <c r="V9" t="s">
        <v>1525</v>
      </c>
      <c r="W9" t="s">
        <v>1526</v>
      </c>
      <c r="X9" t="s">
        <v>1527</v>
      </c>
      <c r="Y9" t="s">
        <v>1528</v>
      </c>
      <c r="Z9" t="s">
        <v>1529</v>
      </c>
      <c r="AB9" t="s">
        <v>1530</v>
      </c>
      <c r="AC9" t="s">
        <v>1531</v>
      </c>
      <c r="AD9" t="s">
        <v>1532</v>
      </c>
      <c r="AE9" t="s">
        <v>1533</v>
      </c>
    </row>
    <row r="10" spans="1:33" x14ac:dyDescent="0.25">
      <c r="A10" t="s">
        <v>1534</v>
      </c>
      <c r="B10" t="s">
        <v>1535</v>
      </c>
      <c r="D10" t="s">
        <v>1536</v>
      </c>
      <c r="F10" t="s">
        <v>1537</v>
      </c>
      <c r="G10" t="s">
        <v>1274</v>
      </c>
      <c r="H10" t="s">
        <v>1538</v>
      </c>
      <c r="I10" t="s">
        <v>1539</v>
      </c>
      <c r="J10" t="s">
        <v>1540</v>
      </c>
      <c r="K10" t="s">
        <v>1541</v>
      </c>
      <c r="L10" t="s">
        <v>1542</v>
      </c>
      <c r="M10" t="s">
        <v>1543</v>
      </c>
      <c r="N10" t="s">
        <v>1544</v>
      </c>
      <c r="O10" t="s">
        <v>1545</v>
      </c>
      <c r="P10" t="s">
        <v>1546</v>
      </c>
      <c r="Q10" t="s">
        <v>1547</v>
      </c>
      <c r="S10" t="s">
        <v>1548</v>
      </c>
      <c r="T10" t="s">
        <v>1549</v>
      </c>
      <c r="U10" t="s">
        <v>1550</v>
      </c>
      <c r="V10" t="s">
        <v>1551</v>
      </c>
      <c r="W10" t="s">
        <v>1552</v>
      </c>
      <c r="X10" t="s">
        <v>1553</v>
      </c>
      <c r="Y10" t="s">
        <v>1554</v>
      </c>
      <c r="Z10" t="s">
        <v>1555</v>
      </c>
      <c r="AB10" t="s">
        <v>1556</v>
      </c>
      <c r="AC10" t="s">
        <v>1557</v>
      </c>
      <c r="AD10" t="s">
        <v>1558</v>
      </c>
      <c r="AE10" t="s">
        <v>1559</v>
      </c>
    </row>
    <row r="11" spans="1:33" x14ac:dyDescent="0.25">
      <c r="A11" t="s">
        <v>1560</v>
      </c>
      <c r="B11" t="s">
        <v>1561</v>
      </c>
      <c r="D11" t="s">
        <v>1562</v>
      </c>
      <c r="F11" t="s">
        <v>1563</v>
      </c>
      <c r="G11" t="s">
        <v>1564</v>
      </c>
      <c r="H11" t="s">
        <v>1565</v>
      </c>
      <c r="I11" t="s">
        <v>1566</v>
      </c>
      <c r="J11" t="s">
        <v>1567</v>
      </c>
      <c r="K11" t="s">
        <v>1568</v>
      </c>
      <c r="L11" t="s">
        <v>1569</v>
      </c>
      <c r="M11" t="s">
        <v>1570</v>
      </c>
      <c r="N11" t="s">
        <v>1571</v>
      </c>
      <c r="O11" t="s">
        <v>1572</v>
      </c>
      <c r="Q11" t="s">
        <v>1573</v>
      </c>
      <c r="S11" t="s">
        <v>1574</v>
      </c>
      <c r="T11" t="s">
        <v>1575</v>
      </c>
      <c r="U11" t="s">
        <v>1576</v>
      </c>
      <c r="V11" t="s">
        <v>1577</v>
      </c>
      <c r="W11" t="s">
        <v>1578</v>
      </c>
      <c r="X11" t="s">
        <v>1579</v>
      </c>
      <c r="Y11" t="s">
        <v>1580</v>
      </c>
      <c r="Z11" t="s">
        <v>1581</v>
      </c>
      <c r="AB11" t="s">
        <v>1582</v>
      </c>
      <c r="AC11" t="s">
        <v>1583</v>
      </c>
      <c r="AD11" t="s">
        <v>1584</v>
      </c>
      <c r="AE11" t="s">
        <v>1585</v>
      </c>
    </row>
    <row r="12" spans="1:33" x14ac:dyDescent="0.25">
      <c r="A12" t="s">
        <v>1586</v>
      </c>
      <c r="B12" t="s">
        <v>1587</v>
      </c>
      <c r="D12" t="s">
        <v>1588</v>
      </c>
      <c r="F12" t="s">
        <v>1589</v>
      </c>
      <c r="G12" t="s">
        <v>1590</v>
      </c>
      <c r="H12" t="s">
        <v>1591</v>
      </c>
      <c r="I12" t="s">
        <v>1592</v>
      </c>
      <c r="J12" t="s">
        <v>1593</v>
      </c>
      <c r="K12" t="s">
        <v>1594</v>
      </c>
      <c r="L12" t="s">
        <v>1595</v>
      </c>
      <c r="M12" t="s">
        <v>1596</v>
      </c>
      <c r="N12" t="s">
        <v>1597</v>
      </c>
      <c r="O12" t="s">
        <v>1598</v>
      </c>
      <c r="Q12" t="s">
        <v>1599</v>
      </c>
      <c r="S12" t="s">
        <v>1600</v>
      </c>
      <c r="T12" t="s">
        <v>1601</v>
      </c>
      <c r="U12" t="s">
        <v>1602</v>
      </c>
      <c r="V12" t="s">
        <v>1603</v>
      </c>
      <c r="W12" t="s">
        <v>1604</v>
      </c>
      <c r="X12" t="s">
        <v>1605</v>
      </c>
      <c r="Y12" t="s">
        <v>1606</v>
      </c>
      <c r="Z12" t="s">
        <v>1607</v>
      </c>
      <c r="AB12" t="s">
        <v>1608</v>
      </c>
      <c r="AC12" t="s">
        <v>1609</v>
      </c>
      <c r="AD12" t="s">
        <v>1610</v>
      </c>
      <c r="AE12" t="s">
        <v>1611</v>
      </c>
    </row>
    <row r="13" spans="1:33" x14ac:dyDescent="0.25">
      <c r="B13" t="s">
        <v>1612</v>
      </c>
      <c r="D13" t="s">
        <v>1613</v>
      </c>
      <c r="F13" t="s">
        <v>1614</v>
      </c>
      <c r="G13" t="s">
        <v>1615</v>
      </c>
      <c r="H13" t="s">
        <v>1616</v>
      </c>
      <c r="I13" t="s">
        <v>1617</v>
      </c>
      <c r="J13" t="s">
        <v>1618</v>
      </c>
      <c r="K13" t="s">
        <v>1619</v>
      </c>
      <c r="L13" t="s">
        <v>1620</v>
      </c>
      <c r="M13" t="s">
        <v>1621</v>
      </c>
      <c r="N13" t="s">
        <v>1622</v>
      </c>
      <c r="O13" t="s">
        <v>1623</v>
      </c>
      <c r="Q13" t="s">
        <v>1624</v>
      </c>
      <c r="S13" t="s">
        <v>1625</v>
      </c>
      <c r="T13" t="s">
        <v>1626</v>
      </c>
      <c r="U13" t="s">
        <v>1627</v>
      </c>
      <c r="V13" t="s">
        <v>1628</v>
      </c>
      <c r="W13" t="s">
        <v>1629</v>
      </c>
      <c r="X13" t="s">
        <v>1630</v>
      </c>
      <c r="Y13" t="s">
        <v>1631</v>
      </c>
      <c r="Z13" t="s">
        <v>1632</v>
      </c>
      <c r="AB13" t="s">
        <v>1633</v>
      </c>
      <c r="AC13" t="s">
        <v>1634</v>
      </c>
      <c r="AD13" t="s">
        <v>1635</v>
      </c>
      <c r="AE13" t="s">
        <v>1636</v>
      </c>
    </row>
    <row r="14" spans="1:33" x14ac:dyDescent="0.25">
      <c r="B14" t="s">
        <v>1637</v>
      </c>
      <c r="D14" t="s">
        <v>1638</v>
      </c>
      <c r="F14" t="s">
        <v>1639</v>
      </c>
      <c r="G14" t="s">
        <v>1640</v>
      </c>
      <c r="H14" t="s">
        <v>1641</v>
      </c>
      <c r="I14" t="s">
        <v>1642</v>
      </c>
      <c r="J14" t="s">
        <v>1643</v>
      </c>
      <c r="K14" t="s">
        <v>1644</v>
      </c>
      <c r="L14" t="s">
        <v>1645</v>
      </c>
      <c r="M14" t="s">
        <v>1646</v>
      </c>
      <c r="N14" t="s">
        <v>1647</v>
      </c>
      <c r="O14" t="s">
        <v>1648</v>
      </c>
      <c r="Q14" t="s">
        <v>1649</v>
      </c>
      <c r="S14" t="s">
        <v>1650</v>
      </c>
      <c r="T14" t="s">
        <v>1651</v>
      </c>
      <c r="U14" t="s">
        <v>1652</v>
      </c>
      <c r="V14" t="s">
        <v>1281</v>
      </c>
      <c r="W14" t="s">
        <v>1653</v>
      </c>
      <c r="X14" t="s">
        <v>1654</v>
      </c>
      <c r="Z14" t="s">
        <v>1655</v>
      </c>
      <c r="AB14" t="s">
        <v>1656</v>
      </c>
      <c r="AC14" t="s">
        <v>1657</v>
      </c>
      <c r="AD14" t="s">
        <v>1658</v>
      </c>
      <c r="AE14" t="s">
        <v>1659</v>
      </c>
    </row>
    <row r="15" spans="1:33" x14ac:dyDescent="0.25">
      <c r="B15" t="s">
        <v>1370</v>
      </c>
      <c r="D15" t="s">
        <v>1660</v>
      </c>
      <c r="F15" t="s">
        <v>1661</v>
      </c>
      <c r="G15" t="s">
        <v>1662</v>
      </c>
      <c r="H15" t="s">
        <v>1663</v>
      </c>
      <c r="I15" t="s">
        <v>1664</v>
      </c>
      <c r="J15" t="s">
        <v>1665</v>
      </c>
      <c r="K15" t="s">
        <v>1666</v>
      </c>
      <c r="L15" t="s">
        <v>1667</v>
      </c>
      <c r="M15" t="s">
        <v>1668</v>
      </c>
      <c r="N15" t="s">
        <v>1669</v>
      </c>
      <c r="O15" t="s">
        <v>1670</v>
      </c>
      <c r="Q15" t="s">
        <v>1671</v>
      </c>
      <c r="S15" t="s">
        <v>1672</v>
      </c>
      <c r="T15" t="s">
        <v>1673</v>
      </c>
      <c r="U15" t="s">
        <v>1674</v>
      </c>
      <c r="V15" t="s">
        <v>1675</v>
      </c>
      <c r="W15" t="s">
        <v>1676</v>
      </c>
      <c r="Z15" t="s">
        <v>1677</v>
      </c>
      <c r="AB15" t="s">
        <v>1678</v>
      </c>
      <c r="AC15" t="s">
        <v>1679</v>
      </c>
      <c r="AD15" t="s">
        <v>1680</v>
      </c>
      <c r="AE15" t="s">
        <v>1681</v>
      </c>
    </row>
    <row r="16" spans="1:33" x14ac:dyDescent="0.25">
      <c r="B16" t="s">
        <v>1682</v>
      </c>
      <c r="D16" t="s">
        <v>1683</v>
      </c>
      <c r="F16" t="s">
        <v>1684</v>
      </c>
      <c r="G16" t="s">
        <v>1685</v>
      </c>
      <c r="H16" t="s">
        <v>1686</v>
      </c>
      <c r="I16" t="s">
        <v>1687</v>
      </c>
      <c r="J16" t="s">
        <v>1688</v>
      </c>
      <c r="K16" t="s">
        <v>1689</v>
      </c>
      <c r="L16" t="s">
        <v>1690</v>
      </c>
      <c r="M16" t="s">
        <v>1691</v>
      </c>
      <c r="N16" t="s">
        <v>1692</v>
      </c>
      <c r="O16" t="s">
        <v>1693</v>
      </c>
      <c r="Q16" t="s">
        <v>1694</v>
      </c>
      <c r="S16" t="s">
        <v>1695</v>
      </c>
      <c r="T16" t="s">
        <v>1696</v>
      </c>
      <c r="U16" t="s">
        <v>1697</v>
      </c>
      <c r="V16" t="s">
        <v>1698</v>
      </c>
      <c r="W16" t="s">
        <v>1699</v>
      </c>
      <c r="AB16" t="s">
        <v>1700</v>
      </c>
      <c r="AC16" t="s">
        <v>1701</v>
      </c>
      <c r="AD16" t="s">
        <v>1702</v>
      </c>
      <c r="AE16" t="s">
        <v>1703</v>
      </c>
    </row>
    <row r="17" spans="2:31" x14ac:dyDescent="0.25">
      <c r="B17" t="s">
        <v>1704</v>
      </c>
      <c r="D17" t="s">
        <v>1705</v>
      </c>
      <c r="F17" t="s">
        <v>1706</v>
      </c>
      <c r="G17" t="s">
        <v>1707</v>
      </c>
      <c r="H17" t="s">
        <v>1708</v>
      </c>
      <c r="I17" t="s">
        <v>1709</v>
      </c>
      <c r="J17" t="s">
        <v>1710</v>
      </c>
      <c r="K17" t="s">
        <v>1711</v>
      </c>
      <c r="L17" t="s">
        <v>1712</v>
      </c>
      <c r="M17" t="s">
        <v>1713</v>
      </c>
      <c r="N17" t="s">
        <v>1714</v>
      </c>
      <c r="O17" t="s">
        <v>1715</v>
      </c>
      <c r="S17" t="s">
        <v>1716</v>
      </c>
      <c r="T17" t="s">
        <v>1717</v>
      </c>
      <c r="U17" t="s">
        <v>1718</v>
      </c>
      <c r="V17" t="s">
        <v>1719</v>
      </c>
      <c r="W17" t="s">
        <v>1720</v>
      </c>
      <c r="AB17" t="s">
        <v>1721</v>
      </c>
      <c r="AC17" t="s">
        <v>1722</v>
      </c>
      <c r="AD17" t="s">
        <v>1723</v>
      </c>
      <c r="AE17" t="s">
        <v>1724</v>
      </c>
    </row>
    <row r="18" spans="2:31" x14ac:dyDescent="0.25">
      <c r="B18" t="s">
        <v>1725</v>
      </c>
      <c r="D18" t="s">
        <v>1726</v>
      </c>
      <c r="F18" t="s">
        <v>1727</v>
      </c>
      <c r="G18" t="s">
        <v>1728</v>
      </c>
      <c r="H18" t="s">
        <v>1729</v>
      </c>
      <c r="J18" t="s">
        <v>1730</v>
      </c>
      <c r="K18" t="s">
        <v>1731</v>
      </c>
      <c r="L18" t="s">
        <v>1732</v>
      </c>
      <c r="M18" t="s">
        <v>1733</v>
      </c>
      <c r="N18" t="s">
        <v>1734</v>
      </c>
      <c r="O18" t="s">
        <v>1735</v>
      </c>
      <c r="S18" t="s">
        <v>1736</v>
      </c>
      <c r="T18" t="s">
        <v>1737</v>
      </c>
      <c r="U18" t="s">
        <v>1738</v>
      </c>
      <c r="V18" t="s">
        <v>1739</v>
      </c>
      <c r="W18" t="s">
        <v>1740</v>
      </c>
      <c r="AB18" t="s">
        <v>1741</v>
      </c>
      <c r="AC18" t="s">
        <v>1742</v>
      </c>
      <c r="AD18" t="s">
        <v>1743</v>
      </c>
      <c r="AE18" t="s">
        <v>1744</v>
      </c>
    </row>
    <row r="19" spans="2:31" x14ac:dyDescent="0.25">
      <c r="B19" t="s">
        <v>1745</v>
      </c>
      <c r="D19" t="s">
        <v>1746</v>
      </c>
      <c r="F19" t="s">
        <v>1747</v>
      </c>
      <c r="G19" t="s">
        <v>1748</v>
      </c>
      <c r="H19" t="s">
        <v>1749</v>
      </c>
      <c r="J19" t="s">
        <v>1750</v>
      </c>
      <c r="K19" t="s">
        <v>1751</v>
      </c>
      <c r="L19" t="s">
        <v>1752</v>
      </c>
      <c r="M19" t="s">
        <v>1753</v>
      </c>
      <c r="N19" t="s">
        <v>1754</v>
      </c>
      <c r="O19" t="s">
        <v>1755</v>
      </c>
      <c r="S19" t="s">
        <v>1756</v>
      </c>
      <c r="T19" t="s">
        <v>1757</v>
      </c>
      <c r="U19" t="s">
        <v>1758</v>
      </c>
      <c r="V19" t="s">
        <v>1759</v>
      </c>
      <c r="W19" t="s">
        <v>1760</v>
      </c>
      <c r="AB19" t="s">
        <v>1761</v>
      </c>
      <c r="AC19" t="s">
        <v>1762</v>
      </c>
      <c r="AD19" t="s">
        <v>1763</v>
      </c>
      <c r="AE19" t="s">
        <v>1764</v>
      </c>
    </row>
    <row r="20" spans="2:31" x14ac:dyDescent="0.25">
      <c r="B20" t="s">
        <v>1765</v>
      </c>
      <c r="D20" t="s">
        <v>1766</v>
      </c>
      <c r="F20" t="s">
        <v>1767</v>
      </c>
      <c r="G20" t="s">
        <v>1768</v>
      </c>
      <c r="H20" t="s">
        <v>1769</v>
      </c>
      <c r="J20" t="s">
        <v>1770</v>
      </c>
      <c r="K20" t="s">
        <v>1771</v>
      </c>
      <c r="L20" t="s">
        <v>1772</v>
      </c>
      <c r="M20" t="s">
        <v>1773</v>
      </c>
      <c r="N20" t="s">
        <v>1774</v>
      </c>
      <c r="O20" t="s">
        <v>1775</v>
      </c>
      <c r="S20" t="s">
        <v>1776</v>
      </c>
      <c r="T20" t="s">
        <v>1777</v>
      </c>
      <c r="U20" t="s">
        <v>1778</v>
      </c>
      <c r="V20" t="s">
        <v>1779</v>
      </c>
      <c r="W20" t="s">
        <v>1780</v>
      </c>
      <c r="AB20" t="s">
        <v>1781</v>
      </c>
      <c r="AC20" t="s">
        <v>1782</v>
      </c>
      <c r="AD20" t="s">
        <v>1783</v>
      </c>
      <c r="AE20" t="s">
        <v>1784</v>
      </c>
    </row>
    <row r="21" spans="2:31" x14ac:dyDescent="0.25">
      <c r="B21" t="s">
        <v>1785</v>
      </c>
      <c r="D21" t="s">
        <v>1786</v>
      </c>
      <c r="F21" t="s">
        <v>1787</v>
      </c>
      <c r="G21" t="s">
        <v>1788</v>
      </c>
      <c r="H21" t="s">
        <v>1292</v>
      </c>
      <c r="K21" t="s">
        <v>1789</v>
      </c>
      <c r="L21" t="s">
        <v>1790</v>
      </c>
      <c r="M21" t="s">
        <v>1791</v>
      </c>
      <c r="N21" t="s">
        <v>1792</v>
      </c>
      <c r="O21" t="s">
        <v>1793</v>
      </c>
      <c r="S21" t="s">
        <v>1794</v>
      </c>
      <c r="T21" t="s">
        <v>1795</v>
      </c>
      <c r="U21" t="s">
        <v>1796</v>
      </c>
      <c r="V21" t="s">
        <v>1797</v>
      </c>
      <c r="W21" t="s">
        <v>1798</v>
      </c>
      <c r="AB21" t="s">
        <v>1799</v>
      </c>
      <c r="AC21" t="s">
        <v>1800</v>
      </c>
      <c r="AD21" t="s">
        <v>1801</v>
      </c>
      <c r="AE21" t="s">
        <v>1802</v>
      </c>
    </row>
    <row r="22" spans="2:31" x14ac:dyDescent="0.25">
      <c r="B22" t="s">
        <v>1803</v>
      </c>
      <c r="D22" t="s">
        <v>1804</v>
      </c>
      <c r="F22" t="s">
        <v>1805</v>
      </c>
      <c r="G22" t="s">
        <v>1806</v>
      </c>
      <c r="H22" t="s">
        <v>1807</v>
      </c>
      <c r="K22" t="s">
        <v>1808</v>
      </c>
      <c r="L22" t="s">
        <v>1809</v>
      </c>
      <c r="M22" t="s">
        <v>1810</v>
      </c>
      <c r="N22" t="s">
        <v>1811</v>
      </c>
      <c r="O22" t="s">
        <v>1812</v>
      </c>
      <c r="S22" t="s">
        <v>1813</v>
      </c>
      <c r="T22" t="s">
        <v>1814</v>
      </c>
      <c r="U22" t="s">
        <v>1815</v>
      </c>
      <c r="V22" t="s">
        <v>1816</v>
      </c>
      <c r="W22" t="s">
        <v>1817</v>
      </c>
      <c r="AB22" t="s">
        <v>1818</v>
      </c>
      <c r="AC22" t="s">
        <v>1819</v>
      </c>
      <c r="AD22" t="s">
        <v>1820</v>
      </c>
      <c r="AE22" t="s">
        <v>1821</v>
      </c>
    </row>
    <row r="23" spans="2:31" x14ac:dyDescent="0.25">
      <c r="B23" t="s">
        <v>1822</v>
      </c>
      <c r="D23" t="s">
        <v>1823</v>
      </c>
      <c r="F23" t="s">
        <v>1824</v>
      </c>
      <c r="G23" t="s">
        <v>1825</v>
      </c>
      <c r="H23" t="s">
        <v>1826</v>
      </c>
      <c r="K23" t="s">
        <v>1827</v>
      </c>
      <c r="L23" t="s">
        <v>1828</v>
      </c>
      <c r="M23" t="s">
        <v>1829</v>
      </c>
      <c r="N23" t="s">
        <v>1830</v>
      </c>
      <c r="O23" t="s">
        <v>1831</v>
      </c>
      <c r="S23" t="s">
        <v>1832</v>
      </c>
      <c r="T23" t="s">
        <v>1833</v>
      </c>
      <c r="U23" t="s">
        <v>1834</v>
      </c>
      <c r="V23" t="s">
        <v>1835</v>
      </c>
      <c r="W23" t="s">
        <v>1836</v>
      </c>
      <c r="AB23" t="s">
        <v>1837</v>
      </c>
      <c r="AC23" t="s">
        <v>1838</v>
      </c>
      <c r="AD23" t="s">
        <v>1839</v>
      </c>
      <c r="AE23" t="s">
        <v>1840</v>
      </c>
    </row>
    <row r="24" spans="2:31" x14ac:dyDescent="0.25">
      <c r="B24" t="s">
        <v>1841</v>
      </c>
      <c r="D24" t="s">
        <v>1842</v>
      </c>
      <c r="F24" t="s">
        <v>1843</v>
      </c>
      <c r="G24" t="s">
        <v>1844</v>
      </c>
      <c r="H24" t="s">
        <v>1845</v>
      </c>
      <c r="K24" t="s">
        <v>1846</v>
      </c>
      <c r="L24" t="s">
        <v>1847</v>
      </c>
      <c r="M24" t="s">
        <v>1848</v>
      </c>
      <c r="N24" t="s">
        <v>1849</v>
      </c>
      <c r="O24" t="s">
        <v>1850</v>
      </c>
      <c r="S24" t="s">
        <v>1851</v>
      </c>
      <c r="T24" t="s">
        <v>1852</v>
      </c>
      <c r="U24" t="s">
        <v>1853</v>
      </c>
      <c r="V24" t="s">
        <v>1854</v>
      </c>
      <c r="W24" t="s">
        <v>1855</v>
      </c>
      <c r="AB24" t="s">
        <v>1856</v>
      </c>
      <c r="AC24" t="s">
        <v>1857</v>
      </c>
      <c r="AD24" t="s">
        <v>1858</v>
      </c>
      <c r="AE24" t="s">
        <v>1859</v>
      </c>
    </row>
    <row r="25" spans="2:31" x14ac:dyDescent="0.25">
      <c r="B25" t="s">
        <v>1860</v>
      </c>
      <c r="F25" t="s">
        <v>1861</v>
      </c>
      <c r="G25" t="s">
        <v>1862</v>
      </c>
      <c r="H25" t="s">
        <v>1863</v>
      </c>
      <c r="K25" t="s">
        <v>1864</v>
      </c>
      <c r="L25" t="s">
        <v>1865</v>
      </c>
      <c r="M25" t="s">
        <v>1866</v>
      </c>
      <c r="N25" t="s">
        <v>1867</v>
      </c>
      <c r="O25" t="s">
        <v>1868</v>
      </c>
      <c r="S25" t="s">
        <v>1869</v>
      </c>
      <c r="T25" t="s">
        <v>1870</v>
      </c>
      <c r="U25" t="s">
        <v>1871</v>
      </c>
      <c r="V25" t="s">
        <v>1872</v>
      </c>
      <c r="W25" t="s">
        <v>1873</v>
      </c>
      <c r="AB25" t="s">
        <v>1874</v>
      </c>
      <c r="AC25" t="s">
        <v>1875</v>
      </c>
      <c r="AD25" t="s">
        <v>1876</v>
      </c>
      <c r="AE25" t="s">
        <v>1877</v>
      </c>
    </row>
    <row r="26" spans="2:31" x14ac:dyDescent="0.25">
      <c r="B26" t="s">
        <v>1878</v>
      </c>
      <c r="F26" t="s">
        <v>1879</v>
      </c>
      <c r="G26" t="s">
        <v>1880</v>
      </c>
      <c r="H26" t="s">
        <v>1881</v>
      </c>
      <c r="K26" t="s">
        <v>1882</v>
      </c>
      <c r="L26" t="s">
        <v>1883</v>
      </c>
      <c r="M26" t="s">
        <v>1884</v>
      </c>
      <c r="N26" t="s">
        <v>1885</v>
      </c>
      <c r="O26" t="s">
        <v>1886</v>
      </c>
      <c r="S26" t="s">
        <v>1887</v>
      </c>
      <c r="T26" t="s">
        <v>1888</v>
      </c>
      <c r="U26" t="s">
        <v>1889</v>
      </c>
      <c r="V26" t="s">
        <v>1890</v>
      </c>
      <c r="W26" t="s">
        <v>1891</v>
      </c>
      <c r="AB26" t="s">
        <v>1892</v>
      </c>
      <c r="AC26" t="s">
        <v>1893</v>
      </c>
      <c r="AD26" t="s">
        <v>1894</v>
      </c>
      <c r="AE26" t="s">
        <v>1895</v>
      </c>
    </row>
    <row r="27" spans="2:31" x14ac:dyDescent="0.25">
      <c r="B27" t="s">
        <v>1275</v>
      </c>
      <c r="F27" t="s">
        <v>1896</v>
      </c>
      <c r="G27" t="s">
        <v>1897</v>
      </c>
      <c r="H27" t="s">
        <v>1898</v>
      </c>
      <c r="K27" t="s">
        <v>1899</v>
      </c>
      <c r="M27" t="s">
        <v>1900</v>
      </c>
      <c r="N27" t="s">
        <v>1901</v>
      </c>
      <c r="O27" t="s">
        <v>1902</v>
      </c>
      <c r="S27" t="s">
        <v>1903</v>
      </c>
      <c r="T27" t="s">
        <v>1904</v>
      </c>
      <c r="U27" t="s">
        <v>1905</v>
      </c>
      <c r="V27" t="s">
        <v>1906</v>
      </c>
      <c r="W27" t="s">
        <v>1907</v>
      </c>
      <c r="AB27" t="s">
        <v>1908</v>
      </c>
      <c r="AD27" t="s">
        <v>1909</v>
      </c>
      <c r="AE27" t="s">
        <v>1910</v>
      </c>
    </row>
    <row r="28" spans="2:31" x14ac:dyDescent="0.25">
      <c r="B28" t="s">
        <v>1911</v>
      </c>
      <c r="F28" t="s">
        <v>1912</v>
      </c>
      <c r="G28" t="s">
        <v>1913</v>
      </c>
      <c r="H28" t="s">
        <v>1914</v>
      </c>
      <c r="K28" t="s">
        <v>1915</v>
      </c>
      <c r="M28" t="s">
        <v>1916</v>
      </c>
      <c r="N28" t="s">
        <v>1917</v>
      </c>
      <c r="O28" t="s">
        <v>1918</v>
      </c>
      <c r="S28" t="s">
        <v>1919</v>
      </c>
      <c r="T28" t="s">
        <v>1920</v>
      </c>
      <c r="U28" t="s">
        <v>1921</v>
      </c>
      <c r="V28" t="s">
        <v>1922</v>
      </c>
      <c r="W28" t="s">
        <v>1923</v>
      </c>
      <c r="AB28" t="s">
        <v>1924</v>
      </c>
      <c r="AD28" t="s">
        <v>1925</v>
      </c>
      <c r="AE28" t="s">
        <v>1926</v>
      </c>
    </row>
    <row r="29" spans="2:31" x14ac:dyDescent="0.25">
      <c r="B29" t="s">
        <v>1927</v>
      </c>
      <c r="F29" t="s">
        <v>1928</v>
      </c>
      <c r="G29" t="s">
        <v>1929</v>
      </c>
      <c r="K29" t="s">
        <v>1930</v>
      </c>
      <c r="M29" t="s">
        <v>1931</v>
      </c>
      <c r="N29" t="s">
        <v>1932</v>
      </c>
      <c r="O29" t="s">
        <v>1933</v>
      </c>
      <c r="S29" t="s">
        <v>1934</v>
      </c>
      <c r="T29" t="s">
        <v>1935</v>
      </c>
      <c r="U29" t="s">
        <v>1936</v>
      </c>
      <c r="V29" t="s">
        <v>1937</v>
      </c>
      <c r="W29" t="s">
        <v>1560</v>
      </c>
      <c r="AB29" t="s">
        <v>1938</v>
      </c>
      <c r="AD29" t="s">
        <v>1939</v>
      </c>
      <c r="AE29" t="s">
        <v>1940</v>
      </c>
    </row>
    <row r="30" spans="2:31" x14ac:dyDescent="0.25">
      <c r="B30" t="s">
        <v>1941</v>
      </c>
      <c r="F30" t="s">
        <v>1942</v>
      </c>
      <c r="G30" t="s">
        <v>1943</v>
      </c>
      <c r="K30" t="s">
        <v>1944</v>
      </c>
      <c r="M30" t="s">
        <v>1945</v>
      </c>
      <c r="O30" t="s">
        <v>1946</v>
      </c>
      <c r="S30" t="s">
        <v>1947</v>
      </c>
      <c r="T30" t="s">
        <v>1948</v>
      </c>
      <c r="U30" t="s">
        <v>1949</v>
      </c>
      <c r="V30" t="s">
        <v>1234</v>
      </c>
      <c r="W30" t="s">
        <v>1950</v>
      </c>
      <c r="AB30" t="s">
        <v>1951</v>
      </c>
      <c r="AD30" t="s">
        <v>1952</v>
      </c>
      <c r="AE30" t="s">
        <v>1953</v>
      </c>
    </row>
    <row r="31" spans="2:31" x14ac:dyDescent="0.25">
      <c r="B31" t="s">
        <v>1954</v>
      </c>
      <c r="F31" t="s">
        <v>1955</v>
      </c>
      <c r="G31" t="s">
        <v>1956</v>
      </c>
      <c r="K31" t="s">
        <v>1957</v>
      </c>
      <c r="M31" t="s">
        <v>1958</v>
      </c>
      <c r="O31" t="s">
        <v>1959</v>
      </c>
      <c r="S31" t="s">
        <v>1960</v>
      </c>
      <c r="T31" t="s">
        <v>1961</v>
      </c>
      <c r="V31" t="s">
        <v>1962</v>
      </c>
      <c r="W31" t="s">
        <v>1963</v>
      </c>
      <c r="AB31" t="s">
        <v>1964</v>
      </c>
      <c r="AD31" t="s">
        <v>1965</v>
      </c>
      <c r="AE31" t="s">
        <v>1966</v>
      </c>
    </row>
    <row r="32" spans="2:31" x14ac:dyDescent="0.25">
      <c r="B32" t="s">
        <v>1967</v>
      </c>
      <c r="F32" t="s">
        <v>1968</v>
      </c>
      <c r="G32" t="s">
        <v>1969</v>
      </c>
      <c r="K32" t="s">
        <v>1970</v>
      </c>
      <c r="M32" t="s">
        <v>1971</v>
      </c>
      <c r="O32" t="s">
        <v>1972</v>
      </c>
      <c r="S32" t="s">
        <v>1973</v>
      </c>
      <c r="V32" t="s">
        <v>1974</v>
      </c>
      <c r="W32" t="s">
        <v>1975</v>
      </c>
      <c r="AB32" t="s">
        <v>1976</v>
      </c>
      <c r="AD32" t="s">
        <v>1977</v>
      </c>
      <c r="AE32" t="s">
        <v>1978</v>
      </c>
    </row>
    <row r="33" spans="2:31" x14ac:dyDescent="0.25">
      <c r="B33" t="s">
        <v>1979</v>
      </c>
      <c r="F33" t="s">
        <v>1980</v>
      </c>
      <c r="G33" t="s">
        <v>1981</v>
      </c>
      <c r="K33" t="s">
        <v>1982</v>
      </c>
      <c r="O33" t="s">
        <v>1983</v>
      </c>
      <c r="S33" t="s">
        <v>1984</v>
      </c>
      <c r="V33" t="s">
        <v>1985</v>
      </c>
      <c r="W33" t="s">
        <v>1986</v>
      </c>
      <c r="AB33" t="s">
        <v>1987</v>
      </c>
      <c r="AD33" t="s">
        <v>1988</v>
      </c>
      <c r="AE33" t="s">
        <v>1989</v>
      </c>
    </row>
    <row r="34" spans="2:31" x14ac:dyDescent="0.25">
      <c r="B34" t="s">
        <v>1990</v>
      </c>
      <c r="F34" t="s">
        <v>1991</v>
      </c>
      <c r="G34" t="s">
        <v>1992</v>
      </c>
      <c r="K34" t="s">
        <v>1993</v>
      </c>
      <c r="O34" t="s">
        <v>1994</v>
      </c>
      <c r="S34" t="s">
        <v>1995</v>
      </c>
      <c r="V34" t="s">
        <v>1996</v>
      </c>
      <c r="W34" t="s">
        <v>1997</v>
      </c>
      <c r="AB34" t="s">
        <v>1998</v>
      </c>
      <c r="AD34" t="s">
        <v>1999</v>
      </c>
      <c r="AE34" t="s">
        <v>2000</v>
      </c>
    </row>
    <row r="35" spans="2:31" x14ac:dyDescent="0.25">
      <c r="B35" t="s">
        <v>2001</v>
      </c>
      <c r="F35" t="s">
        <v>2002</v>
      </c>
      <c r="G35" t="s">
        <v>2003</v>
      </c>
      <c r="K35" t="s">
        <v>2004</v>
      </c>
      <c r="O35" t="s">
        <v>2005</v>
      </c>
      <c r="S35" t="s">
        <v>2006</v>
      </c>
      <c r="V35" t="s">
        <v>2007</v>
      </c>
      <c r="W35" t="s">
        <v>2008</v>
      </c>
      <c r="AB35" t="s">
        <v>2009</v>
      </c>
      <c r="AD35" t="s">
        <v>2010</v>
      </c>
      <c r="AE35" t="s">
        <v>2011</v>
      </c>
    </row>
    <row r="36" spans="2:31" x14ac:dyDescent="0.25">
      <c r="B36" t="s">
        <v>2012</v>
      </c>
      <c r="F36" t="s">
        <v>2013</v>
      </c>
      <c r="G36" t="s">
        <v>2014</v>
      </c>
      <c r="K36" t="s">
        <v>2015</v>
      </c>
      <c r="O36" t="s">
        <v>2016</v>
      </c>
      <c r="S36" t="s">
        <v>2017</v>
      </c>
      <c r="V36" t="s">
        <v>2018</v>
      </c>
      <c r="W36" t="s">
        <v>2019</v>
      </c>
      <c r="AB36" t="s">
        <v>2020</v>
      </c>
      <c r="AD36" t="s">
        <v>2021</v>
      </c>
      <c r="AE36" t="s">
        <v>2022</v>
      </c>
    </row>
    <row r="37" spans="2:31" x14ac:dyDescent="0.25">
      <c r="B37" t="s">
        <v>2023</v>
      </c>
      <c r="F37" t="s">
        <v>2024</v>
      </c>
      <c r="G37" t="s">
        <v>2025</v>
      </c>
      <c r="K37" t="s">
        <v>1293</v>
      </c>
      <c r="O37" t="s">
        <v>2026</v>
      </c>
      <c r="S37" t="s">
        <v>2027</v>
      </c>
      <c r="V37" t="s">
        <v>2028</v>
      </c>
      <c r="W37" t="s">
        <v>2029</v>
      </c>
      <c r="AB37" t="s">
        <v>2030</v>
      </c>
      <c r="AD37" t="s">
        <v>2031</v>
      </c>
      <c r="AE37" t="s">
        <v>2032</v>
      </c>
    </row>
    <row r="38" spans="2:31" x14ac:dyDescent="0.25">
      <c r="B38" t="s">
        <v>2033</v>
      </c>
      <c r="F38" t="s">
        <v>2034</v>
      </c>
      <c r="G38" t="s">
        <v>2035</v>
      </c>
      <c r="K38" t="s">
        <v>2036</v>
      </c>
      <c r="O38" t="s">
        <v>2037</v>
      </c>
      <c r="S38" t="s">
        <v>2038</v>
      </c>
      <c r="V38" t="s">
        <v>2039</v>
      </c>
      <c r="W38" t="s">
        <v>2040</v>
      </c>
      <c r="AB38" t="s">
        <v>2041</v>
      </c>
      <c r="AD38" t="s">
        <v>2042</v>
      </c>
      <c r="AE38" t="s">
        <v>2043</v>
      </c>
    </row>
    <row r="39" spans="2:31" x14ac:dyDescent="0.25">
      <c r="B39" t="s">
        <v>2044</v>
      </c>
      <c r="F39" t="s">
        <v>2045</v>
      </c>
      <c r="G39" t="s">
        <v>2046</v>
      </c>
      <c r="K39" t="s">
        <v>2047</v>
      </c>
      <c r="O39" t="s">
        <v>2048</v>
      </c>
      <c r="V39" t="s">
        <v>2049</v>
      </c>
      <c r="W39" t="s">
        <v>2050</v>
      </c>
      <c r="AB39" t="s">
        <v>2051</v>
      </c>
      <c r="AD39" t="s">
        <v>2052</v>
      </c>
      <c r="AE39" t="s">
        <v>2053</v>
      </c>
    </row>
    <row r="40" spans="2:31" x14ac:dyDescent="0.25">
      <c r="B40" t="s">
        <v>2054</v>
      </c>
      <c r="F40" t="s">
        <v>2055</v>
      </c>
      <c r="G40" t="s">
        <v>2056</v>
      </c>
      <c r="K40" t="s">
        <v>2057</v>
      </c>
      <c r="O40" t="s">
        <v>2058</v>
      </c>
      <c r="V40" t="s">
        <v>2059</v>
      </c>
      <c r="W40" t="s">
        <v>2060</v>
      </c>
      <c r="AB40" t="s">
        <v>2061</v>
      </c>
      <c r="AD40" t="s">
        <v>2062</v>
      </c>
      <c r="AE40" t="s">
        <v>2063</v>
      </c>
    </row>
    <row r="41" spans="2:31" x14ac:dyDescent="0.25">
      <c r="B41" t="s">
        <v>2064</v>
      </c>
      <c r="F41" t="s">
        <v>2065</v>
      </c>
      <c r="G41" t="s">
        <v>2066</v>
      </c>
      <c r="K41" t="s">
        <v>2067</v>
      </c>
      <c r="O41" t="s">
        <v>2068</v>
      </c>
      <c r="V41" t="s">
        <v>2069</v>
      </c>
      <c r="W41" t="s">
        <v>2070</v>
      </c>
      <c r="AB41" t="s">
        <v>2071</v>
      </c>
      <c r="AD41" t="s">
        <v>2072</v>
      </c>
      <c r="AE41" t="s">
        <v>2073</v>
      </c>
    </row>
    <row r="42" spans="2:31" x14ac:dyDescent="0.25">
      <c r="B42" t="s">
        <v>2074</v>
      </c>
      <c r="F42" t="s">
        <v>2075</v>
      </c>
      <c r="G42" t="s">
        <v>2076</v>
      </c>
      <c r="K42" t="s">
        <v>2077</v>
      </c>
      <c r="O42" t="s">
        <v>2078</v>
      </c>
      <c r="V42" t="s">
        <v>2079</v>
      </c>
      <c r="AB42" t="s">
        <v>2080</v>
      </c>
      <c r="AD42" t="s">
        <v>2081</v>
      </c>
      <c r="AE42" t="s">
        <v>2082</v>
      </c>
    </row>
    <row r="43" spans="2:31" x14ac:dyDescent="0.25">
      <c r="B43" t="s">
        <v>2083</v>
      </c>
      <c r="F43" t="s">
        <v>2084</v>
      </c>
      <c r="G43" t="s">
        <v>2085</v>
      </c>
      <c r="O43" t="s">
        <v>2086</v>
      </c>
      <c r="V43" t="s">
        <v>2087</v>
      </c>
      <c r="AB43" t="s">
        <v>2088</v>
      </c>
      <c r="AD43" t="s">
        <v>2089</v>
      </c>
      <c r="AE43" t="s">
        <v>2090</v>
      </c>
    </row>
    <row r="44" spans="2:31" x14ac:dyDescent="0.25">
      <c r="B44" t="s">
        <v>2091</v>
      </c>
      <c r="F44" t="s">
        <v>2092</v>
      </c>
      <c r="G44" t="s">
        <v>2093</v>
      </c>
      <c r="O44" t="s">
        <v>2094</v>
      </c>
      <c r="V44" t="s">
        <v>2095</v>
      </c>
      <c r="AB44" t="s">
        <v>2096</v>
      </c>
      <c r="AD44" t="s">
        <v>2097</v>
      </c>
    </row>
    <row r="45" spans="2:31" x14ac:dyDescent="0.25">
      <c r="B45" t="s">
        <v>2098</v>
      </c>
      <c r="F45" t="s">
        <v>2099</v>
      </c>
      <c r="G45" t="s">
        <v>2100</v>
      </c>
      <c r="O45" t="s">
        <v>2101</v>
      </c>
      <c r="V45" t="s">
        <v>2102</v>
      </c>
      <c r="AB45" t="s">
        <v>2103</v>
      </c>
      <c r="AD45" t="s">
        <v>2104</v>
      </c>
    </row>
    <row r="46" spans="2:31" x14ac:dyDescent="0.25">
      <c r="B46" t="s">
        <v>2105</v>
      </c>
      <c r="F46" t="s">
        <v>2106</v>
      </c>
      <c r="G46" t="s">
        <v>2107</v>
      </c>
      <c r="O46" t="s">
        <v>2108</v>
      </c>
      <c r="V46" t="s">
        <v>2109</v>
      </c>
      <c r="AB46" t="s">
        <v>2110</v>
      </c>
      <c r="AD46" t="s">
        <v>2111</v>
      </c>
    </row>
    <row r="47" spans="2:31" x14ac:dyDescent="0.25">
      <c r="B47" t="s">
        <v>2112</v>
      </c>
      <c r="G47" t="s">
        <v>2113</v>
      </c>
      <c r="O47" t="s">
        <v>2114</v>
      </c>
      <c r="V47" t="s">
        <v>2115</v>
      </c>
      <c r="AB47" t="s">
        <v>2116</v>
      </c>
      <c r="AD47" t="s">
        <v>2117</v>
      </c>
    </row>
    <row r="48" spans="2:31" x14ac:dyDescent="0.25">
      <c r="B48" t="s">
        <v>2118</v>
      </c>
      <c r="G48" t="s">
        <v>2119</v>
      </c>
      <c r="O48" t="s">
        <v>2120</v>
      </c>
      <c r="V48" t="s">
        <v>2121</v>
      </c>
      <c r="AB48" t="s">
        <v>2122</v>
      </c>
      <c r="AD48" t="s">
        <v>2123</v>
      </c>
    </row>
    <row r="49" spans="2:28" x14ac:dyDescent="0.25">
      <c r="B49" t="s">
        <v>2124</v>
      </c>
      <c r="G49" t="s">
        <v>2125</v>
      </c>
      <c r="O49" t="s">
        <v>2126</v>
      </c>
      <c r="V49" t="s">
        <v>2127</v>
      </c>
      <c r="AB49" t="s">
        <v>2128</v>
      </c>
    </row>
    <row r="50" spans="2:28" x14ac:dyDescent="0.25">
      <c r="B50" t="s">
        <v>2129</v>
      </c>
      <c r="G50" t="s">
        <v>2130</v>
      </c>
      <c r="O50" t="s">
        <v>2131</v>
      </c>
      <c r="V50" t="s">
        <v>2132</v>
      </c>
      <c r="AB50" t="s">
        <v>2133</v>
      </c>
    </row>
    <row r="51" spans="2:28" x14ac:dyDescent="0.25">
      <c r="B51" t="s">
        <v>2134</v>
      </c>
      <c r="G51" t="s">
        <v>2135</v>
      </c>
      <c r="O51" t="s">
        <v>2136</v>
      </c>
      <c r="V51" t="s">
        <v>2137</v>
      </c>
      <c r="AB51" t="s">
        <v>2138</v>
      </c>
    </row>
    <row r="52" spans="2:28" x14ac:dyDescent="0.25">
      <c r="B52" t="s">
        <v>2139</v>
      </c>
      <c r="G52" t="s">
        <v>2140</v>
      </c>
      <c r="O52" t="s">
        <v>2141</v>
      </c>
      <c r="V52" t="s">
        <v>2142</v>
      </c>
      <c r="AB52" t="s">
        <v>2143</v>
      </c>
    </row>
    <row r="53" spans="2:28" x14ac:dyDescent="0.25">
      <c r="B53" t="s">
        <v>2144</v>
      </c>
      <c r="G53" t="s">
        <v>2145</v>
      </c>
      <c r="O53" t="s">
        <v>2146</v>
      </c>
      <c r="V53" t="s">
        <v>2147</v>
      </c>
      <c r="AB53" t="s">
        <v>2148</v>
      </c>
    </row>
    <row r="54" spans="2:28" x14ac:dyDescent="0.25">
      <c r="B54" t="s">
        <v>2149</v>
      </c>
      <c r="G54" t="s">
        <v>2150</v>
      </c>
      <c r="O54" t="s">
        <v>2151</v>
      </c>
      <c r="V54" t="s">
        <v>2152</v>
      </c>
      <c r="AB54" t="s">
        <v>2153</v>
      </c>
    </row>
    <row r="55" spans="2:28" x14ac:dyDescent="0.25">
      <c r="B55" t="s">
        <v>2154</v>
      </c>
      <c r="G55" t="s">
        <v>2155</v>
      </c>
      <c r="O55" t="s">
        <v>2156</v>
      </c>
      <c r="V55" t="s">
        <v>2157</v>
      </c>
      <c r="AB55" t="s">
        <v>2158</v>
      </c>
    </row>
    <row r="56" spans="2:28" x14ac:dyDescent="0.25">
      <c r="B56" t="s">
        <v>2159</v>
      </c>
      <c r="G56" t="s">
        <v>2160</v>
      </c>
      <c r="O56" t="s">
        <v>2161</v>
      </c>
      <c r="V56" t="s">
        <v>2162</v>
      </c>
      <c r="AB56" t="s">
        <v>2163</v>
      </c>
    </row>
    <row r="57" spans="2:28" x14ac:dyDescent="0.25">
      <c r="B57" t="s">
        <v>2164</v>
      </c>
      <c r="G57" t="s">
        <v>2165</v>
      </c>
      <c r="O57" t="s">
        <v>2166</v>
      </c>
      <c r="V57" t="s">
        <v>2167</v>
      </c>
      <c r="AB57" t="s">
        <v>2168</v>
      </c>
    </row>
    <row r="58" spans="2:28" x14ac:dyDescent="0.25">
      <c r="B58" t="s">
        <v>2169</v>
      </c>
      <c r="G58" t="s">
        <v>2170</v>
      </c>
      <c r="O58" t="s">
        <v>2171</v>
      </c>
      <c r="V58" t="s">
        <v>2172</v>
      </c>
      <c r="AB58" t="s">
        <v>2173</v>
      </c>
    </row>
    <row r="59" spans="2:28" x14ac:dyDescent="0.25">
      <c r="B59" t="s">
        <v>2174</v>
      </c>
      <c r="G59" t="s">
        <v>2175</v>
      </c>
      <c r="O59" t="s">
        <v>2176</v>
      </c>
      <c r="V59" t="s">
        <v>2177</v>
      </c>
      <c r="AB59" t="s">
        <v>2178</v>
      </c>
    </row>
    <row r="60" spans="2:28" x14ac:dyDescent="0.25">
      <c r="B60" t="s">
        <v>2179</v>
      </c>
      <c r="G60" t="s">
        <v>2180</v>
      </c>
      <c r="O60" t="s">
        <v>2181</v>
      </c>
      <c r="V60" t="s">
        <v>2182</v>
      </c>
      <c r="AB60" t="s">
        <v>2183</v>
      </c>
    </row>
    <row r="61" spans="2:28" x14ac:dyDescent="0.25">
      <c r="B61" t="s">
        <v>2184</v>
      </c>
      <c r="G61" t="s">
        <v>2185</v>
      </c>
      <c r="O61" t="s">
        <v>2186</v>
      </c>
      <c r="V61" t="s">
        <v>2187</v>
      </c>
      <c r="AB61" t="s">
        <v>2188</v>
      </c>
    </row>
    <row r="62" spans="2:28" x14ac:dyDescent="0.25">
      <c r="B62" t="s">
        <v>2189</v>
      </c>
      <c r="G62" t="s">
        <v>2190</v>
      </c>
      <c r="O62" t="s">
        <v>2191</v>
      </c>
      <c r="V62" t="s">
        <v>2192</v>
      </c>
      <c r="AB62" t="s">
        <v>2193</v>
      </c>
    </row>
    <row r="63" spans="2:28" x14ac:dyDescent="0.25">
      <c r="B63" t="s">
        <v>2194</v>
      </c>
      <c r="G63" t="s">
        <v>2195</v>
      </c>
      <c r="O63" t="s">
        <v>2196</v>
      </c>
      <c r="V63" t="s">
        <v>2197</v>
      </c>
      <c r="AB63" t="s">
        <v>2198</v>
      </c>
    </row>
    <row r="64" spans="2:28" x14ac:dyDescent="0.25">
      <c r="B64" t="s">
        <v>2199</v>
      </c>
      <c r="G64" t="s">
        <v>2200</v>
      </c>
      <c r="O64" t="s">
        <v>2201</v>
      </c>
      <c r="V64" t="s">
        <v>2202</v>
      </c>
      <c r="AB64" t="s">
        <v>2203</v>
      </c>
    </row>
    <row r="65" spans="2:28" x14ac:dyDescent="0.25">
      <c r="B65" t="s">
        <v>2204</v>
      </c>
      <c r="G65" t="s">
        <v>2205</v>
      </c>
      <c r="O65" t="s">
        <v>2206</v>
      </c>
      <c r="AB65" t="s">
        <v>2207</v>
      </c>
    </row>
    <row r="66" spans="2:28" x14ac:dyDescent="0.25">
      <c r="B66" t="s">
        <v>2208</v>
      </c>
      <c r="G66" t="s">
        <v>2209</v>
      </c>
      <c r="O66" t="s">
        <v>2210</v>
      </c>
      <c r="AB66" t="s">
        <v>2211</v>
      </c>
    </row>
    <row r="67" spans="2:28" x14ac:dyDescent="0.25">
      <c r="B67" t="s">
        <v>2212</v>
      </c>
      <c r="G67" t="s">
        <v>2213</v>
      </c>
      <c r="O67" t="s">
        <v>2214</v>
      </c>
      <c r="AB67" t="s">
        <v>2215</v>
      </c>
    </row>
    <row r="68" spans="2:28" x14ac:dyDescent="0.25">
      <c r="B68" t="s">
        <v>2216</v>
      </c>
      <c r="G68" t="s">
        <v>2217</v>
      </c>
      <c r="O68" t="s">
        <v>2218</v>
      </c>
      <c r="AB68" t="s">
        <v>2219</v>
      </c>
    </row>
    <row r="69" spans="2:28" x14ac:dyDescent="0.25">
      <c r="B69" t="s">
        <v>2220</v>
      </c>
      <c r="G69" t="s">
        <v>2221</v>
      </c>
      <c r="O69" t="s">
        <v>2222</v>
      </c>
      <c r="AB69" t="s">
        <v>2223</v>
      </c>
    </row>
    <row r="70" spans="2:28" x14ac:dyDescent="0.25">
      <c r="B70" t="s">
        <v>2224</v>
      </c>
      <c r="G70" t="s">
        <v>2225</v>
      </c>
      <c r="O70" t="s">
        <v>2226</v>
      </c>
      <c r="AB70" t="s">
        <v>2227</v>
      </c>
    </row>
    <row r="71" spans="2:28" x14ac:dyDescent="0.25">
      <c r="B71" t="s">
        <v>2228</v>
      </c>
      <c r="G71" t="s">
        <v>2229</v>
      </c>
      <c r="O71" t="s">
        <v>2230</v>
      </c>
      <c r="AB71" t="s">
        <v>2231</v>
      </c>
    </row>
    <row r="72" spans="2:28" x14ac:dyDescent="0.25">
      <c r="B72" t="s">
        <v>2232</v>
      </c>
      <c r="G72" t="s">
        <v>2233</v>
      </c>
      <c r="O72" t="s">
        <v>2234</v>
      </c>
      <c r="AB72" t="s">
        <v>2235</v>
      </c>
    </row>
    <row r="73" spans="2:28" x14ac:dyDescent="0.25">
      <c r="B73" t="s">
        <v>1229</v>
      </c>
      <c r="G73" t="s">
        <v>2236</v>
      </c>
      <c r="O73" t="s">
        <v>2237</v>
      </c>
      <c r="AB73" t="s">
        <v>2238</v>
      </c>
    </row>
    <row r="74" spans="2:28" x14ac:dyDescent="0.25">
      <c r="B74" t="s">
        <v>2239</v>
      </c>
      <c r="G74" t="s">
        <v>2240</v>
      </c>
      <c r="O74" t="s">
        <v>2241</v>
      </c>
      <c r="AB74" t="s">
        <v>2242</v>
      </c>
    </row>
    <row r="75" spans="2:28" x14ac:dyDescent="0.25">
      <c r="B75" t="s">
        <v>2243</v>
      </c>
      <c r="G75" t="s">
        <v>2244</v>
      </c>
      <c r="O75" t="s">
        <v>2245</v>
      </c>
      <c r="AB75" t="s">
        <v>2246</v>
      </c>
    </row>
    <row r="76" spans="2:28" x14ac:dyDescent="0.25">
      <c r="B76" t="s">
        <v>2247</v>
      </c>
      <c r="G76" t="s">
        <v>2248</v>
      </c>
      <c r="O76" t="s">
        <v>2249</v>
      </c>
      <c r="AB76" t="s">
        <v>2250</v>
      </c>
    </row>
    <row r="77" spans="2:28" x14ac:dyDescent="0.25">
      <c r="B77" t="s">
        <v>2251</v>
      </c>
      <c r="G77" t="s">
        <v>2252</v>
      </c>
      <c r="O77" t="s">
        <v>2253</v>
      </c>
      <c r="AB77" t="s">
        <v>2254</v>
      </c>
    </row>
    <row r="78" spans="2:28" x14ac:dyDescent="0.25">
      <c r="B78" t="s">
        <v>2255</v>
      </c>
      <c r="G78" t="s">
        <v>2256</v>
      </c>
      <c r="O78" t="s">
        <v>2257</v>
      </c>
      <c r="AB78" t="s">
        <v>2258</v>
      </c>
    </row>
    <row r="79" spans="2:28" x14ac:dyDescent="0.25">
      <c r="B79" t="s">
        <v>2259</v>
      </c>
      <c r="G79" t="s">
        <v>2260</v>
      </c>
      <c r="O79" t="s">
        <v>2261</v>
      </c>
      <c r="AB79" t="s">
        <v>2262</v>
      </c>
    </row>
    <row r="80" spans="2:28" x14ac:dyDescent="0.25">
      <c r="B80" t="s">
        <v>2263</v>
      </c>
      <c r="G80" t="s">
        <v>2264</v>
      </c>
      <c r="O80" t="s">
        <v>2265</v>
      </c>
      <c r="AB80" t="s">
        <v>2266</v>
      </c>
    </row>
    <row r="81" spans="2:28" x14ac:dyDescent="0.25">
      <c r="B81" t="s">
        <v>2267</v>
      </c>
      <c r="G81" t="s">
        <v>2268</v>
      </c>
      <c r="O81" t="s">
        <v>2269</v>
      </c>
      <c r="AB81" t="s">
        <v>2270</v>
      </c>
    </row>
    <row r="82" spans="2:28" x14ac:dyDescent="0.25">
      <c r="B82" t="s">
        <v>2271</v>
      </c>
      <c r="G82" t="s">
        <v>2272</v>
      </c>
      <c r="O82" t="s">
        <v>2273</v>
      </c>
      <c r="AB82" t="s">
        <v>2274</v>
      </c>
    </row>
    <row r="83" spans="2:28" x14ac:dyDescent="0.25">
      <c r="B83" t="s">
        <v>2275</v>
      </c>
      <c r="G83" t="s">
        <v>2276</v>
      </c>
      <c r="O83" t="s">
        <v>2277</v>
      </c>
      <c r="AB83" t="s">
        <v>2278</v>
      </c>
    </row>
    <row r="84" spans="2:28" x14ac:dyDescent="0.25">
      <c r="B84" t="s">
        <v>2279</v>
      </c>
      <c r="G84" t="s">
        <v>2280</v>
      </c>
      <c r="O84" t="s">
        <v>2281</v>
      </c>
      <c r="AB84" t="s">
        <v>2282</v>
      </c>
    </row>
    <row r="85" spans="2:28" x14ac:dyDescent="0.25">
      <c r="B85" t="s">
        <v>2283</v>
      </c>
      <c r="G85" t="s">
        <v>2284</v>
      </c>
      <c r="O85" t="s">
        <v>2285</v>
      </c>
      <c r="AB85" t="s">
        <v>2286</v>
      </c>
    </row>
    <row r="86" spans="2:28" x14ac:dyDescent="0.25">
      <c r="B86" t="s">
        <v>2287</v>
      </c>
      <c r="G86" t="s">
        <v>2288</v>
      </c>
      <c r="O86" t="s">
        <v>2289</v>
      </c>
      <c r="AB86" t="s">
        <v>2290</v>
      </c>
    </row>
    <row r="87" spans="2:28" x14ac:dyDescent="0.25">
      <c r="B87" t="s">
        <v>2291</v>
      </c>
      <c r="G87" t="s">
        <v>2292</v>
      </c>
      <c r="O87" t="s">
        <v>2293</v>
      </c>
      <c r="AB87" t="s">
        <v>2294</v>
      </c>
    </row>
    <row r="88" spans="2:28" x14ac:dyDescent="0.25">
      <c r="B88" t="s">
        <v>2295</v>
      </c>
      <c r="G88" t="s">
        <v>2296</v>
      </c>
      <c r="O88" t="s">
        <v>2297</v>
      </c>
      <c r="AB88" t="s">
        <v>2298</v>
      </c>
    </row>
    <row r="89" spans="2:28" x14ac:dyDescent="0.25">
      <c r="B89" t="s">
        <v>2299</v>
      </c>
      <c r="G89" t="s">
        <v>2300</v>
      </c>
      <c r="O89" t="s">
        <v>2301</v>
      </c>
    </row>
    <row r="90" spans="2:28" x14ac:dyDescent="0.25">
      <c r="B90" t="s">
        <v>2302</v>
      </c>
      <c r="G90" t="s">
        <v>2303</v>
      </c>
      <c r="O90" t="s">
        <v>2304</v>
      </c>
    </row>
    <row r="91" spans="2:28" x14ac:dyDescent="0.25">
      <c r="B91" t="s">
        <v>2305</v>
      </c>
      <c r="G91" t="s">
        <v>2306</v>
      </c>
      <c r="O91" t="s">
        <v>2307</v>
      </c>
    </row>
    <row r="92" spans="2:28" x14ac:dyDescent="0.25">
      <c r="B92" t="s">
        <v>2308</v>
      </c>
      <c r="G92" t="s">
        <v>2309</v>
      </c>
      <c r="O92" t="s">
        <v>2310</v>
      </c>
    </row>
    <row r="93" spans="2:28" x14ac:dyDescent="0.25">
      <c r="B93" t="s">
        <v>2311</v>
      </c>
      <c r="G93" t="s">
        <v>2312</v>
      </c>
      <c r="O93" t="s">
        <v>2313</v>
      </c>
    </row>
    <row r="94" spans="2:28" x14ac:dyDescent="0.25">
      <c r="B94" t="s">
        <v>2314</v>
      </c>
      <c r="G94" t="s">
        <v>2315</v>
      </c>
      <c r="O94" t="s">
        <v>2316</v>
      </c>
    </row>
    <row r="95" spans="2:28" x14ac:dyDescent="0.25">
      <c r="B95" t="s">
        <v>2317</v>
      </c>
      <c r="G95" t="s">
        <v>2318</v>
      </c>
      <c r="O95" t="s">
        <v>2319</v>
      </c>
    </row>
    <row r="96" spans="2:28" x14ac:dyDescent="0.25">
      <c r="B96" t="s">
        <v>2320</v>
      </c>
      <c r="G96" t="s">
        <v>2321</v>
      </c>
      <c r="O96" t="s">
        <v>2322</v>
      </c>
    </row>
    <row r="97" spans="2:15" x14ac:dyDescent="0.25">
      <c r="B97" t="s">
        <v>2323</v>
      </c>
      <c r="G97" t="s">
        <v>2324</v>
      </c>
      <c r="O97" t="s">
        <v>2325</v>
      </c>
    </row>
    <row r="98" spans="2:15" x14ac:dyDescent="0.25">
      <c r="B98" t="s">
        <v>2326</v>
      </c>
      <c r="G98" t="s">
        <v>2327</v>
      </c>
      <c r="O98" t="s">
        <v>2328</v>
      </c>
    </row>
    <row r="99" spans="2:15" x14ac:dyDescent="0.25">
      <c r="B99" t="s">
        <v>2329</v>
      </c>
      <c r="G99" t="s">
        <v>2330</v>
      </c>
      <c r="O99" t="s">
        <v>2331</v>
      </c>
    </row>
    <row r="100" spans="2:15" x14ac:dyDescent="0.25">
      <c r="B100" t="s">
        <v>2332</v>
      </c>
      <c r="G100" t="s">
        <v>2333</v>
      </c>
      <c r="O100" t="s">
        <v>2334</v>
      </c>
    </row>
    <row r="101" spans="2:15" x14ac:dyDescent="0.25">
      <c r="B101" t="s">
        <v>2335</v>
      </c>
      <c r="G101" t="s">
        <v>2336</v>
      </c>
      <c r="O101" t="s">
        <v>2337</v>
      </c>
    </row>
    <row r="102" spans="2:15" x14ac:dyDescent="0.25">
      <c r="B102" t="s">
        <v>2338</v>
      </c>
      <c r="G102" t="s">
        <v>2339</v>
      </c>
      <c r="O102" t="s">
        <v>2340</v>
      </c>
    </row>
    <row r="103" spans="2:15" x14ac:dyDescent="0.25">
      <c r="B103" t="s">
        <v>2341</v>
      </c>
      <c r="G103" t="s">
        <v>2342</v>
      </c>
      <c r="O103" t="s">
        <v>2343</v>
      </c>
    </row>
    <row r="104" spans="2:15" x14ac:dyDescent="0.25">
      <c r="B104" t="s">
        <v>2344</v>
      </c>
      <c r="G104" t="s">
        <v>2345</v>
      </c>
      <c r="O104" t="s">
        <v>2346</v>
      </c>
    </row>
    <row r="105" spans="2:15" x14ac:dyDescent="0.25">
      <c r="B105" t="s">
        <v>2347</v>
      </c>
      <c r="G105" t="s">
        <v>2348</v>
      </c>
      <c r="O105" t="s">
        <v>2349</v>
      </c>
    </row>
    <row r="106" spans="2:15" x14ac:dyDescent="0.25">
      <c r="B106" t="s">
        <v>2350</v>
      </c>
      <c r="G106" t="s">
        <v>2351</v>
      </c>
      <c r="O106" t="s">
        <v>2352</v>
      </c>
    </row>
    <row r="107" spans="2:15" x14ac:dyDescent="0.25">
      <c r="B107" t="s">
        <v>2353</v>
      </c>
      <c r="G107" t="s">
        <v>2354</v>
      </c>
      <c r="O107" t="s">
        <v>2355</v>
      </c>
    </row>
    <row r="108" spans="2:15" x14ac:dyDescent="0.25">
      <c r="B108" t="s">
        <v>2356</v>
      </c>
      <c r="G108" t="s">
        <v>2357</v>
      </c>
      <c r="O108" t="s">
        <v>2358</v>
      </c>
    </row>
    <row r="109" spans="2:15" x14ac:dyDescent="0.25">
      <c r="B109" t="s">
        <v>2359</v>
      </c>
      <c r="G109" t="s">
        <v>2360</v>
      </c>
      <c r="O109" t="s">
        <v>2361</v>
      </c>
    </row>
    <row r="110" spans="2:15" x14ac:dyDescent="0.25">
      <c r="B110" t="s">
        <v>2362</v>
      </c>
      <c r="G110" t="s">
        <v>2363</v>
      </c>
      <c r="O110" t="s">
        <v>2364</v>
      </c>
    </row>
    <row r="111" spans="2:15" x14ac:dyDescent="0.25">
      <c r="B111" t="s">
        <v>2365</v>
      </c>
      <c r="G111" t="s">
        <v>2366</v>
      </c>
      <c r="O111" t="s">
        <v>2367</v>
      </c>
    </row>
    <row r="112" spans="2:15" x14ac:dyDescent="0.25">
      <c r="B112" t="s">
        <v>2368</v>
      </c>
      <c r="G112" t="s">
        <v>2369</v>
      </c>
      <c r="O112" t="s">
        <v>2370</v>
      </c>
    </row>
    <row r="113" spans="2:15" x14ac:dyDescent="0.25">
      <c r="B113" t="s">
        <v>2371</v>
      </c>
      <c r="G113" t="s">
        <v>2372</v>
      </c>
      <c r="O113" t="s">
        <v>2373</v>
      </c>
    </row>
    <row r="114" spans="2:15" x14ac:dyDescent="0.25">
      <c r="B114" t="s">
        <v>2374</v>
      </c>
      <c r="G114" t="s">
        <v>2375</v>
      </c>
      <c r="O114" t="s">
        <v>2376</v>
      </c>
    </row>
    <row r="115" spans="2:15" x14ac:dyDescent="0.25">
      <c r="B115" t="s">
        <v>2377</v>
      </c>
      <c r="G115" t="s">
        <v>2378</v>
      </c>
      <c r="O115" t="s">
        <v>2379</v>
      </c>
    </row>
    <row r="116" spans="2:15" x14ac:dyDescent="0.25">
      <c r="B116" t="s">
        <v>2380</v>
      </c>
      <c r="G116" t="s">
        <v>2381</v>
      </c>
      <c r="O116" t="s">
        <v>2382</v>
      </c>
    </row>
    <row r="117" spans="2:15" x14ac:dyDescent="0.25">
      <c r="B117" t="s">
        <v>2383</v>
      </c>
      <c r="G117" t="s">
        <v>2384</v>
      </c>
      <c r="O117" t="s">
        <v>2385</v>
      </c>
    </row>
    <row r="118" spans="2:15" x14ac:dyDescent="0.25">
      <c r="B118" t="s">
        <v>2386</v>
      </c>
      <c r="G118" t="s">
        <v>2387</v>
      </c>
    </row>
    <row r="119" spans="2:15" x14ac:dyDescent="0.25">
      <c r="B119" t="s">
        <v>2388</v>
      </c>
      <c r="G119" t="s">
        <v>2389</v>
      </c>
    </row>
    <row r="120" spans="2:15" x14ac:dyDescent="0.25">
      <c r="B120" t="s">
        <v>2390</v>
      </c>
      <c r="G120" t="s">
        <v>2391</v>
      </c>
    </row>
    <row r="121" spans="2:15" x14ac:dyDescent="0.25">
      <c r="B121" t="s">
        <v>2392</v>
      </c>
      <c r="G121" t="s">
        <v>2393</v>
      </c>
    </row>
    <row r="122" spans="2:15" x14ac:dyDescent="0.25">
      <c r="B122" t="s">
        <v>2394</v>
      </c>
      <c r="G122" t="s">
        <v>2395</v>
      </c>
    </row>
    <row r="123" spans="2:15" x14ac:dyDescent="0.25">
      <c r="B123" t="s">
        <v>2396</v>
      </c>
      <c r="G123" t="s">
        <v>2397</v>
      </c>
    </row>
    <row r="124" spans="2:15" x14ac:dyDescent="0.25">
      <c r="B124" t="s">
        <v>2398</v>
      </c>
      <c r="G124" t="s">
        <v>2399</v>
      </c>
    </row>
    <row r="125" spans="2:15" x14ac:dyDescent="0.25">
      <c r="B125" t="s">
        <v>2400</v>
      </c>
    </row>
    <row r="126" spans="2:15" x14ac:dyDescent="0.25">
      <c r="B126" t="s">
        <v>2401</v>
      </c>
    </row>
  </sheetData>
  <sortState ref="AF1:AF7">
    <sortCondition ref="AF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G354"/>
  <sheetViews>
    <sheetView zoomScale="96" zoomScaleNormal="96" workbookViewId="0">
      <pane xSplit="1" ySplit="1" topLeftCell="B2" activePane="bottomRight" state="frozen"/>
      <selection activeCell="M10" sqref="M10"/>
      <selection pane="topRight" activeCell="M10" sqref="M10"/>
      <selection pane="bottomLeft" activeCell="M10" sqref="M10"/>
      <selection pane="bottomRight" activeCell="M10" sqref="M10"/>
    </sheetView>
  </sheetViews>
  <sheetFormatPr baseColWidth="10" defaultColWidth="11.42578125" defaultRowHeight="15" x14ac:dyDescent="0.25"/>
  <cols>
    <col min="1" max="1" width="47" bestFit="1" customWidth="1"/>
    <col min="2" max="2" width="11.5703125" bestFit="1" customWidth="1"/>
    <col min="5" max="8" width="11.5703125" bestFit="1" customWidth="1"/>
    <col min="9" max="9" width="12.85546875" customWidth="1"/>
    <col min="10" max="10" width="12.140625" bestFit="1" customWidth="1"/>
    <col min="11" max="16" width="11.5703125" bestFit="1" customWidth="1"/>
    <col min="17" max="17" width="13.42578125" bestFit="1" customWidth="1"/>
    <col min="18" max="18" width="11.5703125" bestFit="1" customWidth="1"/>
  </cols>
  <sheetData>
    <row r="1" spans="1:33" x14ac:dyDescent="0.25">
      <c r="A1" s="660" t="s">
        <v>80</v>
      </c>
      <c r="B1" s="38" t="s">
        <v>194</v>
      </c>
      <c r="C1" s="40" t="s">
        <v>195</v>
      </c>
      <c r="D1" s="40" t="s">
        <v>196</v>
      </c>
      <c r="E1" s="40" t="s">
        <v>197</v>
      </c>
      <c r="F1" s="40" t="s">
        <v>198</v>
      </c>
      <c r="G1" s="40" t="s">
        <v>83</v>
      </c>
      <c r="H1" s="40" t="s">
        <v>199</v>
      </c>
      <c r="I1" s="40" t="s">
        <v>100</v>
      </c>
      <c r="J1" s="40" t="s">
        <v>105</v>
      </c>
      <c r="K1" s="40" t="s">
        <v>101</v>
      </c>
      <c r="L1" s="40" t="s">
        <v>106</v>
      </c>
      <c r="M1" s="40" t="s">
        <v>102</v>
      </c>
      <c r="N1" s="40" t="s">
        <v>107</v>
      </c>
      <c r="O1" s="40" t="s">
        <v>104</v>
      </c>
      <c r="P1" s="40" t="s">
        <v>110</v>
      </c>
      <c r="Q1" s="40" t="s">
        <v>87</v>
      </c>
      <c r="R1" s="40" t="s">
        <v>200</v>
      </c>
      <c r="S1" s="137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4"/>
    </row>
    <row r="2" spans="1:33" ht="16.5" customHeight="1" x14ac:dyDescent="0.25">
      <c r="A2" s="661"/>
      <c r="B2" s="40" t="s">
        <v>113</v>
      </c>
      <c r="C2" s="40" t="s">
        <v>113</v>
      </c>
      <c r="D2" s="40" t="s">
        <v>113</v>
      </c>
      <c r="E2" s="40" t="s">
        <v>113</v>
      </c>
      <c r="F2" s="40" t="s">
        <v>201</v>
      </c>
      <c r="G2" s="40" t="s">
        <v>114</v>
      </c>
      <c r="H2" s="40" t="s">
        <v>202</v>
      </c>
      <c r="I2" s="40" t="s">
        <v>203</v>
      </c>
      <c r="J2" s="40" t="s">
        <v>203</v>
      </c>
      <c r="K2" s="40" t="s">
        <v>204</v>
      </c>
      <c r="L2" s="40" t="s">
        <v>204</v>
      </c>
      <c r="M2" s="40" t="s">
        <v>118</v>
      </c>
      <c r="N2" s="40" t="s">
        <v>118</v>
      </c>
      <c r="O2" s="40" t="s">
        <v>204</v>
      </c>
      <c r="P2" s="40" t="s">
        <v>204</v>
      </c>
      <c r="Q2" s="40" t="s">
        <v>203</v>
      </c>
      <c r="R2" s="40" t="s">
        <v>204</v>
      </c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33"/>
      <c r="AE2" s="33"/>
      <c r="AF2" s="33"/>
      <c r="AG2" s="34"/>
    </row>
    <row r="3" spans="1:33" x14ac:dyDescent="0.25">
      <c r="A3" s="26" t="s">
        <v>234</v>
      </c>
      <c r="B3" s="70">
        <v>12.7</v>
      </c>
      <c r="C3" s="70" t="s">
        <v>205</v>
      </c>
      <c r="D3" s="70" t="s">
        <v>205</v>
      </c>
      <c r="E3" s="70">
        <v>0.7</v>
      </c>
      <c r="F3" s="70">
        <v>0.04</v>
      </c>
      <c r="G3" s="70">
        <v>0.26</v>
      </c>
      <c r="H3" s="70">
        <v>0.21</v>
      </c>
      <c r="I3" s="70">
        <v>0.05</v>
      </c>
      <c r="J3" s="70">
        <v>0.05</v>
      </c>
      <c r="K3" s="70">
        <v>0.08</v>
      </c>
      <c r="L3" s="70">
        <v>0.08</v>
      </c>
      <c r="M3" s="70">
        <v>0.42</v>
      </c>
      <c r="N3" s="70">
        <v>0.42</v>
      </c>
      <c r="O3" s="71">
        <v>0.1</v>
      </c>
      <c r="P3" s="71">
        <v>0.1</v>
      </c>
      <c r="Q3" s="70">
        <v>0.1</v>
      </c>
      <c r="R3" s="70">
        <v>0.15</v>
      </c>
      <c r="S3" s="26"/>
      <c r="T3" s="26"/>
      <c r="U3" s="26"/>
      <c r="V3" s="26"/>
      <c r="W3" s="26"/>
      <c r="X3" s="26"/>
      <c r="Y3" s="26"/>
      <c r="Z3" s="26"/>
      <c r="AA3" s="26"/>
      <c r="AB3" s="28"/>
      <c r="AC3" s="26"/>
      <c r="AD3" s="26"/>
      <c r="AE3" s="26"/>
      <c r="AF3" s="26"/>
      <c r="AG3" s="27"/>
    </row>
    <row r="4" spans="1:33" x14ac:dyDescent="0.25">
      <c r="A4" s="26" t="s">
        <v>235</v>
      </c>
      <c r="B4" s="70">
        <v>12.7</v>
      </c>
      <c r="C4" s="70" t="s">
        <v>205</v>
      </c>
      <c r="D4" s="70" t="s">
        <v>205</v>
      </c>
      <c r="E4" s="70">
        <v>0.9</v>
      </c>
      <c r="F4" s="70">
        <v>0.04</v>
      </c>
      <c r="G4" s="70">
        <v>0.33</v>
      </c>
      <c r="H4" s="70">
        <v>0.26</v>
      </c>
      <c r="I4" s="70">
        <v>0.06</v>
      </c>
      <c r="J4" s="70">
        <v>0.06</v>
      </c>
      <c r="K4" s="70">
        <v>0.09</v>
      </c>
      <c r="L4" s="70">
        <v>0.09</v>
      </c>
      <c r="M4" s="70">
        <v>0.42</v>
      </c>
      <c r="N4" s="70">
        <v>0.42</v>
      </c>
      <c r="O4" s="71">
        <v>0.13</v>
      </c>
      <c r="P4" s="71">
        <v>0.13</v>
      </c>
      <c r="Q4" s="70">
        <v>0.12</v>
      </c>
      <c r="R4" s="70">
        <v>0.18</v>
      </c>
      <c r="S4" s="26"/>
      <c r="T4" s="26"/>
      <c r="U4" s="26"/>
      <c r="V4" s="26"/>
      <c r="W4" s="26"/>
      <c r="X4" s="26"/>
      <c r="Y4" s="26"/>
      <c r="Z4" s="26"/>
      <c r="AA4" s="26"/>
      <c r="AB4" s="28"/>
      <c r="AC4" s="26"/>
      <c r="AD4" s="26"/>
      <c r="AE4" s="26"/>
      <c r="AF4" s="26"/>
      <c r="AG4" s="27"/>
    </row>
    <row r="5" spans="1:33" x14ac:dyDescent="0.25">
      <c r="A5" s="26" t="s">
        <v>236</v>
      </c>
      <c r="B5" s="70">
        <v>12.7</v>
      </c>
      <c r="C5" s="70" t="s">
        <v>205</v>
      </c>
      <c r="D5" s="70" t="s">
        <v>205</v>
      </c>
      <c r="E5" s="70">
        <v>1.25</v>
      </c>
      <c r="F5" s="70">
        <v>0.04</v>
      </c>
      <c r="G5" s="70">
        <v>0.45</v>
      </c>
      <c r="H5" s="70">
        <v>0.35</v>
      </c>
      <c r="I5" s="70">
        <v>7.0000000000000007E-2</v>
      </c>
      <c r="J5" s="70">
        <v>7.0000000000000007E-2</v>
      </c>
      <c r="K5" s="70">
        <v>0.12</v>
      </c>
      <c r="L5" s="70">
        <v>0.12</v>
      </c>
      <c r="M5" s="70">
        <v>0.41</v>
      </c>
      <c r="N5" s="70">
        <v>0.41</v>
      </c>
      <c r="O5" s="71">
        <v>0.16</v>
      </c>
      <c r="P5" s="71">
        <v>0.16</v>
      </c>
      <c r="Q5" s="70">
        <v>0.15</v>
      </c>
      <c r="R5" s="70">
        <v>0.23</v>
      </c>
      <c r="S5" s="26"/>
      <c r="T5" s="26"/>
      <c r="U5" s="26"/>
      <c r="V5" s="26"/>
      <c r="W5" s="26"/>
      <c r="X5" s="26"/>
      <c r="Y5" s="26"/>
      <c r="Z5" s="26"/>
      <c r="AA5" s="26"/>
      <c r="AB5" s="28"/>
      <c r="AC5" s="26"/>
      <c r="AD5" s="26"/>
      <c r="AE5" s="26"/>
      <c r="AF5" s="26"/>
      <c r="AG5" s="27"/>
    </row>
    <row r="6" spans="1:33" x14ac:dyDescent="0.25">
      <c r="A6" s="26" t="s">
        <v>237</v>
      </c>
      <c r="B6" s="70">
        <v>12.7</v>
      </c>
      <c r="C6" s="70" t="s">
        <v>205</v>
      </c>
      <c r="D6" s="70" t="s">
        <v>205</v>
      </c>
      <c r="E6" s="70">
        <v>1.6</v>
      </c>
      <c r="F6" s="70">
        <v>0.04</v>
      </c>
      <c r="G6" s="70">
        <v>0.56000000000000005</v>
      </c>
      <c r="H6" s="70">
        <v>0.44</v>
      </c>
      <c r="I6" s="70">
        <v>0.09</v>
      </c>
      <c r="J6" s="70">
        <v>0.09</v>
      </c>
      <c r="K6" s="70">
        <v>0.14000000000000001</v>
      </c>
      <c r="L6" s="70">
        <v>0.14000000000000001</v>
      </c>
      <c r="M6" s="70">
        <v>0.4</v>
      </c>
      <c r="N6" s="70">
        <v>0.4</v>
      </c>
      <c r="O6" s="71">
        <v>0.2</v>
      </c>
      <c r="P6" s="71">
        <v>0.2</v>
      </c>
      <c r="Q6" s="70">
        <v>0.18</v>
      </c>
      <c r="R6" s="70">
        <v>0.28000000000000003</v>
      </c>
      <c r="S6" s="26"/>
      <c r="T6" s="26"/>
      <c r="U6" s="26"/>
      <c r="V6" s="26"/>
      <c r="W6" s="26"/>
      <c r="X6" s="26"/>
      <c r="Y6" s="26"/>
      <c r="Z6" s="26"/>
      <c r="AA6" s="26"/>
      <c r="AB6" s="28"/>
      <c r="AC6" s="26"/>
      <c r="AD6" s="26"/>
      <c r="AE6" s="26"/>
      <c r="AF6" s="26"/>
      <c r="AG6" s="27"/>
    </row>
    <row r="7" spans="1:33" x14ac:dyDescent="0.25">
      <c r="A7" s="26" t="s">
        <v>238</v>
      </c>
      <c r="B7" s="70">
        <v>15.87</v>
      </c>
      <c r="C7" s="70" t="s">
        <v>205</v>
      </c>
      <c r="D7" s="70" t="s">
        <v>205</v>
      </c>
      <c r="E7" s="70">
        <v>0.7</v>
      </c>
      <c r="F7" s="70">
        <v>0.05</v>
      </c>
      <c r="G7" s="70">
        <v>0.33</v>
      </c>
      <c r="H7" s="70">
        <v>0.26</v>
      </c>
      <c r="I7" s="70">
        <v>0.1</v>
      </c>
      <c r="J7" s="70">
        <v>0.1</v>
      </c>
      <c r="K7" s="70">
        <v>0.12</v>
      </c>
      <c r="L7" s="70">
        <v>0.12</v>
      </c>
      <c r="M7" s="70">
        <v>0.54</v>
      </c>
      <c r="N7" s="70">
        <v>0.54</v>
      </c>
      <c r="O7" s="71">
        <v>0.16</v>
      </c>
      <c r="P7" s="71">
        <v>0.16</v>
      </c>
      <c r="Q7" s="70">
        <v>0.19</v>
      </c>
      <c r="R7" s="70">
        <v>0.25</v>
      </c>
      <c r="S7" s="26"/>
      <c r="T7" s="26"/>
      <c r="U7" s="26"/>
      <c r="V7" s="26"/>
      <c r="W7" s="26"/>
      <c r="X7" s="26"/>
      <c r="Y7" s="26"/>
      <c r="Z7" s="26"/>
      <c r="AA7" s="26"/>
      <c r="AB7" s="28"/>
      <c r="AC7" s="26"/>
      <c r="AD7" s="26"/>
      <c r="AE7" s="26"/>
      <c r="AF7" s="26"/>
      <c r="AG7" s="27"/>
    </row>
    <row r="8" spans="1:33" x14ac:dyDescent="0.25">
      <c r="A8" s="26" t="s">
        <v>239</v>
      </c>
      <c r="B8" s="70">
        <v>15.87</v>
      </c>
      <c r="C8" s="70" t="s">
        <v>205</v>
      </c>
      <c r="D8" s="70" t="s">
        <v>205</v>
      </c>
      <c r="E8" s="70">
        <v>0.9</v>
      </c>
      <c r="F8" s="70">
        <v>0.05</v>
      </c>
      <c r="G8" s="70">
        <v>0.42</v>
      </c>
      <c r="H8" s="70">
        <v>0.33</v>
      </c>
      <c r="I8" s="70">
        <v>0.12</v>
      </c>
      <c r="J8" s="70">
        <v>0.12</v>
      </c>
      <c r="K8" s="70">
        <v>0.15</v>
      </c>
      <c r="L8" s="70">
        <v>0.15</v>
      </c>
      <c r="M8" s="70">
        <v>0.53</v>
      </c>
      <c r="N8" s="70">
        <v>0.53</v>
      </c>
      <c r="O8" s="71">
        <v>0.2</v>
      </c>
      <c r="P8" s="71">
        <v>0.2</v>
      </c>
      <c r="Q8" s="70">
        <v>0.24</v>
      </c>
      <c r="R8" s="70">
        <v>0.3</v>
      </c>
      <c r="S8" s="26"/>
      <c r="T8" s="26"/>
      <c r="U8" s="26"/>
      <c r="V8" s="26"/>
      <c r="W8" s="26"/>
      <c r="X8" s="26"/>
      <c r="Y8" s="26"/>
      <c r="Z8" s="26"/>
      <c r="AA8" s="26"/>
      <c r="AB8" s="28"/>
      <c r="AC8" s="26"/>
      <c r="AD8" s="26"/>
      <c r="AE8" s="26"/>
      <c r="AF8" s="26"/>
      <c r="AG8" s="27"/>
    </row>
    <row r="9" spans="1:33" x14ac:dyDescent="0.25">
      <c r="A9" s="26" t="s">
        <v>240</v>
      </c>
      <c r="B9" s="70">
        <v>15.87</v>
      </c>
      <c r="C9" s="70" t="s">
        <v>205</v>
      </c>
      <c r="D9" s="70" t="s">
        <v>205</v>
      </c>
      <c r="E9" s="70">
        <v>1.25</v>
      </c>
      <c r="F9" s="70">
        <v>0.05</v>
      </c>
      <c r="G9" s="70">
        <v>0.56999999999999995</v>
      </c>
      <c r="H9" s="70">
        <v>0.45</v>
      </c>
      <c r="I9" s="70">
        <v>0.15</v>
      </c>
      <c r="J9" s="70">
        <v>0.15</v>
      </c>
      <c r="K9" s="70">
        <v>0.19</v>
      </c>
      <c r="L9" s="70">
        <v>0.19</v>
      </c>
      <c r="M9" s="70">
        <v>0.52</v>
      </c>
      <c r="N9" s="70">
        <v>0.52</v>
      </c>
      <c r="O9" s="71">
        <v>0.27</v>
      </c>
      <c r="P9" s="71">
        <v>0.27</v>
      </c>
      <c r="Q9" s="70">
        <v>0.31</v>
      </c>
      <c r="R9" s="70">
        <v>0.39</v>
      </c>
      <c r="S9" s="26"/>
      <c r="T9" s="26"/>
      <c r="U9" s="26"/>
      <c r="V9" s="26"/>
      <c r="W9" s="26"/>
      <c r="X9" s="26"/>
      <c r="Y9" s="26"/>
      <c r="Z9" s="26"/>
      <c r="AA9" s="26"/>
      <c r="AB9" s="28"/>
      <c r="AC9" s="26"/>
      <c r="AD9" s="26"/>
      <c r="AE9" s="26"/>
      <c r="AF9" s="26"/>
      <c r="AG9" s="27"/>
    </row>
    <row r="10" spans="1:33" x14ac:dyDescent="0.25">
      <c r="A10" s="26" t="s">
        <v>241</v>
      </c>
      <c r="B10" s="70">
        <v>15.87</v>
      </c>
      <c r="C10" s="70" t="s">
        <v>205</v>
      </c>
      <c r="D10" s="70" t="s">
        <v>205</v>
      </c>
      <c r="E10" s="70">
        <v>1.6</v>
      </c>
      <c r="F10" s="70">
        <v>0.05</v>
      </c>
      <c r="G10" s="70">
        <v>0.72</v>
      </c>
      <c r="H10" s="70">
        <v>0.56000000000000005</v>
      </c>
      <c r="I10" s="70">
        <v>0.18</v>
      </c>
      <c r="J10" s="70">
        <v>0.18</v>
      </c>
      <c r="K10" s="70">
        <v>0.23</v>
      </c>
      <c r="L10" s="70">
        <v>0.23</v>
      </c>
      <c r="M10" s="70">
        <v>0.51</v>
      </c>
      <c r="N10" s="70">
        <v>0.51</v>
      </c>
      <c r="O10" s="71">
        <v>0.33</v>
      </c>
      <c r="P10" s="71">
        <v>0.33</v>
      </c>
      <c r="Q10" s="70">
        <v>0.37</v>
      </c>
      <c r="R10" s="70">
        <v>0.47</v>
      </c>
      <c r="S10" s="26"/>
      <c r="T10" s="26"/>
      <c r="U10" s="26"/>
      <c r="V10" s="26"/>
      <c r="W10" s="26"/>
      <c r="X10" s="26"/>
      <c r="Y10" s="26"/>
      <c r="Z10" s="26"/>
      <c r="AA10" s="26"/>
      <c r="AB10" s="28"/>
      <c r="AC10" s="26"/>
      <c r="AD10" s="26"/>
      <c r="AE10" s="26"/>
      <c r="AF10" s="26"/>
      <c r="AG10" s="27"/>
    </row>
    <row r="11" spans="1:33" x14ac:dyDescent="0.25">
      <c r="A11" s="26" t="s">
        <v>242</v>
      </c>
      <c r="B11" s="70">
        <v>19.05</v>
      </c>
      <c r="C11" s="70" t="s">
        <v>205</v>
      </c>
      <c r="D11" s="70" t="s">
        <v>205</v>
      </c>
      <c r="E11" s="70">
        <v>0.7</v>
      </c>
      <c r="F11" s="70">
        <v>0.06</v>
      </c>
      <c r="G11" s="70">
        <v>0.4</v>
      </c>
      <c r="H11" s="70">
        <v>0.32</v>
      </c>
      <c r="I11" s="70">
        <v>0.17</v>
      </c>
      <c r="J11" s="70">
        <v>0.17</v>
      </c>
      <c r="K11" s="70">
        <v>0.18</v>
      </c>
      <c r="L11" s="70">
        <v>0.18</v>
      </c>
      <c r="M11" s="70">
        <v>0.65</v>
      </c>
      <c r="N11" s="70">
        <v>0.65</v>
      </c>
      <c r="O11" s="71">
        <v>0.24</v>
      </c>
      <c r="P11" s="71">
        <v>0.24</v>
      </c>
      <c r="Q11" s="70">
        <v>0.34</v>
      </c>
      <c r="R11" s="70">
        <v>0.37</v>
      </c>
      <c r="S11" s="26"/>
      <c r="T11" s="26"/>
      <c r="U11" s="26"/>
      <c r="V11" s="26"/>
      <c r="W11" s="26"/>
      <c r="X11" s="26"/>
      <c r="Y11" s="26"/>
      <c r="Z11" s="26"/>
      <c r="AA11" s="26"/>
      <c r="AB11" s="28"/>
      <c r="AC11" s="26"/>
      <c r="AD11" s="26"/>
      <c r="AE11" s="26"/>
      <c r="AF11" s="26"/>
      <c r="AG11" s="27"/>
    </row>
    <row r="12" spans="1:33" x14ac:dyDescent="0.25">
      <c r="A12" s="26" t="s">
        <v>243</v>
      </c>
      <c r="B12" s="70">
        <v>19.05</v>
      </c>
      <c r="C12" s="70" t="s">
        <v>205</v>
      </c>
      <c r="D12" s="70" t="s">
        <v>205</v>
      </c>
      <c r="E12" s="70">
        <v>0.9</v>
      </c>
      <c r="F12" s="70">
        <v>0.06</v>
      </c>
      <c r="G12" s="70">
        <v>0.51</v>
      </c>
      <c r="H12" s="70">
        <v>0.4</v>
      </c>
      <c r="I12" s="70">
        <v>0.21</v>
      </c>
      <c r="J12" s="70">
        <v>0.21</v>
      </c>
      <c r="K12" s="70">
        <v>0.22</v>
      </c>
      <c r="L12" s="70">
        <v>0.22</v>
      </c>
      <c r="M12" s="70">
        <v>0.64</v>
      </c>
      <c r="N12" s="70">
        <v>0.64</v>
      </c>
      <c r="O12" s="71">
        <v>0.3</v>
      </c>
      <c r="P12" s="71">
        <v>0.3</v>
      </c>
      <c r="Q12" s="70">
        <v>0.42</v>
      </c>
      <c r="R12" s="70">
        <v>0.47</v>
      </c>
      <c r="S12" s="26"/>
      <c r="T12" s="26"/>
      <c r="U12" s="26"/>
      <c r="V12" s="26"/>
      <c r="W12" s="26"/>
      <c r="X12" s="26"/>
      <c r="Y12" s="26"/>
      <c r="Z12" s="26"/>
      <c r="AA12" s="26"/>
      <c r="AB12" s="28"/>
      <c r="AC12" s="26"/>
      <c r="AD12" s="26"/>
      <c r="AE12" s="26"/>
      <c r="AF12" s="26"/>
      <c r="AG12" s="27"/>
    </row>
    <row r="13" spans="1:33" x14ac:dyDescent="0.25">
      <c r="A13" s="26" t="s">
        <v>244</v>
      </c>
      <c r="B13" s="70">
        <v>19.05</v>
      </c>
      <c r="C13" s="70" t="s">
        <v>205</v>
      </c>
      <c r="D13" s="70" t="s">
        <v>205</v>
      </c>
      <c r="E13" s="70">
        <v>1.25</v>
      </c>
      <c r="F13" s="70">
        <v>0.06</v>
      </c>
      <c r="G13" s="70">
        <v>0.7</v>
      </c>
      <c r="H13" s="70">
        <v>0.55000000000000004</v>
      </c>
      <c r="I13" s="70">
        <v>0.28000000000000003</v>
      </c>
      <c r="J13" s="70">
        <v>0.28000000000000003</v>
      </c>
      <c r="K13" s="70">
        <v>0.28999999999999998</v>
      </c>
      <c r="L13" s="70">
        <v>0.28999999999999998</v>
      </c>
      <c r="M13" s="70">
        <v>0.63</v>
      </c>
      <c r="N13" s="70">
        <v>0.63</v>
      </c>
      <c r="O13" s="71">
        <v>0.4</v>
      </c>
      <c r="P13" s="71">
        <v>0.4</v>
      </c>
      <c r="Q13" s="70">
        <v>0.56000000000000005</v>
      </c>
      <c r="R13" s="70">
        <v>0.57999999999999996</v>
      </c>
      <c r="S13" s="26"/>
      <c r="T13" s="26"/>
      <c r="U13" s="26"/>
      <c r="V13" s="26"/>
      <c r="W13" s="26"/>
      <c r="X13" s="26"/>
      <c r="Y13" s="26"/>
      <c r="Z13" s="26"/>
      <c r="AA13" s="26"/>
      <c r="AB13" s="28"/>
      <c r="AC13" s="26"/>
      <c r="AD13" s="26"/>
      <c r="AE13" s="26"/>
      <c r="AF13" s="26"/>
      <c r="AG13" s="27"/>
    </row>
    <row r="14" spans="1:33" x14ac:dyDescent="0.25">
      <c r="A14" s="26" t="s">
        <v>245</v>
      </c>
      <c r="B14" s="70">
        <v>19.05</v>
      </c>
      <c r="C14" s="70" t="s">
        <v>205</v>
      </c>
      <c r="D14" s="70" t="s">
        <v>205</v>
      </c>
      <c r="E14" s="70">
        <v>1.6</v>
      </c>
      <c r="F14" s="70">
        <v>0.06</v>
      </c>
      <c r="G14" s="70">
        <v>0.88</v>
      </c>
      <c r="H14" s="70">
        <v>0.69</v>
      </c>
      <c r="I14" s="70">
        <v>0.34</v>
      </c>
      <c r="J14" s="70">
        <v>0.34</v>
      </c>
      <c r="K14" s="70">
        <v>0.35</v>
      </c>
      <c r="L14" s="70">
        <v>0.35</v>
      </c>
      <c r="M14" s="70">
        <v>0.62</v>
      </c>
      <c r="N14" s="70">
        <v>0.62</v>
      </c>
      <c r="O14" s="71">
        <v>0.49</v>
      </c>
      <c r="P14" s="71">
        <v>0.49</v>
      </c>
      <c r="Q14" s="70">
        <v>0.67</v>
      </c>
      <c r="R14" s="70">
        <v>0.71</v>
      </c>
      <c r="S14" s="26"/>
      <c r="T14" s="26"/>
      <c r="U14" s="26"/>
      <c r="V14" s="26"/>
      <c r="W14" s="26"/>
      <c r="X14" s="26"/>
      <c r="Y14" s="26"/>
      <c r="Z14" s="26"/>
      <c r="AA14" s="26"/>
      <c r="AB14" s="28"/>
      <c r="AC14" s="26"/>
      <c r="AD14" s="26"/>
      <c r="AE14" s="26"/>
      <c r="AF14" s="26"/>
      <c r="AG14" s="27"/>
    </row>
    <row r="15" spans="1:33" x14ac:dyDescent="0.25">
      <c r="A15" s="26" t="s">
        <v>246</v>
      </c>
      <c r="B15" s="70">
        <v>19.05</v>
      </c>
      <c r="C15" s="70" t="s">
        <v>205</v>
      </c>
      <c r="D15" s="70" t="s">
        <v>205</v>
      </c>
      <c r="E15" s="70">
        <v>2</v>
      </c>
      <c r="F15" s="70">
        <v>0.06</v>
      </c>
      <c r="G15" s="70">
        <v>1.07</v>
      </c>
      <c r="H15" s="70">
        <v>0.84</v>
      </c>
      <c r="I15" s="70">
        <v>0.39</v>
      </c>
      <c r="J15" s="70">
        <v>0.39</v>
      </c>
      <c r="K15" s="70">
        <v>0.41</v>
      </c>
      <c r="L15" s="70">
        <v>0.41</v>
      </c>
      <c r="M15" s="70">
        <v>0.61</v>
      </c>
      <c r="N15" s="70">
        <v>0.61</v>
      </c>
      <c r="O15" s="71">
        <v>0.57999999999999996</v>
      </c>
      <c r="P15" s="71">
        <v>0.57999999999999996</v>
      </c>
      <c r="Q15" s="70">
        <v>0.79</v>
      </c>
      <c r="R15" s="70">
        <v>0.83</v>
      </c>
      <c r="S15" s="26"/>
      <c r="T15" s="26"/>
      <c r="U15" s="26"/>
      <c r="V15" s="26"/>
      <c r="W15" s="26"/>
      <c r="X15" s="26"/>
      <c r="Y15" s="26"/>
      <c r="Z15" s="26"/>
      <c r="AA15" s="26"/>
      <c r="AB15" s="28"/>
      <c r="AC15" s="26"/>
      <c r="AD15" s="26"/>
      <c r="AE15" s="26"/>
      <c r="AF15" s="26"/>
      <c r="AG15" s="27"/>
    </row>
    <row r="16" spans="1:33" x14ac:dyDescent="0.25">
      <c r="A16" s="26" t="s">
        <v>247</v>
      </c>
      <c r="B16" s="70">
        <v>22.22</v>
      </c>
      <c r="C16" s="70" t="s">
        <v>205</v>
      </c>
      <c r="D16" s="70" t="s">
        <v>205</v>
      </c>
      <c r="E16" s="70">
        <v>0.7</v>
      </c>
      <c r="F16" s="70">
        <v>7.0000000000000007E-2</v>
      </c>
      <c r="G16" s="70">
        <v>0.47</v>
      </c>
      <c r="H16" s="70">
        <v>0.37</v>
      </c>
      <c r="I16" s="70">
        <v>0.27</v>
      </c>
      <c r="J16" s="70">
        <v>0.27</v>
      </c>
      <c r="K16" s="70">
        <v>0.25</v>
      </c>
      <c r="L16" s="70">
        <v>0.25</v>
      </c>
      <c r="M16" s="70">
        <v>0.76</v>
      </c>
      <c r="N16" s="70">
        <v>0.76</v>
      </c>
      <c r="O16" s="71">
        <v>0.32</v>
      </c>
      <c r="P16" s="71">
        <v>0.32</v>
      </c>
      <c r="Q16" s="70">
        <v>0.55000000000000004</v>
      </c>
      <c r="R16" s="70">
        <v>0.51</v>
      </c>
      <c r="S16" s="26"/>
      <c r="T16" s="26"/>
      <c r="U16" s="26"/>
      <c r="V16" s="26"/>
      <c r="W16" s="26"/>
      <c r="X16" s="26"/>
      <c r="Y16" s="26"/>
      <c r="Z16" s="26"/>
      <c r="AA16" s="26"/>
      <c r="AB16" s="28"/>
      <c r="AC16" s="26"/>
      <c r="AD16" s="26"/>
      <c r="AE16" s="26"/>
      <c r="AF16" s="26"/>
      <c r="AG16" s="27"/>
    </row>
    <row r="17" spans="1:33" x14ac:dyDescent="0.25">
      <c r="A17" s="26" t="s">
        <v>248</v>
      </c>
      <c r="B17" s="70">
        <v>22.22</v>
      </c>
      <c r="C17" s="70" t="s">
        <v>205</v>
      </c>
      <c r="D17" s="70" t="s">
        <v>205</v>
      </c>
      <c r="E17" s="70">
        <v>0.9</v>
      </c>
      <c r="F17" s="70">
        <v>7.0000000000000007E-2</v>
      </c>
      <c r="G17" s="70">
        <v>0.6</v>
      </c>
      <c r="H17" s="70">
        <v>0.47</v>
      </c>
      <c r="I17" s="70">
        <v>0.34</v>
      </c>
      <c r="J17" s="70">
        <v>0.34</v>
      </c>
      <c r="K17" s="70">
        <v>0.31</v>
      </c>
      <c r="L17" s="70">
        <v>0.31</v>
      </c>
      <c r="M17" s="70">
        <v>0.75</v>
      </c>
      <c r="N17" s="70">
        <v>0.75</v>
      </c>
      <c r="O17" s="71">
        <v>0.41</v>
      </c>
      <c r="P17" s="71">
        <v>0.41</v>
      </c>
      <c r="Q17" s="70">
        <v>0.69</v>
      </c>
      <c r="R17" s="70">
        <v>0.64</v>
      </c>
      <c r="S17" s="26"/>
      <c r="T17" s="26"/>
      <c r="U17" s="26"/>
      <c r="V17" s="26"/>
      <c r="W17" s="26"/>
      <c r="X17" s="26"/>
      <c r="Y17" s="26"/>
      <c r="Z17" s="26"/>
      <c r="AA17" s="26"/>
      <c r="AB17" s="28"/>
      <c r="AC17" s="26"/>
      <c r="AD17" s="26"/>
      <c r="AE17" s="26"/>
      <c r="AF17" s="26"/>
      <c r="AG17" s="27"/>
    </row>
    <row r="18" spans="1:33" x14ac:dyDescent="0.25">
      <c r="A18" s="26" t="s">
        <v>249</v>
      </c>
      <c r="B18" s="70">
        <v>22.22</v>
      </c>
      <c r="C18" s="70" t="s">
        <v>205</v>
      </c>
      <c r="D18" s="70" t="s">
        <v>205</v>
      </c>
      <c r="E18" s="72">
        <v>1.25</v>
      </c>
      <c r="F18" s="72">
        <v>7.0000000000000007E-2</v>
      </c>
      <c r="G18" s="72">
        <v>0.82</v>
      </c>
      <c r="H18" s="72">
        <v>0.65</v>
      </c>
      <c r="I18" s="72">
        <v>0.45</v>
      </c>
      <c r="J18" s="72">
        <v>0.45</v>
      </c>
      <c r="K18" s="72">
        <v>0.41</v>
      </c>
      <c r="L18" s="72">
        <v>0.41</v>
      </c>
      <c r="M18" s="72">
        <v>0.74</v>
      </c>
      <c r="N18" s="72">
        <v>0.74</v>
      </c>
      <c r="O18" s="73">
        <v>0.55000000000000004</v>
      </c>
      <c r="P18" s="73">
        <v>0.55000000000000004</v>
      </c>
      <c r="Q18" s="72">
        <v>0.91</v>
      </c>
      <c r="R18" s="72">
        <v>0.82</v>
      </c>
      <c r="S18" s="26"/>
      <c r="T18" s="26"/>
      <c r="U18" s="26"/>
      <c r="V18" s="26"/>
      <c r="W18" s="26"/>
      <c r="X18" s="26"/>
      <c r="Y18" s="26"/>
      <c r="Z18" s="26"/>
      <c r="AA18" s="26"/>
      <c r="AB18" s="28"/>
      <c r="AC18" s="26"/>
      <c r="AD18" s="26"/>
      <c r="AE18" s="26"/>
      <c r="AF18" s="26"/>
      <c r="AG18" s="27"/>
    </row>
    <row r="19" spans="1:33" x14ac:dyDescent="0.25">
      <c r="A19" s="26" t="s">
        <v>250</v>
      </c>
      <c r="B19" s="70">
        <v>22.22</v>
      </c>
      <c r="C19" s="70" t="s">
        <v>205</v>
      </c>
      <c r="D19" s="70" t="s">
        <v>205</v>
      </c>
      <c r="E19" s="70">
        <v>1.6</v>
      </c>
      <c r="F19" s="70">
        <v>7.0000000000000007E-2</v>
      </c>
      <c r="G19" s="70">
        <v>1.04</v>
      </c>
      <c r="H19" s="70">
        <v>0.81</v>
      </c>
      <c r="I19" s="70">
        <v>0.55000000000000004</v>
      </c>
      <c r="J19" s="70">
        <v>0.55000000000000004</v>
      </c>
      <c r="K19" s="70">
        <v>0.5</v>
      </c>
      <c r="L19" s="70">
        <v>0.5</v>
      </c>
      <c r="M19" s="70">
        <v>0.73</v>
      </c>
      <c r="N19" s="70">
        <v>0.73</v>
      </c>
      <c r="O19" s="71">
        <v>0.68</v>
      </c>
      <c r="P19" s="71">
        <v>0.68</v>
      </c>
      <c r="Q19" s="70">
        <v>1.1100000000000001</v>
      </c>
      <c r="R19" s="70">
        <v>1</v>
      </c>
      <c r="S19" s="26"/>
      <c r="T19" s="26"/>
      <c r="U19" s="26"/>
      <c r="V19" s="26"/>
      <c r="W19" s="26"/>
      <c r="X19" s="26"/>
      <c r="Y19" s="26"/>
      <c r="Z19" s="26"/>
      <c r="AA19" s="26"/>
      <c r="AB19" s="28"/>
      <c r="AC19" s="26"/>
      <c r="AD19" s="26"/>
      <c r="AE19" s="26"/>
      <c r="AF19" s="26"/>
      <c r="AG19" s="27"/>
    </row>
    <row r="20" spans="1:33" x14ac:dyDescent="0.25">
      <c r="A20" s="26" t="s">
        <v>251</v>
      </c>
      <c r="B20" s="70">
        <v>22.22</v>
      </c>
      <c r="C20" s="70" t="s">
        <v>205</v>
      </c>
      <c r="D20" s="70" t="s">
        <v>205</v>
      </c>
      <c r="E20" s="70">
        <v>2</v>
      </c>
      <c r="F20" s="70">
        <v>7.0000000000000007E-2</v>
      </c>
      <c r="G20" s="70">
        <v>1.27</v>
      </c>
      <c r="H20" s="70">
        <v>1</v>
      </c>
      <c r="I20" s="70">
        <v>0.66</v>
      </c>
      <c r="J20" s="70">
        <v>0.66</v>
      </c>
      <c r="K20" s="70">
        <v>0.59</v>
      </c>
      <c r="L20" s="70">
        <v>0.59</v>
      </c>
      <c r="M20" s="70">
        <v>0.72</v>
      </c>
      <c r="N20" s="70">
        <v>0.72</v>
      </c>
      <c r="O20" s="71">
        <v>0.82</v>
      </c>
      <c r="P20" s="71">
        <v>0.82</v>
      </c>
      <c r="Q20" s="70">
        <v>1.31</v>
      </c>
      <c r="R20" s="70">
        <v>1.18</v>
      </c>
      <c r="S20" s="26"/>
      <c r="T20" s="26"/>
      <c r="U20" s="26"/>
      <c r="V20" s="26"/>
      <c r="W20" s="26"/>
      <c r="X20" s="26"/>
      <c r="Y20" s="26"/>
      <c r="Z20" s="26"/>
      <c r="AA20" s="26"/>
      <c r="AB20" s="28"/>
      <c r="AC20" s="26"/>
      <c r="AD20" s="26"/>
      <c r="AE20" s="26"/>
      <c r="AF20" s="26"/>
      <c r="AG20" s="27"/>
    </row>
    <row r="21" spans="1:33" x14ac:dyDescent="0.25">
      <c r="A21" s="26" t="s">
        <v>252</v>
      </c>
      <c r="B21" s="70">
        <v>25.4</v>
      </c>
      <c r="C21" s="70" t="s">
        <v>205</v>
      </c>
      <c r="D21" s="70" t="s">
        <v>205</v>
      </c>
      <c r="E21" s="70">
        <v>0.7</v>
      </c>
      <c r="F21" s="70">
        <v>0.08</v>
      </c>
      <c r="G21" s="70">
        <v>0.54</v>
      </c>
      <c r="H21" s="70">
        <v>0.43</v>
      </c>
      <c r="I21" s="70">
        <v>0.41</v>
      </c>
      <c r="J21" s="70">
        <v>0.41</v>
      </c>
      <c r="K21" s="70">
        <v>0.33</v>
      </c>
      <c r="L21" s="70">
        <v>0.33</v>
      </c>
      <c r="M21" s="70">
        <v>0.87</v>
      </c>
      <c r="N21" s="70">
        <v>0.87</v>
      </c>
      <c r="O21" s="71">
        <v>0.43</v>
      </c>
      <c r="P21" s="71">
        <v>0.43</v>
      </c>
      <c r="Q21" s="70">
        <v>0.83</v>
      </c>
      <c r="R21" s="70">
        <v>0.67</v>
      </c>
      <c r="S21" s="26"/>
      <c r="T21" s="26"/>
      <c r="U21" s="26"/>
      <c r="V21" s="26"/>
      <c r="W21" s="26"/>
      <c r="X21" s="26"/>
      <c r="Y21" s="26"/>
      <c r="Z21" s="26"/>
      <c r="AA21" s="26"/>
      <c r="AB21" s="28"/>
      <c r="AC21" s="26"/>
      <c r="AD21" s="26"/>
      <c r="AE21" s="26"/>
      <c r="AF21" s="26"/>
      <c r="AG21" s="27"/>
    </row>
    <row r="22" spans="1:33" x14ac:dyDescent="0.25">
      <c r="A22" s="26" t="s">
        <v>253</v>
      </c>
      <c r="B22" s="70">
        <v>25.4</v>
      </c>
      <c r="C22" s="70" t="s">
        <v>205</v>
      </c>
      <c r="D22" s="70" t="s">
        <v>205</v>
      </c>
      <c r="E22" s="70">
        <v>0.9</v>
      </c>
      <c r="F22" s="70">
        <v>0.08</v>
      </c>
      <c r="G22" s="70">
        <v>0.69</v>
      </c>
      <c r="H22" s="70">
        <v>0.54</v>
      </c>
      <c r="I22" s="70">
        <v>0.52</v>
      </c>
      <c r="J22" s="70">
        <v>0.52</v>
      </c>
      <c r="K22" s="70">
        <v>0.41</v>
      </c>
      <c r="L22" s="70">
        <v>0.41</v>
      </c>
      <c r="M22" s="70">
        <v>0.87</v>
      </c>
      <c r="N22" s="70">
        <v>0.87</v>
      </c>
      <c r="O22" s="71">
        <v>0.54</v>
      </c>
      <c r="P22" s="71">
        <v>0.54</v>
      </c>
      <c r="Q22" s="70">
        <v>1.04</v>
      </c>
      <c r="R22" s="70">
        <v>0.85</v>
      </c>
      <c r="S22" s="26"/>
      <c r="T22" s="26"/>
      <c r="U22" s="26"/>
      <c r="V22" s="26"/>
      <c r="W22" s="26"/>
      <c r="X22" s="26"/>
      <c r="Y22" s="26"/>
      <c r="Z22" s="26"/>
      <c r="AA22" s="26"/>
      <c r="AB22" s="28"/>
      <c r="AC22" s="26"/>
      <c r="AD22" s="26"/>
      <c r="AE22" s="26"/>
      <c r="AF22" s="26"/>
      <c r="AG22" s="27"/>
    </row>
    <row r="23" spans="1:33" x14ac:dyDescent="0.25">
      <c r="A23" s="26" t="s">
        <v>254</v>
      </c>
      <c r="B23" s="70">
        <v>25.4</v>
      </c>
      <c r="C23" s="70" t="s">
        <v>205</v>
      </c>
      <c r="D23" s="70" t="s">
        <v>205</v>
      </c>
      <c r="E23" s="70">
        <v>1.25</v>
      </c>
      <c r="F23" s="70">
        <v>0.08</v>
      </c>
      <c r="G23" s="70">
        <v>0.95</v>
      </c>
      <c r="H23" s="70">
        <v>0.74</v>
      </c>
      <c r="I23" s="70">
        <v>0.69</v>
      </c>
      <c r="J23" s="70">
        <v>0.69</v>
      </c>
      <c r="K23" s="70">
        <v>0.55000000000000004</v>
      </c>
      <c r="L23" s="70">
        <v>0.55000000000000004</v>
      </c>
      <c r="M23" s="70">
        <v>0.85</v>
      </c>
      <c r="N23" s="70">
        <v>0.85</v>
      </c>
      <c r="O23" s="71">
        <v>0.73</v>
      </c>
      <c r="P23" s="71">
        <v>0.73</v>
      </c>
      <c r="Q23" s="70">
        <v>1.39</v>
      </c>
      <c r="R23" s="70">
        <v>1.1399999999999999</v>
      </c>
      <c r="S23" s="26"/>
      <c r="T23" s="26"/>
      <c r="U23" s="26"/>
      <c r="V23" s="26"/>
      <c r="W23" s="26"/>
      <c r="X23" s="26"/>
      <c r="Y23" s="26"/>
      <c r="Z23" s="26"/>
      <c r="AA23" s="26"/>
      <c r="AB23" s="28"/>
      <c r="AC23" s="26"/>
      <c r="AD23" s="26"/>
      <c r="AE23" s="26"/>
      <c r="AF23" s="26"/>
      <c r="AG23" s="27"/>
    </row>
    <row r="24" spans="1:33" x14ac:dyDescent="0.25">
      <c r="A24" s="26" t="s">
        <v>255</v>
      </c>
      <c r="B24" s="70">
        <v>25.4</v>
      </c>
      <c r="C24" s="70" t="s">
        <v>205</v>
      </c>
      <c r="D24" s="70" t="s">
        <v>205</v>
      </c>
      <c r="E24" s="70">
        <v>1.6</v>
      </c>
      <c r="F24" s="70">
        <v>0.08</v>
      </c>
      <c r="G24" s="70">
        <v>1.2</v>
      </c>
      <c r="H24" s="70">
        <v>0.94</v>
      </c>
      <c r="I24" s="70">
        <v>0.85</v>
      </c>
      <c r="J24" s="70">
        <v>0.85</v>
      </c>
      <c r="K24" s="70">
        <v>0.67</v>
      </c>
      <c r="L24" s="70">
        <v>0.67</v>
      </c>
      <c r="M24" s="70">
        <v>0.84</v>
      </c>
      <c r="N24" s="70">
        <v>0.84</v>
      </c>
      <c r="O24" s="71">
        <v>0.91</v>
      </c>
      <c r="P24" s="71">
        <v>0.91</v>
      </c>
      <c r="Q24" s="70">
        <v>1.7</v>
      </c>
      <c r="R24" s="70">
        <v>1.34</v>
      </c>
      <c r="S24" s="26"/>
      <c r="T24" s="26"/>
      <c r="U24" s="26"/>
      <c r="V24" s="26"/>
      <c r="W24" s="26"/>
      <c r="X24" s="26"/>
      <c r="Y24" s="26"/>
      <c r="Z24" s="26"/>
      <c r="AA24" s="26"/>
      <c r="AB24" s="28"/>
      <c r="AC24" s="26"/>
      <c r="AD24" s="26"/>
      <c r="AE24" s="26"/>
      <c r="AF24" s="26"/>
      <c r="AG24" s="27"/>
    </row>
    <row r="25" spans="1:33" x14ac:dyDescent="0.25">
      <c r="A25" s="26" t="s">
        <v>256</v>
      </c>
      <c r="B25" s="70">
        <v>25.4</v>
      </c>
      <c r="C25" s="70" t="s">
        <v>205</v>
      </c>
      <c r="D25" s="70" t="s">
        <v>205</v>
      </c>
      <c r="E25" s="70">
        <v>2</v>
      </c>
      <c r="F25" s="70">
        <v>0.08</v>
      </c>
      <c r="G25" s="70">
        <v>1.47</v>
      </c>
      <c r="H25" s="70">
        <v>1.1499999999999999</v>
      </c>
      <c r="I25" s="70">
        <v>1.01</v>
      </c>
      <c r="J25" s="70">
        <v>1.01</v>
      </c>
      <c r="K25" s="70">
        <v>0.8</v>
      </c>
      <c r="L25" s="70">
        <v>0.8</v>
      </c>
      <c r="M25" s="70">
        <v>0.83</v>
      </c>
      <c r="N25" s="70">
        <v>0.83</v>
      </c>
      <c r="O25" s="71">
        <v>1.1000000000000001</v>
      </c>
      <c r="P25" s="71">
        <v>1.1000000000000001</v>
      </c>
      <c r="Q25" s="70">
        <v>2.0299999999999998</v>
      </c>
      <c r="R25" s="70">
        <v>1.6</v>
      </c>
      <c r="S25" s="26"/>
      <c r="T25" s="26"/>
      <c r="U25" s="26"/>
      <c r="V25" s="26"/>
      <c r="W25" s="26"/>
      <c r="X25" s="26"/>
      <c r="Y25" s="26"/>
      <c r="Z25" s="26"/>
      <c r="AA25" s="26"/>
      <c r="AB25" s="28"/>
      <c r="AC25" s="26"/>
      <c r="AD25" s="26"/>
      <c r="AE25" s="26"/>
      <c r="AF25" s="26"/>
      <c r="AG25" s="27"/>
    </row>
    <row r="26" spans="1:33" x14ac:dyDescent="0.25">
      <c r="A26" s="26" t="s">
        <v>257</v>
      </c>
      <c r="B26" s="70">
        <v>25.4</v>
      </c>
      <c r="C26" s="70" t="s">
        <v>205</v>
      </c>
      <c r="D26" s="70" t="s">
        <v>205</v>
      </c>
      <c r="E26" s="70">
        <v>2.5</v>
      </c>
      <c r="F26" s="70">
        <v>0.08</v>
      </c>
      <c r="G26" s="70">
        <v>1.8</v>
      </c>
      <c r="H26" s="70">
        <v>1.41</v>
      </c>
      <c r="I26" s="70">
        <v>1.19</v>
      </c>
      <c r="J26" s="70">
        <v>1.19</v>
      </c>
      <c r="K26" s="70">
        <v>0.94</v>
      </c>
      <c r="L26" s="70">
        <v>0.94</v>
      </c>
      <c r="M26" s="70">
        <v>0.81</v>
      </c>
      <c r="N26" s="70">
        <v>0.81</v>
      </c>
      <c r="O26" s="71">
        <v>1.32</v>
      </c>
      <c r="P26" s="71">
        <v>1.32</v>
      </c>
      <c r="Q26" s="70">
        <v>2.39</v>
      </c>
      <c r="R26" s="70">
        <v>1.88</v>
      </c>
      <c r="S26" s="26"/>
      <c r="T26" s="26"/>
      <c r="U26" s="26"/>
      <c r="V26" s="26"/>
      <c r="W26" s="26"/>
      <c r="X26" s="26"/>
      <c r="Y26" s="26"/>
      <c r="Z26" s="26"/>
      <c r="AA26" s="26"/>
      <c r="AB26" s="28"/>
      <c r="AC26" s="26"/>
      <c r="AD26" s="26"/>
      <c r="AE26" s="26"/>
      <c r="AF26" s="26"/>
      <c r="AG26" s="27"/>
    </row>
    <row r="27" spans="1:33" x14ac:dyDescent="0.25">
      <c r="A27" s="26" t="s">
        <v>258</v>
      </c>
      <c r="B27" s="70">
        <v>31.75</v>
      </c>
      <c r="C27" s="70" t="s">
        <v>205</v>
      </c>
      <c r="D27" s="70" t="s">
        <v>205</v>
      </c>
      <c r="E27" s="70">
        <v>0.9</v>
      </c>
      <c r="F27" s="70">
        <v>0.1</v>
      </c>
      <c r="G27" s="70">
        <v>0.87</v>
      </c>
      <c r="H27" s="70">
        <v>0.68</v>
      </c>
      <c r="I27" s="70">
        <v>1.04</v>
      </c>
      <c r="J27" s="70">
        <v>1.04</v>
      </c>
      <c r="K27" s="70">
        <v>0.65</v>
      </c>
      <c r="L27" s="70">
        <v>0.65</v>
      </c>
      <c r="M27" s="70">
        <v>1.0900000000000001</v>
      </c>
      <c r="N27" s="70">
        <v>1.0900000000000001</v>
      </c>
      <c r="O27" s="71">
        <v>0.86</v>
      </c>
      <c r="P27" s="71">
        <v>0.86</v>
      </c>
      <c r="Q27" s="70">
        <v>2.08</v>
      </c>
      <c r="R27" s="70">
        <v>1.34</v>
      </c>
      <c r="S27" s="26"/>
      <c r="T27" s="26"/>
      <c r="U27" s="26"/>
      <c r="V27" s="26"/>
      <c r="W27" s="26"/>
      <c r="X27" s="26"/>
      <c r="Y27" s="26"/>
      <c r="Z27" s="26"/>
      <c r="AA27" s="26"/>
      <c r="AB27" s="28"/>
      <c r="AC27" s="26"/>
      <c r="AD27" s="26"/>
      <c r="AE27" s="26"/>
      <c r="AF27" s="26"/>
      <c r="AG27" s="27"/>
    </row>
    <row r="28" spans="1:33" x14ac:dyDescent="0.25">
      <c r="A28" s="26" t="s">
        <v>259</v>
      </c>
      <c r="B28" s="70">
        <v>31.75</v>
      </c>
      <c r="C28" s="70" t="s">
        <v>205</v>
      </c>
      <c r="D28" s="70" t="s">
        <v>205</v>
      </c>
      <c r="E28" s="70">
        <v>1.25</v>
      </c>
      <c r="F28" s="70">
        <v>0.1</v>
      </c>
      <c r="G28" s="70">
        <v>1.2</v>
      </c>
      <c r="H28" s="70">
        <v>0.94</v>
      </c>
      <c r="I28" s="70">
        <v>1.4</v>
      </c>
      <c r="J28" s="70">
        <v>1.4</v>
      </c>
      <c r="K28" s="70">
        <v>0.88</v>
      </c>
      <c r="L28" s="70">
        <v>0.88</v>
      </c>
      <c r="M28" s="70">
        <v>1.08</v>
      </c>
      <c r="N28" s="70">
        <v>1.08</v>
      </c>
      <c r="O28" s="71">
        <v>1.1599999999999999</v>
      </c>
      <c r="P28" s="71">
        <v>1.1599999999999999</v>
      </c>
      <c r="Q28" s="70">
        <v>2.79</v>
      </c>
      <c r="R28" s="70">
        <v>1.83</v>
      </c>
      <c r="S28" s="26"/>
      <c r="T28" s="26"/>
      <c r="U28" s="26"/>
      <c r="V28" s="26"/>
      <c r="W28" s="26"/>
      <c r="X28" s="26"/>
      <c r="Y28" s="26"/>
      <c r="Z28" s="26"/>
      <c r="AA28" s="26"/>
      <c r="AB28" s="28"/>
      <c r="AC28" s="26"/>
      <c r="AD28" s="26"/>
      <c r="AE28" s="26"/>
      <c r="AF28" s="26"/>
      <c r="AG28" s="27"/>
    </row>
    <row r="29" spans="1:33" x14ac:dyDescent="0.25">
      <c r="A29" s="26" t="s">
        <v>260</v>
      </c>
      <c r="B29" s="70">
        <v>31.75</v>
      </c>
      <c r="C29" s="70" t="s">
        <v>205</v>
      </c>
      <c r="D29" s="70" t="s">
        <v>205</v>
      </c>
      <c r="E29" s="70">
        <v>1.6</v>
      </c>
      <c r="F29" s="70">
        <v>0.1</v>
      </c>
      <c r="G29" s="70">
        <v>1.52</v>
      </c>
      <c r="H29" s="70">
        <v>1.19</v>
      </c>
      <c r="I29" s="70">
        <v>1.73</v>
      </c>
      <c r="J29" s="70">
        <v>1.73</v>
      </c>
      <c r="K29" s="70">
        <v>1.0900000000000001</v>
      </c>
      <c r="L29" s="70">
        <v>1.0900000000000001</v>
      </c>
      <c r="M29" s="70">
        <v>1.07</v>
      </c>
      <c r="N29" s="70">
        <v>1.07</v>
      </c>
      <c r="O29" s="71">
        <v>1.46</v>
      </c>
      <c r="P29" s="71">
        <v>1.46</v>
      </c>
      <c r="Q29" s="70">
        <v>3.45</v>
      </c>
      <c r="R29" s="70">
        <v>2.1800000000000002</v>
      </c>
      <c r="S29" s="26"/>
      <c r="T29" s="26"/>
      <c r="U29" s="26"/>
      <c r="V29" s="26"/>
      <c r="W29" s="26"/>
      <c r="X29" s="26"/>
      <c r="Y29" s="26"/>
      <c r="Z29" s="26"/>
      <c r="AA29" s="26"/>
      <c r="AB29" s="28"/>
      <c r="AC29" s="26"/>
      <c r="AD29" s="26"/>
      <c r="AE29" s="26"/>
      <c r="AF29" s="26"/>
      <c r="AG29" s="27"/>
    </row>
    <row r="30" spans="1:33" x14ac:dyDescent="0.25">
      <c r="A30" s="26" t="s">
        <v>261</v>
      </c>
      <c r="B30" s="70">
        <v>31.75</v>
      </c>
      <c r="C30" s="70" t="s">
        <v>205</v>
      </c>
      <c r="D30" s="70" t="s">
        <v>205</v>
      </c>
      <c r="E30" s="70">
        <v>2</v>
      </c>
      <c r="F30" s="70">
        <v>0.1</v>
      </c>
      <c r="G30" s="70">
        <v>1.87</v>
      </c>
      <c r="H30" s="70">
        <v>1.47</v>
      </c>
      <c r="I30" s="70">
        <v>2.08</v>
      </c>
      <c r="J30" s="70">
        <v>2.08</v>
      </c>
      <c r="K30" s="70">
        <v>1.31</v>
      </c>
      <c r="L30" s="70">
        <v>1.31</v>
      </c>
      <c r="M30" s="70">
        <v>1.05</v>
      </c>
      <c r="N30" s="70">
        <v>1.05</v>
      </c>
      <c r="O30" s="71">
        <v>1.77</v>
      </c>
      <c r="P30" s="71">
        <v>1.77</v>
      </c>
      <c r="Q30" s="70">
        <v>4.1500000000000004</v>
      </c>
      <c r="R30" s="70">
        <v>2.62</v>
      </c>
      <c r="S30" s="26"/>
      <c r="T30" s="26"/>
      <c r="U30" s="26"/>
      <c r="V30" s="26"/>
      <c r="W30" s="26"/>
      <c r="X30" s="26"/>
      <c r="Y30" s="26"/>
      <c r="Z30" s="26"/>
      <c r="AA30" s="26"/>
      <c r="AB30" s="28"/>
      <c r="AC30" s="26"/>
      <c r="AD30" s="26"/>
      <c r="AE30" s="26"/>
      <c r="AF30" s="26"/>
      <c r="AG30" s="27"/>
    </row>
    <row r="31" spans="1:33" x14ac:dyDescent="0.25">
      <c r="A31" s="26" t="s">
        <v>262</v>
      </c>
      <c r="B31" s="70">
        <v>31.75</v>
      </c>
      <c r="C31" s="70" t="s">
        <v>205</v>
      </c>
      <c r="D31" s="70" t="s">
        <v>205</v>
      </c>
      <c r="E31" s="70">
        <v>2.5</v>
      </c>
      <c r="F31" s="70">
        <v>0.1</v>
      </c>
      <c r="G31" s="70">
        <v>2.2999999999999998</v>
      </c>
      <c r="H31" s="70">
        <v>1.8</v>
      </c>
      <c r="I31" s="70">
        <v>2.4700000000000002</v>
      </c>
      <c r="J31" s="70">
        <v>2.4700000000000002</v>
      </c>
      <c r="K31" s="70">
        <v>1.56</v>
      </c>
      <c r="L31" s="70">
        <v>1.56</v>
      </c>
      <c r="M31" s="70">
        <v>1.04</v>
      </c>
      <c r="N31" s="70">
        <v>1.04</v>
      </c>
      <c r="O31" s="71">
        <v>2.14</v>
      </c>
      <c r="P31" s="71">
        <v>2.14</v>
      </c>
      <c r="Q31" s="70">
        <v>4.95</v>
      </c>
      <c r="R31" s="70">
        <v>3.12</v>
      </c>
      <c r="S31" s="26"/>
      <c r="T31" s="26"/>
      <c r="U31" s="26"/>
      <c r="V31" s="26"/>
      <c r="W31" s="26"/>
      <c r="X31" s="26"/>
      <c r="Y31" s="26"/>
      <c r="Z31" s="26"/>
      <c r="AA31" s="26"/>
      <c r="AB31" s="28"/>
      <c r="AC31" s="26"/>
      <c r="AD31" s="26"/>
      <c r="AE31" s="26"/>
      <c r="AF31" s="26"/>
      <c r="AG31" s="27"/>
    </row>
    <row r="32" spans="1:33" x14ac:dyDescent="0.25">
      <c r="A32" s="26" t="s">
        <v>263</v>
      </c>
      <c r="B32" s="70">
        <v>31.75</v>
      </c>
      <c r="C32" s="70" t="s">
        <v>205</v>
      </c>
      <c r="D32" s="70" t="s">
        <v>205</v>
      </c>
      <c r="E32" s="70">
        <v>3.2</v>
      </c>
      <c r="F32" s="70">
        <v>0.1</v>
      </c>
      <c r="G32" s="70">
        <v>2.87</v>
      </c>
      <c r="H32" s="70">
        <v>2.25</v>
      </c>
      <c r="I32" s="70">
        <v>2.96</v>
      </c>
      <c r="J32" s="70">
        <v>2.96</v>
      </c>
      <c r="K32" s="70">
        <v>1.87</v>
      </c>
      <c r="L32" s="70">
        <v>1.87</v>
      </c>
      <c r="M32" s="70">
        <v>1.02</v>
      </c>
      <c r="N32" s="70">
        <v>1.02</v>
      </c>
      <c r="O32" s="71">
        <v>2.62</v>
      </c>
      <c r="P32" s="71">
        <v>2.62</v>
      </c>
      <c r="Q32" s="70">
        <v>5.92</v>
      </c>
      <c r="R32" s="70">
        <v>3.73</v>
      </c>
      <c r="S32" s="26"/>
      <c r="T32" s="26"/>
      <c r="U32" s="26"/>
      <c r="V32" s="26"/>
      <c r="W32" s="26"/>
      <c r="X32" s="26"/>
      <c r="Y32" s="26"/>
      <c r="Z32" s="26"/>
      <c r="AA32" s="26"/>
      <c r="AB32" s="28"/>
      <c r="AC32" s="26"/>
      <c r="AD32" s="26"/>
      <c r="AE32" s="26"/>
      <c r="AF32" s="26"/>
      <c r="AG32" s="27"/>
    </row>
    <row r="33" spans="1:33" x14ac:dyDescent="0.25">
      <c r="A33" s="26" t="s">
        <v>264</v>
      </c>
      <c r="B33" s="70">
        <v>38.1</v>
      </c>
      <c r="C33" s="70" t="s">
        <v>205</v>
      </c>
      <c r="D33" s="70" t="s">
        <v>205</v>
      </c>
      <c r="E33" s="70">
        <v>0.9</v>
      </c>
      <c r="F33" s="70">
        <v>0.12</v>
      </c>
      <c r="G33" s="70">
        <v>1.05</v>
      </c>
      <c r="H33" s="70">
        <v>0.83</v>
      </c>
      <c r="I33" s="70">
        <v>1.82</v>
      </c>
      <c r="J33" s="70">
        <v>1.82</v>
      </c>
      <c r="K33" s="70">
        <v>0.96</v>
      </c>
      <c r="L33" s="70">
        <v>0.96</v>
      </c>
      <c r="M33" s="70">
        <v>1.32</v>
      </c>
      <c r="N33" s="70">
        <v>1.32</v>
      </c>
      <c r="O33" s="71">
        <v>1.25</v>
      </c>
      <c r="P33" s="71">
        <v>1.25</v>
      </c>
      <c r="Q33" s="70">
        <v>3.64</v>
      </c>
      <c r="R33" s="70">
        <v>1.96</v>
      </c>
      <c r="S33" s="26"/>
      <c r="T33" s="26"/>
      <c r="U33" s="26"/>
      <c r="V33" s="26"/>
      <c r="W33" s="26"/>
      <c r="X33" s="26"/>
      <c r="Y33" s="26"/>
      <c r="Z33" s="26"/>
      <c r="AA33" s="26"/>
      <c r="AB33" s="28"/>
      <c r="AC33" s="26"/>
      <c r="AD33" s="26"/>
      <c r="AE33" s="26"/>
      <c r="AF33" s="26"/>
      <c r="AG33" s="27"/>
    </row>
    <row r="34" spans="1:33" x14ac:dyDescent="0.25">
      <c r="A34" s="26" t="s">
        <v>265</v>
      </c>
      <c r="B34" s="70">
        <v>38.1</v>
      </c>
      <c r="C34" s="70" t="s">
        <v>205</v>
      </c>
      <c r="D34" s="70" t="s">
        <v>205</v>
      </c>
      <c r="E34" s="70">
        <v>1.25</v>
      </c>
      <c r="F34" s="70">
        <v>0.12</v>
      </c>
      <c r="G34" s="70">
        <v>1.45</v>
      </c>
      <c r="H34" s="70">
        <v>1.1399999999999999</v>
      </c>
      <c r="I34" s="70">
        <v>2.46</v>
      </c>
      <c r="J34" s="70">
        <v>2.46</v>
      </c>
      <c r="K34" s="70">
        <v>1.29</v>
      </c>
      <c r="L34" s="70">
        <v>1.29</v>
      </c>
      <c r="M34" s="70">
        <v>1.3</v>
      </c>
      <c r="N34" s="70">
        <v>1.3</v>
      </c>
      <c r="O34" s="71">
        <v>1.7</v>
      </c>
      <c r="P34" s="71">
        <v>1.7</v>
      </c>
      <c r="Q34" s="70">
        <v>4.92</v>
      </c>
      <c r="R34" s="70">
        <v>2.66</v>
      </c>
      <c r="S34" s="26"/>
      <c r="T34" s="26"/>
      <c r="U34" s="26"/>
      <c r="V34" s="26"/>
      <c r="W34" s="26"/>
      <c r="X34" s="26"/>
      <c r="Y34" s="26"/>
      <c r="Z34" s="26"/>
      <c r="AA34" s="26"/>
      <c r="AB34" s="28"/>
      <c r="AC34" s="26"/>
      <c r="AD34" s="26"/>
      <c r="AE34" s="26"/>
      <c r="AF34" s="26"/>
      <c r="AG34" s="27"/>
    </row>
    <row r="35" spans="1:33" x14ac:dyDescent="0.25">
      <c r="A35" s="26" t="s">
        <v>266</v>
      </c>
      <c r="B35" s="70">
        <v>38.1</v>
      </c>
      <c r="C35" s="70" t="s">
        <v>205</v>
      </c>
      <c r="D35" s="70" t="s">
        <v>205</v>
      </c>
      <c r="E35" s="70">
        <v>1.6</v>
      </c>
      <c r="F35" s="70">
        <v>0.12</v>
      </c>
      <c r="G35" s="70">
        <v>1.83</v>
      </c>
      <c r="H35" s="70">
        <v>1.44</v>
      </c>
      <c r="I35" s="70">
        <v>3.06</v>
      </c>
      <c r="J35" s="70">
        <v>3.06</v>
      </c>
      <c r="K35" s="70">
        <v>1.61</v>
      </c>
      <c r="L35" s="70">
        <v>1.61</v>
      </c>
      <c r="M35" s="70">
        <v>1.29</v>
      </c>
      <c r="N35" s="70">
        <v>1.29</v>
      </c>
      <c r="O35" s="71">
        <v>2.13</v>
      </c>
      <c r="P35" s="71">
        <v>2.13</v>
      </c>
      <c r="Q35" s="70">
        <v>6.12</v>
      </c>
      <c r="R35" s="70">
        <v>3.35</v>
      </c>
      <c r="S35" s="26"/>
      <c r="T35" s="26"/>
      <c r="U35" s="26"/>
      <c r="V35" s="26"/>
      <c r="W35" s="26"/>
      <c r="X35" s="26"/>
      <c r="Y35" s="26"/>
      <c r="Z35" s="26"/>
      <c r="AA35" s="26"/>
      <c r="AB35" s="28"/>
      <c r="AC35" s="26"/>
      <c r="AD35" s="26"/>
      <c r="AE35" s="26"/>
      <c r="AF35" s="26"/>
      <c r="AG35" s="27"/>
    </row>
    <row r="36" spans="1:33" x14ac:dyDescent="0.25">
      <c r="A36" s="26" t="s">
        <v>267</v>
      </c>
      <c r="B36" s="70">
        <v>38.1</v>
      </c>
      <c r="C36" s="70" t="s">
        <v>205</v>
      </c>
      <c r="D36" s="70" t="s">
        <v>205</v>
      </c>
      <c r="E36" s="70">
        <v>2</v>
      </c>
      <c r="F36" s="70">
        <v>0.12</v>
      </c>
      <c r="G36" s="70">
        <v>2.27</v>
      </c>
      <c r="H36" s="70">
        <v>1.78</v>
      </c>
      <c r="I36" s="70">
        <v>3.71</v>
      </c>
      <c r="J36" s="70">
        <v>3.71</v>
      </c>
      <c r="K36" s="70">
        <v>1.95</v>
      </c>
      <c r="L36" s="70">
        <v>1.95</v>
      </c>
      <c r="M36" s="70">
        <v>1.28</v>
      </c>
      <c r="N36" s="70">
        <v>1.28</v>
      </c>
      <c r="O36" s="71">
        <v>2.61</v>
      </c>
      <c r="P36" s="71">
        <v>2.61</v>
      </c>
      <c r="Q36" s="70">
        <v>7.41</v>
      </c>
      <c r="R36" s="70">
        <v>3.89</v>
      </c>
      <c r="S36" s="26"/>
      <c r="T36" s="26"/>
      <c r="U36" s="26"/>
      <c r="V36" s="26"/>
      <c r="W36" s="26"/>
      <c r="X36" s="26"/>
      <c r="Y36" s="26"/>
      <c r="Z36" s="26"/>
      <c r="AA36" s="26"/>
      <c r="AB36" s="28"/>
      <c r="AC36" s="26"/>
      <c r="AD36" s="26"/>
      <c r="AE36" s="26"/>
      <c r="AF36" s="26"/>
      <c r="AG36" s="27"/>
    </row>
    <row r="37" spans="1:33" x14ac:dyDescent="0.25">
      <c r="A37" s="26" t="s">
        <v>268</v>
      </c>
      <c r="B37" s="70">
        <v>38.1</v>
      </c>
      <c r="C37" s="70" t="s">
        <v>205</v>
      </c>
      <c r="D37" s="70" t="s">
        <v>205</v>
      </c>
      <c r="E37" s="70">
        <v>2.5</v>
      </c>
      <c r="F37" s="70">
        <v>0.12</v>
      </c>
      <c r="G37" s="70">
        <v>2.8</v>
      </c>
      <c r="H37" s="70">
        <v>2.19</v>
      </c>
      <c r="I37" s="70">
        <v>4.45</v>
      </c>
      <c r="J37" s="70">
        <v>4.45</v>
      </c>
      <c r="K37" s="70">
        <v>2.34</v>
      </c>
      <c r="L37" s="70">
        <v>2.34</v>
      </c>
      <c r="M37" s="70">
        <v>1.26</v>
      </c>
      <c r="N37" s="70">
        <v>1.26</v>
      </c>
      <c r="O37" s="71">
        <v>3.17</v>
      </c>
      <c r="P37" s="71">
        <v>3.17</v>
      </c>
      <c r="Q37" s="70">
        <v>8.9</v>
      </c>
      <c r="R37" s="70">
        <v>4.67</v>
      </c>
      <c r="S37" s="26"/>
      <c r="T37" s="26"/>
      <c r="U37" s="26"/>
      <c r="V37" s="26"/>
      <c r="W37" s="26"/>
      <c r="X37" s="26"/>
      <c r="Y37" s="26"/>
      <c r="Z37" s="26"/>
      <c r="AA37" s="26"/>
      <c r="AB37" s="28"/>
      <c r="AC37" s="26"/>
      <c r="AD37" s="26"/>
      <c r="AE37" s="26"/>
      <c r="AF37" s="26"/>
      <c r="AG37" s="27"/>
    </row>
    <row r="38" spans="1:33" x14ac:dyDescent="0.25">
      <c r="A38" s="26" t="s">
        <v>269</v>
      </c>
      <c r="B38" s="70">
        <v>38.1</v>
      </c>
      <c r="C38" s="70" t="s">
        <v>205</v>
      </c>
      <c r="D38" s="70" t="s">
        <v>205</v>
      </c>
      <c r="E38" s="70">
        <v>3.2</v>
      </c>
      <c r="F38" s="70">
        <v>0.12</v>
      </c>
      <c r="G38" s="70">
        <v>3.51</v>
      </c>
      <c r="H38" s="70">
        <v>2.75</v>
      </c>
      <c r="I38" s="70">
        <v>5.39</v>
      </c>
      <c r="J38" s="70">
        <v>5.39</v>
      </c>
      <c r="K38" s="70">
        <v>2.83</v>
      </c>
      <c r="L38" s="70">
        <v>2.83</v>
      </c>
      <c r="M38" s="70">
        <v>1.24</v>
      </c>
      <c r="N38" s="70">
        <v>1.24</v>
      </c>
      <c r="O38" s="71">
        <v>3.91</v>
      </c>
      <c r="P38" s="71">
        <v>3.91</v>
      </c>
      <c r="Q38" s="70">
        <v>10.77</v>
      </c>
      <c r="R38" s="70">
        <v>5.66</v>
      </c>
      <c r="S38" s="26"/>
      <c r="T38" s="26"/>
      <c r="U38" s="26"/>
      <c r="V38" s="26"/>
      <c r="W38" s="26"/>
      <c r="X38" s="26"/>
      <c r="Y38" s="26"/>
      <c r="Z38" s="26"/>
      <c r="AA38" s="26"/>
      <c r="AB38" s="28"/>
      <c r="AC38" s="26"/>
      <c r="AD38" s="26"/>
      <c r="AE38" s="26"/>
      <c r="AF38" s="26"/>
      <c r="AG38" s="27"/>
    </row>
    <row r="39" spans="1:33" x14ac:dyDescent="0.25">
      <c r="A39" s="26" t="s">
        <v>270</v>
      </c>
      <c r="B39" s="70">
        <v>44.45</v>
      </c>
      <c r="C39" s="70" t="s">
        <v>205</v>
      </c>
      <c r="D39" s="70" t="s">
        <v>205</v>
      </c>
      <c r="E39" s="70">
        <v>0.9</v>
      </c>
      <c r="F39" s="70">
        <v>0.14000000000000001</v>
      </c>
      <c r="G39" s="70">
        <v>1.23</v>
      </c>
      <c r="H39" s="70">
        <v>0.97</v>
      </c>
      <c r="I39" s="70">
        <v>2.92</v>
      </c>
      <c r="J39" s="70">
        <v>2.92</v>
      </c>
      <c r="K39" s="70">
        <v>1.31</v>
      </c>
      <c r="L39" s="70">
        <v>1.31</v>
      </c>
      <c r="M39" s="70">
        <v>1.54</v>
      </c>
      <c r="N39" s="70">
        <v>1.54</v>
      </c>
      <c r="O39" s="71">
        <v>1.71</v>
      </c>
      <c r="P39" s="71">
        <v>1.71</v>
      </c>
      <c r="Q39" s="70">
        <v>5.84</v>
      </c>
      <c r="R39" s="70">
        <v>2.68</v>
      </c>
      <c r="S39" s="26"/>
      <c r="T39" s="26"/>
      <c r="U39" s="26"/>
      <c r="V39" s="26"/>
      <c r="W39" s="26"/>
      <c r="X39" s="26"/>
      <c r="Y39" s="26"/>
      <c r="Z39" s="26"/>
      <c r="AA39" s="26"/>
      <c r="AB39" s="28"/>
      <c r="AC39" s="26"/>
      <c r="AD39" s="26"/>
      <c r="AE39" s="26"/>
      <c r="AF39" s="26"/>
      <c r="AG39" s="27"/>
    </row>
    <row r="40" spans="1:33" x14ac:dyDescent="0.25">
      <c r="A40" s="26" t="s">
        <v>271</v>
      </c>
      <c r="B40" s="70">
        <v>44.45</v>
      </c>
      <c r="C40" s="70" t="s">
        <v>205</v>
      </c>
      <c r="D40" s="70" t="s">
        <v>205</v>
      </c>
      <c r="E40" s="70">
        <v>1.25</v>
      </c>
      <c r="F40" s="70">
        <v>0.14000000000000001</v>
      </c>
      <c r="G40" s="70">
        <v>1.7</v>
      </c>
      <c r="H40" s="70">
        <v>1.33</v>
      </c>
      <c r="I40" s="70">
        <v>3.96</v>
      </c>
      <c r="J40" s="70">
        <v>3.96</v>
      </c>
      <c r="K40" s="70">
        <v>1.78</v>
      </c>
      <c r="L40" s="70">
        <v>1.78</v>
      </c>
      <c r="M40" s="70">
        <v>1.53</v>
      </c>
      <c r="N40" s="70">
        <v>1.53</v>
      </c>
      <c r="O40" s="71">
        <v>2.33</v>
      </c>
      <c r="P40" s="71">
        <v>2.33</v>
      </c>
      <c r="Q40" s="70">
        <v>7.92</v>
      </c>
      <c r="R40" s="70">
        <v>3.66</v>
      </c>
      <c r="S40" s="26"/>
      <c r="T40" s="26"/>
      <c r="U40" s="26"/>
      <c r="V40" s="26"/>
      <c r="W40" s="26"/>
      <c r="X40" s="26"/>
      <c r="Y40" s="26"/>
      <c r="Z40" s="26"/>
      <c r="AA40" s="26"/>
      <c r="AB40" s="28"/>
      <c r="AC40" s="26"/>
      <c r="AD40" s="26"/>
      <c r="AE40" s="26"/>
      <c r="AF40" s="26"/>
      <c r="AG40" s="27"/>
    </row>
    <row r="41" spans="1:33" x14ac:dyDescent="0.25">
      <c r="A41" s="26" t="s">
        <v>272</v>
      </c>
      <c r="B41" s="70">
        <v>44.45</v>
      </c>
      <c r="C41" s="70" t="s">
        <v>205</v>
      </c>
      <c r="D41" s="70" t="s">
        <v>205</v>
      </c>
      <c r="E41" s="70">
        <v>1.6</v>
      </c>
      <c r="F41" s="70">
        <v>0.14000000000000001</v>
      </c>
      <c r="G41" s="70">
        <v>2.15</v>
      </c>
      <c r="H41" s="70">
        <v>1.69</v>
      </c>
      <c r="I41" s="70">
        <v>4.95</v>
      </c>
      <c r="J41" s="70">
        <v>4.95</v>
      </c>
      <c r="K41" s="70">
        <v>2.23</v>
      </c>
      <c r="L41" s="70">
        <v>2.23</v>
      </c>
      <c r="M41" s="70">
        <v>1.52</v>
      </c>
      <c r="N41" s="70">
        <v>1.52</v>
      </c>
      <c r="O41" s="71">
        <v>2.94</v>
      </c>
      <c r="P41" s="71">
        <v>2.94</v>
      </c>
      <c r="Q41" s="70">
        <v>9.9</v>
      </c>
      <c r="R41" s="70">
        <v>4.6100000000000003</v>
      </c>
      <c r="S41" s="26"/>
      <c r="T41" s="26"/>
      <c r="U41" s="26"/>
      <c r="V41" s="26"/>
      <c r="W41" s="26"/>
      <c r="X41" s="26"/>
      <c r="Y41" s="26"/>
      <c r="Z41" s="26"/>
      <c r="AA41" s="26"/>
      <c r="AB41" s="28"/>
      <c r="AC41" s="26"/>
      <c r="AD41" s="26"/>
      <c r="AE41" s="26"/>
      <c r="AF41" s="26"/>
      <c r="AG41" s="27"/>
    </row>
    <row r="42" spans="1:33" x14ac:dyDescent="0.25">
      <c r="A42" s="26" t="s">
        <v>273</v>
      </c>
      <c r="B42" s="70">
        <v>44.45</v>
      </c>
      <c r="C42" s="70" t="s">
        <v>205</v>
      </c>
      <c r="D42" s="70" t="s">
        <v>205</v>
      </c>
      <c r="E42" s="70">
        <v>2</v>
      </c>
      <c r="F42" s="70">
        <v>0.14000000000000001</v>
      </c>
      <c r="G42" s="70">
        <v>2.67</v>
      </c>
      <c r="H42" s="70">
        <v>2.09</v>
      </c>
      <c r="I42" s="70">
        <v>6.02</v>
      </c>
      <c r="J42" s="70">
        <v>6.02</v>
      </c>
      <c r="K42" s="70">
        <v>2.71</v>
      </c>
      <c r="L42" s="70">
        <v>2.71</v>
      </c>
      <c r="M42" s="70">
        <v>1.5</v>
      </c>
      <c r="N42" s="70">
        <v>1.5</v>
      </c>
      <c r="O42" s="71">
        <v>3.61</v>
      </c>
      <c r="P42" s="71">
        <v>3.61</v>
      </c>
      <c r="Q42" s="70">
        <v>12.04</v>
      </c>
      <c r="R42" s="70">
        <v>5.66</v>
      </c>
      <c r="S42" s="26"/>
      <c r="T42" s="26"/>
      <c r="U42" s="26"/>
      <c r="V42" s="26"/>
      <c r="W42" s="26"/>
      <c r="X42" s="26"/>
      <c r="Y42" s="26"/>
      <c r="Z42" s="26"/>
      <c r="AA42" s="26"/>
      <c r="AB42" s="28"/>
      <c r="AC42" s="26"/>
      <c r="AD42" s="26"/>
      <c r="AE42" s="26"/>
      <c r="AF42" s="26"/>
      <c r="AG42" s="27"/>
    </row>
    <row r="43" spans="1:33" x14ac:dyDescent="0.25">
      <c r="A43" s="26" t="s">
        <v>274</v>
      </c>
      <c r="B43" s="70">
        <v>44.45</v>
      </c>
      <c r="C43" s="70" t="s">
        <v>205</v>
      </c>
      <c r="D43" s="70" t="s">
        <v>205</v>
      </c>
      <c r="E43" s="70">
        <v>2.5</v>
      </c>
      <c r="F43" s="70">
        <v>0.14000000000000001</v>
      </c>
      <c r="G43" s="70">
        <v>3.29</v>
      </c>
      <c r="H43" s="70">
        <v>2.59</v>
      </c>
      <c r="I43" s="70">
        <v>7.27</v>
      </c>
      <c r="J43" s="70">
        <v>7.27</v>
      </c>
      <c r="K43" s="70">
        <v>3.27</v>
      </c>
      <c r="L43" s="70">
        <v>3.27</v>
      </c>
      <c r="M43" s="70">
        <v>1.49</v>
      </c>
      <c r="N43" s="70">
        <v>1.49</v>
      </c>
      <c r="O43" s="71">
        <v>4.41</v>
      </c>
      <c r="P43" s="71">
        <v>4.41</v>
      </c>
      <c r="Q43" s="70">
        <v>14.55</v>
      </c>
      <c r="R43" s="70">
        <v>6.55</v>
      </c>
      <c r="S43" s="26"/>
      <c r="T43" s="26"/>
      <c r="U43" s="26"/>
      <c r="V43" s="26"/>
      <c r="W43" s="26"/>
      <c r="X43" s="26"/>
      <c r="Y43" s="26"/>
      <c r="Z43" s="26"/>
      <c r="AA43" s="26"/>
      <c r="AB43" s="28"/>
      <c r="AC43" s="26"/>
      <c r="AD43" s="26"/>
      <c r="AE43" s="26"/>
      <c r="AF43" s="26"/>
      <c r="AG43" s="27"/>
    </row>
    <row r="44" spans="1:33" x14ac:dyDescent="0.25">
      <c r="A44" s="26" t="s">
        <v>275</v>
      </c>
      <c r="B44" s="70">
        <v>44.45</v>
      </c>
      <c r="C44" s="70" t="s">
        <v>205</v>
      </c>
      <c r="D44" s="70" t="s">
        <v>205</v>
      </c>
      <c r="E44" s="70">
        <v>3.2</v>
      </c>
      <c r="F44" s="70">
        <v>0.14000000000000001</v>
      </c>
      <c r="G44" s="70">
        <v>4.1500000000000004</v>
      </c>
      <c r="H44" s="70">
        <v>3.26</v>
      </c>
      <c r="I44" s="70">
        <v>8.8699999999999992</v>
      </c>
      <c r="J44" s="70">
        <v>8.8699999999999992</v>
      </c>
      <c r="K44" s="70">
        <v>3.99</v>
      </c>
      <c r="L44" s="70">
        <v>3.99</v>
      </c>
      <c r="M44" s="70">
        <v>1.46</v>
      </c>
      <c r="N44" s="70">
        <v>1.46</v>
      </c>
      <c r="O44" s="71">
        <v>5.46</v>
      </c>
      <c r="P44" s="71">
        <v>5.46</v>
      </c>
      <c r="Q44" s="70">
        <v>17.75</v>
      </c>
      <c r="R44" s="70">
        <v>7.98</v>
      </c>
      <c r="S44" s="26"/>
      <c r="T44" s="26"/>
      <c r="U44" s="26"/>
      <c r="V44" s="26"/>
      <c r="W44" s="26"/>
      <c r="X44" s="26"/>
      <c r="Y44" s="26"/>
      <c r="Z44" s="26"/>
      <c r="AA44" s="26"/>
      <c r="AB44" s="28"/>
      <c r="AC44" s="26"/>
      <c r="AD44" s="26"/>
      <c r="AE44" s="26"/>
      <c r="AF44" s="26"/>
      <c r="AG44" s="27"/>
    </row>
    <row r="45" spans="1:33" x14ac:dyDescent="0.25">
      <c r="A45" s="26" t="s">
        <v>276</v>
      </c>
      <c r="B45" s="70">
        <v>50.8</v>
      </c>
      <c r="C45" s="70" t="s">
        <v>205</v>
      </c>
      <c r="D45" s="70" t="s">
        <v>205</v>
      </c>
      <c r="E45" s="70">
        <v>0.9</v>
      </c>
      <c r="F45" s="70">
        <v>0.16</v>
      </c>
      <c r="G45" s="70">
        <v>1.41</v>
      </c>
      <c r="H45" s="70">
        <v>1.1100000000000001</v>
      </c>
      <c r="I45" s="70">
        <v>4.3899999999999997</v>
      </c>
      <c r="J45" s="70">
        <v>4.3899999999999997</v>
      </c>
      <c r="K45" s="70">
        <v>1.73</v>
      </c>
      <c r="L45" s="70">
        <v>1.73</v>
      </c>
      <c r="M45" s="70">
        <v>1.76</v>
      </c>
      <c r="N45" s="70">
        <v>1.76</v>
      </c>
      <c r="O45" s="71">
        <v>2.2400000000000002</v>
      </c>
      <c r="P45" s="71">
        <v>2.2400000000000002</v>
      </c>
      <c r="Q45" s="70">
        <v>8.7899999999999991</v>
      </c>
      <c r="R45" s="70">
        <v>3.52</v>
      </c>
      <c r="S45" s="26"/>
      <c r="T45" s="26"/>
      <c r="U45" s="26"/>
      <c r="V45" s="26"/>
      <c r="W45" s="26"/>
      <c r="X45" s="26"/>
      <c r="Y45" s="26"/>
      <c r="Z45" s="26"/>
      <c r="AA45" s="26"/>
      <c r="AB45" s="28"/>
      <c r="AC45" s="26"/>
      <c r="AD45" s="26"/>
      <c r="AE45" s="26"/>
      <c r="AF45" s="26"/>
      <c r="AG45" s="27"/>
    </row>
    <row r="46" spans="1:33" x14ac:dyDescent="0.25">
      <c r="A46" s="26" t="s">
        <v>277</v>
      </c>
      <c r="B46" s="70">
        <v>50.8</v>
      </c>
      <c r="C46" s="70" t="s">
        <v>205</v>
      </c>
      <c r="D46" s="70" t="s">
        <v>205</v>
      </c>
      <c r="E46" s="70">
        <v>1.25</v>
      </c>
      <c r="F46" s="70">
        <v>0.16</v>
      </c>
      <c r="G46" s="70">
        <v>1.95</v>
      </c>
      <c r="H46" s="70">
        <v>1.53</v>
      </c>
      <c r="I46" s="70">
        <v>5.98</v>
      </c>
      <c r="J46" s="70">
        <v>5.98</v>
      </c>
      <c r="K46" s="70">
        <v>2.35</v>
      </c>
      <c r="L46" s="70">
        <v>2.35</v>
      </c>
      <c r="M46" s="70">
        <v>1.75</v>
      </c>
      <c r="N46" s="70">
        <v>1.75</v>
      </c>
      <c r="O46" s="71">
        <v>3.07</v>
      </c>
      <c r="P46" s="71">
        <v>3.07</v>
      </c>
      <c r="Q46" s="74">
        <v>11.95</v>
      </c>
      <c r="R46" s="70">
        <v>4.82</v>
      </c>
      <c r="S46" s="26"/>
      <c r="T46" s="26"/>
      <c r="U46" s="26"/>
      <c r="V46" s="26"/>
      <c r="W46" s="26"/>
      <c r="X46" s="26"/>
      <c r="Y46" s="26"/>
      <c r="Z46" s="26"/>
      <c r="AA46" s="26"/>
      <c r="AB46" s="28"/>
      <c r="AC46" s="26"/>
      <c r="AD46" s="26"/>
      <c r="AE46" s="26"/>
      <c r="AF46" s="26"/>
      <c r="AG46" s="27"/>
    </row>
    <row r="47" spans="1:33" x14ac:dyDescent="0.25">
      <c r="A47" s="26" t="s">
        <v>278</v>
      </c>
      <c r="B47" s="70">
        <v>50.8</v>
      </c>
      <c r="C47" s="70" t="s">
        <v>205</v>
      </c>
      <c r="D47" s="70" t="s">
        <v>205</v>
      </c>
      <c r="E47" s="70">
        <v>1.6</v>
      </c>
      <c r="F47" s="70">
        <v>0.16</v>
      </c>
      <c r="G47" s="70">
        <v>2.4700000000000002</v>
      </c>
      <c r="H47" s="70">
        <v>1.94</v>
      </c>
      <c r="I47" s="70">
        <v>7.49</v>
      </c>
      <c r="J47" s="70">
        <v>7.49</v>
      </c>
      <c r="K47" s="70">
        <v>2.95</v>
      </c>
      <c r="L47" s="70">
        <v>2.95</v>
      </c>
      <c r="M47" s="70">
        <v>1.74</v>
      </c>
      <c r="N47" s="70">
        <v>1.74</v>
      </c>
      <c r="O47" s="71">
        <v>3.88</v>
      </c>
      <c r="P47" s="71">
        <v>3.88</v>
      </c>
      <c r="Q47" s="74">
        <v>14.98</v>
      </c>
      <c r="R47" s="70">
        <v>6.08</v>
      </c>
      <c r="S47" s="26"/>
      <c r="T47" s="26"/>
      <c r="U47" s="26"/>
      <c r="V47" s="26"/>
      <c r="W47" s="26"/>
      <c r="X47" s="26"/>
      <c r="Y47" s="26"/>
      <c r="Z47" s="26"/>
      <c r="AA47" s="26"/>
      <c r="AB47" s="28"/>
      <c r="AC47" s="26"/>
      <c r="AD47" s="26"/>
      <c r="AE47" s="26"/>
      <c r="AF47" s="26"/>
      <c r="AG47" s="27"/>
    </row>
    <row r="48" spans="1:33" x14ac:dyDescent="0.25">
      <c r="A48" s="26" t="s">
        <v>279</v>
      </c>
      <c r="B48" s="70">
        <v>50.8</v>
      </c>
      <c r="C48" s="70" t="s">
        <v>205</v>
      </c>
      <c r="D48" s="70" t="s">
        <v>205</v>
      </c>
      <c r="E48" s="70">
        <v>2</v>
      </c>
      <c r="F48" s="70">
        <v>0.16</v>
      </c>
      <c r="G48" s="70">
        <v>3.07</v>
      </c>
      <c r="H48" s="70">
        <v>2.41</v>
      </c>
      <c r="I48" s="70">
        <v>9.14</v>
      </c>
      <c r="J48" s="70">
        <v>9.14</v>
      </c>
      <c r="K48" s="70">
        <v>3.6</v>
      </c>
      <c r="L48" s="70">
        <v>3.6</v>
      </c>
      <c r="M48" s="70">
        <v>1.73</v>
      </c>
      <c r="N48" s="70">
        <v>1.73</v>
      </c>
      <c r="O48" s="71">
        <v>4.7699999999999996</v>
      </c>
      <c r="P48" s="71">
        <v>4.7699999999999996</v>
      </c>
      <c r="Q48" s="74">
        <v>18.29</v>
      </c>
      <c r="R48" s="70">
        <v>7.48</v>
      </c>
      <c r="S48" s="26"/>
      <c r="T48" s="26"/>
      <c r="U48" s="26"/>
      <c r="V48" s="26"/>
      <c r="W48" s="26"/>
      <c r="X48" s="26"/>
      <c r="Y48" s="26"/>
      <c r="Z48" s="26"/>
      <c r="AA48" s="26"/>
      <c r="AB48" s="28"/>
      <c r="AC48" s="26"/>
      <c r="AD48" s="26"/>
      <c r="AE48" s="26"/>
      <c r="AF48" s="26"/>
      <c r="AG48" s="27"/>
    </row>
    <row r="49" spans="1:33" x14ac:dyDescent="0.25">
      <c r="A49" s="26" t="s">
        <v>280</v>
      </c>
      <c r="B49" s="70">
        <v>50.8</v>
      </c>
      <c r="C49" s="70" t="s">
        <v>205</v>
      </c>
      <c r="D49" s="70" t="s">
        <v>205</v>
      </c>
      <c r="E49" s="70">
        <v>2.5</v>
      </c>
      <c r="F49" s="70">
        <v>0.16</v>
      </c>
      <c r="G49" s="70">
        <v>3.79</v>
      </c>
      <c r="H49" s="70">
        <v>2.98</v>
      </c>
      <c r="I49" s="70">
        <v>11.09</v>
      </c>
      <c r="J49" s="70">
        <v>11.09</v>
      </c>
      <c r="K49" s="70">
        <v>4.37</v>
      </c>
      <c r="L49" s="70">
        <v>4.37</v>
      </c>
      <c r="M49" s="70">
        <v>1.71</v>
      </c>
      <c r="N49" s="70">
        <v>1.71</v>
      </c>
      <c r="O49" s="71">
        <v>5.84</v>
      </c>
      <c r="P49" s="71">
        <v>5.84</v>
      </c>
      <c r="Q49" s="74">
        <v>22.18</v>
      </c>
      <c r="R49" s="70">
        <v>9.16</v>
      </c>
      <c r="S49" s="26"/>
      <c r="T49" s="26"/>
      <c r="U49" s="26"/>
      <c r="V49" s="26"/>
      <c r="W49" s="26"/>
      <c r="X49" s="26"/>
      <c r="Y49" s="26"/>
      <c r="Z49" s="26"/>
      <c r="AA49" s="26"/>
      <c r="AB49" s="28"/>
      <c r="AC49" s="26"/>
      <c r="AD49" s="26"/>
      <c r="AE49" s="26"/>
      <c r="AF49" s="26"/>
      <c r="AG49" s="27"/>
    </row>
    <row r="50" spans="1:33" x14ac:dyDescent="0.25">
      <c r="A50" s="26" t="s">
        <v>281</v>
      </c>
      <c r="B50" s="70">
        <v>50.8</v>
      </c>
      <c r="C50" s="70" t="s">
        <v>205</v>
      </c>
      <c r="D50" s="70" t="s">
        <v>205</v>
      </c>
      <c r="E50" s="70">
        <v>3.2</v>
      </c>
      <c r="F50" s="70">
        <v>0.16</v>
      </c>
      <c r="G50" s="70">
        <v>4.79</v>
      </c>
      <c r="H50" s="70">
        <v>3.76</v>
      </c>
      <c r="I50" s="70">
        <v>13.61</v>
      </c>
      <c r="J50" s="70">
        <v>13.61</v>
      </c>
      <c r="K50" s="70">
        <v>5.36</v>
      </c>
      <c r="L50" s="70">
        <v>5.36</v>
      </c>
      <c r="M50" s="70">
        <v>1.69</v>
      </c>
      <c r="N50" s="70">
        <v>1.69</v>
      </c>
      <c r="O50" s="71">
        <v>7.26</v>
      </c>
      <c r="P50" s="71">
        <v>7.26</v>
      </c>
      <c r="Q50" s="74">
        <v>27.23</v>
      </c>
      <c r="R50" s="70">
        <v>10.72</v>
      </c>
      <c r="S50" s="26"/>
      <c r="T50" s="26"/>
      <c r="U50" s="26"/>
      <c r="V50" s="26"/>
      <c r="W50" s="26"/>
      <c r="X50" s="26"/>
      <c r="Y50" s="26"/>
      <c r="Z50" s="26"/>
      <c r="AA50" s="26"/>
      <c r="AB50" s="28"/>
      <c r="AC50" s="26"/>
      <c r="AD50" s="26"/>
      <c r="AE50" s="26"/>
      <c r="AF50" s="26"/>
      <c r="AG50" s="27"/>
    </row>
    <row r="51" spans="1:33" x14ac:dyDescent="0.25">
      <c r="A51" s="26" t="s">
        <v>282</v>
      </c>
      <c r="B51" s="70">
        <v>57.15</v>
      </c>
      <c r="C51" s="70" t="s">
        <v>205</v>
      </c>
      <c r="D51" s="70" t="s">
        <v>205</v>
      </c>
      <c r="E51" s="70">
        <v>0.9</v>
      </c>
      <c r="F51" s="70">
        <v>0.18</v>
      </c>
      <c r="G51" s="70">
        <v>1.59</v>
      </c>
      <c r="H51" s="70">
        <v>1.25</v>
      </c>
      <c r="I51" s="70">
        <v>6.29</v>
      </c>
      <c r="J51" s="70">
        <v>6.29</v>
      </c>
      <c r="K51" s="70">
        <v>2.2000000000000002</v>
      </c>
      <c r="L51" s="70">
        <v>2.2000000000000002</v>
      </c>
      <c r="M51" s="70">
        <v>1.99</v>
      </c>
      <c r="N51" s="70">
        <v>1.99</v>
      </c>
      <c r="O51" s="71">
        <v>2.85</v>
      </c>
      <c r="P51" s="71">
        <v>2.85</v>
      </c>
      <c r="Q51" s="74">
        <v>12.58</v>
      </c>
      <c r="R51" s="70">
        <v>4.47</v>
      </c>
      <c r="S51" s="26"/>
      <c r="T51" s="26"/>
      <c r="U51" s="26"/>
      <c r="V51" s="26"/>
      <c r="W51" s="26"/>
      <c r="X51" s="26"/>
      <c r="Y51" s="26"/>
      <c r="Z51" s="26"/>
      <c r="AA51" s="26"/>
      <c r="AB51" s="28"/>
      <c r="AC51" s="26"/>
      <c r="AD51" s="26"/>
      <c r="AE51" s="26"/>
      <c r="AF51" s="26"/>
      <c r="AG51" s="27"/>
    </row>
    <row r="52" spans="1:33" x14ac:dyDescent="0.25">
      <c r="A52" s="26" t="s">
        <v>283</v>
      </c>
      <c r="B52" s="70">
        <v>57.15</v>
      </c>
      <c r="C52" s="70" t="s">
        <v>205</v>
      </c>
      <c r="D52" s="70" t="s">
        <v>205</v>
      </c>
      <c r="E52" s="70">
        <v>1.25</v>
      </c>
      <c r="F52" s="70">
        <v>0.18</v>
      </c>
      <c r="G52" s="70">
        <v>2.2000000000000002</v>
      </c>
      <c r="H52" s="70">
        <v>1.72</v>
      </c>
      <c r="I52" s="70">
        <v>8.58</v>
      </c>
      <c r="J52" s="70">
        <v>8.58</v>
      </c>
      <c r="K52" s="70">
        <v>3</v>
      </c>
      <c r="L52" s="70">
        <v>3</v>
      </c>
      <c r="M52" s="70">
        <v>1.98</v>
      </c>
      <c r="N52" s="70">
        <v>1.98</v>
      </c>
      <c r="O52" s="71">
        <v>3.91</v>
      </c>
      <c r="P52" s="71">
        <v>3.91</v>
      </c>
      <c r="Q52" s="74">
        <v>17.16</v>
      </c>
      <c r="R52" s="70">
        <v>6.13</v>
      </c>
      <c r="S52" s="26"/>
      <c r="T52" s="26"/>
      <c r="U52" s="26"/>
      <c r="V52" s="26"/>
      <c r="W52" s="26"/>
      <c r="X52" s="26"/>
      <c r="Y52" s="26"/>
      <c r="Z52" s="26"/>
      <c r="AA52" s="26"/>
      <c r="AB52" s="28"/>
      <c r="AC52" s="26"/>
      <c r="AD52" s="26"/>
      <c r="AE52" s="26"/>
      <c r="AF52" s="26"/>
      <c r="AG52" s="27"/>
    </row>
    <row r="53" spans="1:33" x14ac:dyDescent="0.25">
      <c r="A53" s="26" t="s">
        <v>284</v>
      </c>
      <c r="B53" s="70">
        <v>57.15</v>
      </c>
      <c r="C53" s="70" t="s">
        <v>205</v>
      </c>
      <c r="D53" s="70" t="s">
        <v>205</v>
      </c>
      <c r="E53" s="70">
        <v>1.6</v>
      </c>
      <c r="F53" s="70">
        <v>0.18</v>
      </c>
      <c r="G53" s="70">
        <v>2.79</v>
      </c>
      <c r="H53" s="70">
        <v>2.19</v>
      </c>
      <c r="I53" s="70">
        <v>10.78</v>
      </c>
      <c r="J53" s="70">
        <v>10.78</v>
      </c>
      <c r="K53" s="70">
        <v>3.77</v>
      </c>
      <c r="L53" s="70">
        <v>3.77</v>
      </c>
      <c r="M53" s="70">
        <v>1.96</v>
      </c>
      <c r="N53" s="70">
        <v>1.96</v>
      </c>
      <c r="O53" s="71">
        <v>4.9400000000000004</v>
      </c>
      <c r="P53" s="71">
        <v>4.9400000000000004</v>
      </c>
      <c r="Q53" s="74">
        <v>21.56</v>
      </c>
      <c r="R53" s="70">
        <v>7.75</v>
      </c>
      <c r="S53" s="26"/>
      <c r="T53" s="26"/>
      <c r="U53" s="26"/>
      <c r="V53" s="26"/>
      <c r="W53" s="26"/>
      <c r="X53" s="26"/>
      <c r="Y53" s="26"/>
      <c r="Z53" s="26"/>
      <c r="AA53" s="26"/>
      <c r="AB53" s="28"/>
      <c r="AC53" s="26"/>
      <c r="AD53" s="26"/>
      <c r="AE53" s="26"/>
      <c r="AF53" s="26"/>
      <c r="AG53" s="27"/>
    </row>
    <row r="54" spans="1:33" x14ac:dyDescent="0.25">
      <c r="A54" s="26" t="s">
        <v>285</v>
      </c>
      <c r="B54" s="70">
        <v>57.15</v>
      </c>
      <c r="C54" s="70" t="s">
        <v>205</v>
      </c>
      <c r="D54" s="70" t="s">
        <v>205</v>
      </c>
      <c r="E54" s="70">
        <v>2</v>
      </c>
      <c r="F54" s="70">
        <v>0.18</v>
      </c>
      <c r="G54" s="70">
        <v>3.47</v>
      </c>
      <c r="H54" s="70">
        <v>2.72</v>
      </c>
      <c r="I54" s="70">
        <v>13.19</v>
      </c>
      <c r="J54" s="70">
        <v>13.19</v>
      </c>
      <c r="K54" s="70">
        <v>4.62</v>
      </c>
      <c r="L54" s="70">
        <v>4.62</v>
      </c>
      <c r="M54" s="70">
        <v>1.95</v>
      </c>
      <c r="N54" s="70">
        <v>1.95</v>
      </c>
      <c r="O54" s="71">
        <v>6.09</v>
      </c>
      <c r="P54" s="71">
        <v>6.09</v>
      </c>
      <c r="Q54" s="74">
        <v>26.38</v>
      </c>
      <c r="R54" s="70">
        <v>9.5500000000000007</v>
      </c>
      <c r="S54" s="26"/>
      <c r="T54" s="26"/>
      <c r="U54" s="26"/>
      <c r="V54" s="26"/>
      <c r="W54" s="26"/>
      <c r="X54" s="26"/>
      <c r="Y54" s="26"/>
      <c r="Z54" s="26"/>
      <c r="AA54" s="26"/>
      <c r="AB54" s="28"/>
      <c r="AC54" s="26"/>
      <c r="AD54" s="26"/>
      <c r="AE54" s="26"/>
      <c r="AF54" s="26"/>
      <c r="AG54" s="27"/>
    </row>
    <row r="55" spans="1:33" x14ac:dyDescent="0.25">
      <c r="A55" s="26" t="s">
        <v>286</v>
      </c>
      <c r="B55" s="70">
        <v>57.15</v>
      </c>
      <c r="C55" s="70" t="s">
        <v>205</v>
      </c>
      <c r="D55" s="70" t="s">
        <v>205</v>
      </c>
      <c r="E55" s="70">
        <v>2.5</v>
      </c>
      <c r="F55" s="70">
        <v>0.18</v>
      </c>
      <c r="G55" s="70">
        <v>4.29</v>
      </c>
      <c r="H55" s="70">
        <v>3.37</v>
      </c>
      <c r="I55" s="70">
        <v>16.059999999999999</v>
      </c>
      <c r="J55" s="70">
        <v>16.059999999999999</v>
      </c>
      <c r="K55" s="70">
        <v>5.62</v>
      </c>
      <c r="L55" s="70">
        <v>5.62</v>
      </c>
      <c r="M55" s="70">
        <v>1.93</v>
      </c>
      <c r="N55" s="70">
        <v>1.93</v>
      </c>
      <c r="O55" s="71">
        <v>7.47</v>
      </c>
      <c r="P55" s="71">
        <v>7.47</v>
      </c>
      <c r="Q55" s="74">
        <v>32.11</v>
      </c>
      <c r="R55" s="70">
        <v>11.72</v>
      </c>
      <c r="S55" s="26"/>
      <c r="T55" s="26"/>
      <c r="U55" s="26"/>
      <c r="V55" s="26"/>
      <c r="W55" s="26"/>
      <c r="X55" s="26"/>
      <c r="Y55" s="26"/>
      <c r="Z55" s="26"/>
      <c r="AA55" s="26"/>
      <c r="AB55" s="28"/>
      <c r="AC55" s="26"/>
      <c r="AD55" s="26"/>
      <c r="AE55" s="26"/>
      <c r="AF55" s="26"/>
      <c r="AG55" s="27"/>
    </row>
    <row r="56" spans="1:33" x14ac:dyDescent="0.25">
      <c r="A56" s="26" t="s">
        <v>287</v>
      </c>
      <c r="B56" s="70">
        <v>57.15</v>
      </c>
      <c r="C56" s="70" t="s">
        <v>205</v>
      </c>
      <c r="D56" s="70" t="s">
        <v>205</v>
      </c>
      <c r="E56" s="70">
        <v>3.2</v>
      </c>
      <c r="F56" s="70">
        <v>0.18</v>
      </c>
      <c r="G56" s="70">
        <v>5.42</v>
      </c>
      <c r="H56" s="70">
        <v>4.26</v>
      </c>
      <c r="I56" s="70">
        <v>19.8</v>
      </c>
      <c r="J56" s="70">
        <v>19.8</v>
      </c>
      <c r="K56" s="70">
        <v>6.93</v>
      </c>
      <c r="L56" s="70">
        <v>6.93</v>
      </c>
      <c r="M56" s="70">
        <v>1.91</v>
      </c>
      <c r="N56" s="70">
        <v>1.91</v>
      </c>
      <c r="O56" s="71">
        <v>9.33</v>
      </c>
      <c r="P56" s="71">
        <v>9.33</v>
      </c>
      <c r="Q56" s="74">
        <v>39.6</v>
      </c>
      <c r="R56" s="70">
        <v>13.86</v>
      </c>
      <c r="S56" s="26"/>
      <c r="T56" s="26"/>
      <c r="U56" s="26"/>
      <c r="V56" s="26"/>
      <c r="W56" s="26"/>
      <c r="X56" s="26"/>
      <c r="Y56" s="26"/>
      <c r="Z56" s="26"/>
      <c r="AA56" s="26"/>
      <c r="AB56" s="28"/>
      <c r="AC56" s="26"/>
      <c r="AD56" s="26"/>
      <c r="AE56" s="26"/>
      <c r="AF56" s="26"/>
      <c r="AG56" s="27"/>
    </row>
    <row r="57" spans="1:33" x14ac:dyDescent="0.25">
      <c r="A57" s="26" t="s">
        <v>288</v>
      </c>
      <c r="B57" s="70">
        <v>63.5</v>
      </c>
      <c r="C57" s="70" t="s">
        <v>205</v>
      </c>
      <c r="D57" s="70" t="s">
        <v>205</v>
      </c>
      <c r="E57" s="70">
        <v>1.25</v>
      </c>
      <c r="F57" s="70">
        <v>0.2</v>
      </c>
      <c r="G57" s="70">
        <v>2.44</v>
      </c>
      <c r="H57" s="70">
        <v>1.92</v>
      </c>
      <c r="I57" s="70">
        <v>11.85</v>
      </c>
      <c r="J57" s="70">
        <v>11.85</v>
      </c>
      <c r="K57" s="70">
        <v>3.73</v>
      </c>
      <c r="L57" s="70">
        <v>3.73</v>
      </c>
      <c r="M57" s="70">
        <v>2.2000000000000002</v>
      </c>
      <c r="N57" s="70">
        <v>2.2000000000000002</v>
      </c>
      <c r="O57" s="71">
        <v>4.8499999999999996</v>
      </c>
      <c r="P57" s="71">
        <v>4.8499999999999996</v>
      </c>
      <c r="Q57" s="74">
        <v>23.69</v>
      </c>
      <c r="R57" s="70">
        <v>7.6</v>
      </c>
      <c r="S57" s="26"/>
      <c r="T57" s="26"/>
      <c r="U57" s="26"/>
      <c r="V57" s="26"/>
      <c r="W57" s="26"/>
      <c r="X57" s="26"/>
      <c r="Y57" s="26"/>
      <c r="Z57" s="26"/>
      <c r="AA57" s="26"/>
      <c r="AB57" s="28"/>
      <c r="AC57" s="26"/>
      <c r="AD57" s="26"/>
      <c r="AE57" s="26"/>
      <c r="AF57" s="26"/>
      <c r="AG57" s="27"/>
    </row>
    <row r="58" spans="1:33" x14ac:dyDescent="0.25">
      <c r="A58" s="26" t="s">
        <v>289</v>
      </c>
      <c r="B58" s="70">
        <v>63.5</v>
      </c>
      <c r="C58" s="70" t="s">
        <v>205</v>
      </c>
      <c r="D58" s="70" t="s">
        <v>205</v>
      </c>
      <c r="E58" s="70">
        <v>1.6</v>
      </c>
      <c r="F58" s="70">
        <v>0.2</v>
      </c>
      <c r="G58" s="70">
        <v>3.11</v>
      </c>
      <c r="H58" s="70">
        <v>2.44</v>
      </c>
      <c r="I58" s="70">
        <v>14.91</v>
      </c>
      <c r="J58" s="70">
        <v>14.91</v>
      </c>
      <c r="K58" s="70">
        <v>4.7</v>
      </c>
      <c r="L58" s="70">
        <v>4.7</v>
      </c>
      <c r="M58" s="70">
        <v>2.19</v>
      </c>
      <c r="N58" s="70">
        <v>2.19</v>
      </c>
      <c r="O58" s="71">
        <v>6.13</v>
      </c>
      <c r="P58" s="71">
        <v>6.13</v>
      </c>
      <c r="Q58" s="74">
        <v>29.82</v>
      </c>
      <c r="R58" s="70">
        <v>9.6300000000000008</v>
      </c>
      <c r="S58" s="26"/>
      <c r="T58" s="26"/>
      <c r="U58" s="26"/>
      <c r="V58" s="26"/>
      <c r="W58" s="26"/>
      <c r="X58" s="26"/>
      <c r="Y58" s="26"/>
      <c r="Z58" s="26"/>
      <c r="AA58" s="26"/>
      <c r="AB58" s="28"/>
      <c r="AC58" s="26"/>
      <c r="AD58" s="26"/>
      <c r="AE58" s="26"/>
      <c r="AF58" s="26"/>
      <c r="AG58" s="27"/>
    </row>
    <row r="59" spans="1:33" x14ac:dyDescent="0.25">
      <c r="A59" s="26" t="s">
        <v>290</v>
      </c>
      <c r="B59" s="70">
        <v>63.5</v>
      </c>
      <c r="C59" s="70" t="s">
        <v>205</v>
      </c>
      <c r="D59" s="70" t="s">
        <v>205</v>
      </c>
      <c r="E59" s="70">
        <v>2</v>
      </c>
      <c r="F59" s="70">
        <v>0.2</v>
      </c>
      <c r="G59" s="70">
        <v>3.86</v>
      </c>
      <c r="H59" s="70">
        <v>3.03</v>
      </c>
      <c r="I59" s="70">
        <v>18.29</v>
      </c>
      <c r="J59" s="70">
        <v>18.29</v>
      </c>
      <c r="K59" s="70">
        <v>5.76</v>
      </c>
      <c r="L59" s="70">
        <v>5.76</v>
      </c>
      <c r="M59" s="70">
        <v>2.1800000000000002</v>
      </c>
      <c r="N59" s="70">
        <v>2.1800000000000002</v>
      </c>
      <c r="O59" s="71">
        <v>7.57</v>
      </c>
      <c r="P59" s="71">
        <v>7.57</v>
      </c>
      <c r="Q59" s="74">
        <v>36.58</v>
      </c>
      <c r="R59" s="70">
        <v>11.88</v>
      </c>
      <c r="S59" s="26"/>
      <c r="T59" s="26"/>
      <c r="U59" s="26"/>
      <c r="V59" s="26"/>
      <c r="W59" s="26"/>
      <c r="X59" s="26"/>
      <c r="Y59" s="26"/>
      <c r="Z59" s="26"/>
      <c r="AA59" s="26"/>
      <c r="AB59" s="28"/>
      <c r="AC59" s="26"/>
      <c r="AD59" s="26"/>
      <c r="AE59" s="26"/>
      <c r="AF59" s="26"/>
      <c r="AG59" s="27"/>
    </row>
    <row r="60" spans="1:33" x14ac:dyDescent="0.25">
      <c r="A60" s="26" t="s">
        <v>291</v>
      </c>
      <c r="B60" s="70">
        <v>63.5</v>
      </c>
      <c r="C60" s="70" t="s">
        <v>205</v>
      </c>
      <c r="D60" s="70" t="s">
        <v>205</v>
      </c>
      <c r="E60" s="70">
        <v>2.5</v>
      </c>
      <c r="F60" s="70">
        <v>0.2</v>
      </c>
      <c r="G60" s="70">
        <v>4.79</v>
      </c>
      <c r="H60" s="70">
        <v>3.76</v>
      </c>
      <c r="I60" s="70">
        <v>22.32</v>
      </c>
      <c r="J60" s="70">
        <v>22.32</v>
      </c>
      <c r="K60" s="70">
        <v>7.03</v>
      </c>
      <c r="L60" s="70">
        <v>7.03</v>
      </c>
      <c r="M60" s="70">
        <v>2.16</v>
      </c>
      <c r="N60" s="70">
        <v>2.16</v>
      </c>
      <c r="O60" s="71">
        <v>9.31</v>
      </c>
      <c r="P60" s="71">
        <v>9.31</v>
      </c>
      <c r="Q60" s="74">
        <v>44.64</v>
      </c>
      <c r="R60" s="70">
        <v>14.6</v>
      </c>
      <c r="S60" s="26"/>
      <c r="T60" s="26"/>
      <c r="U60" s="26"/>
      <c r="V60" s="26"/>
      <c r="W60" s="26"/>
      <c r="X60" s="26"/>
      <c r="Y60" s="26"/>
      <c r="Z60" s="26"/>
      <c r="AA60" s="26"/>
      <c r="AB60" s="28"/>
      <c r="AC60" s="26"/>
      <c r="AD60" s="26"/>
      <c r="AE60" s="26"/>
      <c r="AF60" s="26"/>
      <c r="AG60" s="27"/>
    </row>
    <row r="61" spans="1:33" x14ac:dyDescent="0.25">
      <c r="A61" s="26" t="s">
        <v>292</v>
      </c>
      <c r="B61" s="70">
        <v>63.5</v>
      </c>
      <c r="C61" s="70" t="s">
        <v>205</v>
      </c>
      <c r="D61" s="70" t="s">
        <v>205</v>
      </c>
      <c r="E61" s="70">
        <v>3.2</v>
      </c>
      <c r="F61" s="70">
        <v>0.2</v>
      </c>
      <c r="G61" s="70">
        <v>6.06</v>
      </c>
      <c r="H61" s="70">
        <v>4.76</v>
      </c>
      <c r="I61" s="70">
        <v>27.63</v>
      </c>
      <c r="J61" s="70">
        <v>27.63</v>
      </c>
      <c r="K61" s="70">
        <v>8.6999999999999993</v>
      </c>
      <c r="L61" s="70">
        <v>8.6999999999999993</v>
      </c>
      <c r="M61" s="70">
        <v>2.13</v>
      </c>
      <c r="N61" s="70">
        <v>2.13</v>
      </c>
      <c r="O61" s="71">
        <v>11.65</v>
      </c>
      <c r="P61" s="71">
        <v>11.65</v>
      </c>
      <c r="Q61" s="74">
        <v>55.26</v>
      </c>
      <c r="R61" s="70">
        <v>17.399999999999999</v>
      </c>
      <c r="S61" s="26"/>
      <c r="T61" s="26"/>
      <c r="U61" s="26"/>
      <c r="V61" s="26"/>
      <c r="W61" s="26"/>
      <c r="X61" s="26"/>
      <c r="Y61" s="26"/>
      <c r="Z61" s="26"/>
      <c r="AA61" s="26"/>
      <c r="AB61" s="28"/>
      <c r="AC61" s="26"/>
      <c r="AD61" s="26"/>
      <c r="AE61" s="26"/>
      <c r="AF61" s="26"/>
      <c r="AG61" s="27"/>
    </row>
    <row r="62" spans="1:33" x14ac:dyDescent="0.25">
      <c r="A62" s="26" t="s">
        <v>293</v>
      </c>
      <c r="B62" s="70">
        <v>63.5</v>
      </c>
      <c r="C62" s="70" t="s">
        <v>205</v>
      </c>
      <c r="D62" s="70" t="s">
        <v>205</v>
      </c>
      <c r="E62" s="70">
        <v>4</v>
      </c>
      <c r="F62" s="70">
        <v>0.2</v>
      </c>
      <c r="G62" s="70">
        <v>7.48</v>
      </c>
      <c r="H62" s="70">
        <v>5.87</v>
      </c>
      <c r="I62" s="70">
        <v>33.24</v>
      </c>
      <c r="J62" s="70">
        <v>33.24</v>
      </c>
      <c r="K62" s="70">
        <v>10.47</v>
      </c>
      <c r="L62" s="70">
        <v>10.47</v>
      </c>
      <c r="M62" s="70">
        <v>2.11</v>
      </c>
      <c r="N62" s="70">
        <v>2.11</v>
      </c>
      <c r="O62" s="71">
        <v>14.19</v>
      </c>
      <c r="P62" s="71">
        <v>14.19</v>
      </c>
      <c r="Q62" s="74">
        <v>66.47</v>
      </c>
      <c r="R62" s="70">
        <v>20.94</v>
      </c>
      <c r="S62" s="26"/>
      <c r="T62" s="26"/>
      <c r="U62" s="26"/>
      <c r="V62" s="26"/>
      <c r="W62" s="26"/>
      <c r="X62" s="26"/>
      <c r="Y62" s="26"/>
      <c r="Z62" s="26"/>
      <c r="AA62" s="26"/>
      <c r="AB62" s="28"/>
      <c r="AC62" s="26"/>
      <c r="AD62" s="26"/>
      <c r="AE62" s="26"/>
      <c r="AF62" s="26"/>
      <c r="AG62" s="27"/>
    </row>
    <row r="63" spans="1:33" x14ac:dyDescent="0.25">
      <c r="A63" s="26" t="s">
        <v>294</v>
      </c>
      <c r="B63" s="70">
        <v>76.2</v>
      </c>
      <c r="C63" s="70" t="s">
        <v>205</v>
      </c>
      <c r="D63" s="70" t="s">
        <v>205</v>
      </c>
      <c r="E63" s="70">
        <v>1.6</v>
      </c>
      <c r="F63" s="70">
        <v>0.24</v>
      </c>
      <c r="G63" s="70">
        <v>3.75</v>
      </c>
      <c r="H63" s="70">
        <v>2.94</v>
      </c>
      <c r="I63" s="70">
        <v>26.1</v>
      </c>
      <c r="J63" s="70">
        <v>26.1</v>
      </c>
      <c r="K63" s="70">
        <v>6.85</v>
      </c>
      <c r="L63" s="70">
        <v>6.85</v>
      </c>
      <c r="M63" s="70">
        <v>2.64</v>
      </c>
      <c r="N63" s="70">
        <v>2.64</v>
      </c>
      <c r="O63" s="71">
        <v>8.91</v>
      </c>
      <c r="P63" s="71">
        <v>8.91</v>
      </c>
      <c r="Q63" s="74">
        <v>52.19</v>
      </c>
      <c r="R63" s="70">
        <v>13.98</v>
      </c>
      <c r="S63" s="26"/>
      <c r="T63" s="26"/>
      <c r="U63" s="26"/>
      <c r="V63" s="26"/>
      <c r="W63" s="26"/>
      <c r="X63" s="26"/>
      <c r="Y63" s="26"/>
      <c r="Z63" s="26"/>
      <c r="AA63" s="26"/>
      <c r="AB63" s="28"/>
      <c r="AC63" s="26"/>
      <c r="AD63" s="26"/>
      <c r="AE63" s="26"/>
      <c r="AF63" s="26"/>
      <c r="AG63" s="27"/>
    </row>
    <row r="64" spans="1:33" x14ac:dyDescent="0.25">
      <c r="A64" s="26" t="s">
        <v>295</v>
      </c>
      <c r="B64" s="70">
        <v>76.2</v>
      </c>
      <c r="C64" s="70" t="s">
        <v>205</v>
      </c>
      <c r="D64" s="70" t="s">
        <v>205</v>
      </c>
      <c r="E64" s="70">
        <v>2</v>
      </c>
      <c r="F64" s="70">
        <v>0.24</v>
      </c>
      <c r="G64" s="70">
        <v>4.66</v>
      </c>
      <c r="H64" s="70">
        <v>3.66</v>
      </c>
      <c r="I64" s="70">
        <v>32.11</v>
      </c>
      <c r="J64" s="70">
        <v>32.11</v>
      </c>
      <c r="K64" s="70">
        <v>8.43</v>
      </c>
      <c r="L64" s="70">
        <v>8.43</v>
      </c>
      <c r="M64" s="70">
        <v>2.62</v>
      </c>
      <c r="N64" s="70">
        <v>2.62</v>
      </c>
      <c r="O64" s="71">
        <v>11.02</v>
      </c>
      <c r="P64" s="71">
        <v>11.02</v>
      </c>
      <c r="Q64" s="74">
        <v>64.22</v>
      </c>
      <c r="R64" s="70">
        <v>17.29</v>
      </c>
      <c r="S64" s="26"/>
      <c r="T64" s="26"/>
      <c r="U64" s="26"/>
      <c r="V64" s="26"/>
      <c r="W64" s="26"/>
      <c r="X64" s="26"/>
      <c r="Y64" s="26"/>
      <c r="Z64" s="26"/>
      <c r="AA64" s="26"/>
      <c r="AB64" s="28"/>
      <c r="AC64" s="26"/>
      <c r="AD64" s="26"/>
      <c r="AE64" s="26"/>
      <c r="AF64" s="26"/>
      <c r="AG64" s="27"/>
    </row>
    <row r="65" spans="1:33" x14ac:dyDescent="0.25">
      <c r="A65" s="26" t="s">
        <v>296</v>
      </c>
      <c r="B65" s="70">
        <v>76.2</v>
      </c>
      <c r="C65" s="70" t="s">
        <v>205</v>
      </c>
      <c r="D65" s="70" t="s">
        <v>205</v>
      </c>
      <c r="E65" s="70">
        <v>2.5</v>
      </c>
      <c r="F65" s="70">
        <v>0.24</v>
      </c>
      <c r="G65" s="70">
        <v>5.79</v>
      </c>
      <c r="H65" s="70">
        <v>4.54</v>
      </c>
      <c r="I65" s="70">
        <v>39.35</v>
      </c>
      <c r="J65" s="70">
        <v>39.35</v>
      </c>
      <c r="K65" s="70">
        <v>10.33</v>
      </c>
      <c r="L65" s="70">
        <v>10.33</v>
      </c>
      <c r="M65" s="70">
        <v>2.61</v>
      </c>
      <c r="N65" s="70">
        <v>2.61</v>
      </c>
      <c r="O65" s="71">
        <v>13.59</v>
      </c>
      <c r="P65" s="71">
        <v>13.59</v>
      </c>
      <c r="Q65" s="74">
        <v>78.69</v>
      </c>
      <c r="R65" s="70">
        <v>21.32</v>
      </c>
      <c r="S65" s="26"/>
      <c r="T65" s="26"/>
      <c r="U65" s="26"/>
      <c r="V65" s="26"/>
      <c r="W65" s="26"/>
      <c r="X65" s="26"/>
      <c r="Y65" s="26"/>
      <c r="Z65" s="26"/>
      <c r="AA65" s="26"/>
      <c r="AB65" s="28"/>
      <c r="AC65" s="26"/>
      <c r="AD65" s="26"/>
      <c r="AE65" s="26"/>
      <c r="AF65" s="26"/>
      <c r="AG65" s="27"/>
    </row>
    <row r="66" spans="1:33" x14ac:dyDescent="0.25">
      <c r="A66" s="26" t="s">
        <v>297</v>
      </c>
      <c r="B66" s="70">
        <v>76.2</v>
      </c>
      <c r="C66" s="70" t="s">
        <v>205</v>
      </c>
      <c r="D66" s="70" t="s">
        <v>205</v>
      </c>
      <c r="E66" s="70">
        <v>3.2</v>
      </c>
      <c r="F66" s="70">
        <v>0.24</v>
      </c>
      <c r="G66" s="70">
        <v>7.34</v>
      </c>
      <c r="H66" s="70">
        <v>5.76</v>
      </c>
      <c r="I66" s="70">
        <v>48.98</v>
      </c>
      <c r="J66" s="70">
        <v>48.98</v>
      </c>
      <c r="K66" s="70">
        <v>12.86</v>
      </c>
      <c r="L66" s="70">
        <v>12.86</v>
      </c>
      <c r="M66" s="70">
        <v>2.58</v>
      </c>
      <c r="N66" s="70">
        <v>2.58</v>
      </c>
      <c r="O66" s="71">
        <v>17.07</v>
      </c>
      <c r="P66" s="71">
        <v>17.07</v>
      </c>
      <c r="Q66" s="74">
        <v>97.96</v>
      </c>
      <c r="R66" s="70">
        <v>26.77</v>
      </c>
      <c r="S66" s="26"/>
      <c r="T66" s="26"/>
      <c r="U66" s="26"/>
      <c r="V66" s="26"/>
      <c r="W66" s="26"/>
      <c r="X66" s="26"/>
      <c r="Y66" s="26"/>
      <c r="Z66" s="26"/>
      <c r="AA66" s="26"/>
      <c r="AB66" s="28"/>
      <c r="AC66" s="26"/>
      <c r="AD66" s="26"/>
      <c r="AE66" s="26"/>
      <c r="AF66" s="26"/>
      <c r="AG66" s="27"/>
    </row>
    <row r="67" spans="1:33" x14ac:dyDescent="0.25">
      <c r="A67" s="26" t="s">
        <v>298</v>
      </c>
      <c r="B67" s="70">
        <v>76.2</v>
      </c>
      <c r="C67" s="70" t="s">
        <v>205</v>
      </c>
      <c r="D67" s="70" t="s">
        <v>205</v>
      </c>
      <c r="E67" s="70">
        <v>4</v>
      </c>
      <c r="F67" s="70">
        <v>0.24</v>
      </c>
      <c r="G67" s="70">
        <v>9.07</v>
      </c>
      <c r="H67" s="70">
        <v>7.12</v>
      </c>
      <c r="I67" s="70">
        <v>59.3</v>
      </c>
      <c r="J67" s="70">
        <v>59.3</v>
      </c>
      <c r="K67" s="70">
        <v>15.56</v>
      </c>
      <c r="L67" s="70">
        <v>15.56</v>
      </c>
      <c r="M67" s="70">
        <v>2.56</v>
      </c>
      <c r="N67" s="70">
        <v>2.56</v>
      </c>
      <c r="O67" s="71">
        <v>20.88</v>
      </c>
      <c r="P67" s="71">
        <v>20.88</v>
      </c>
      <c r="Q67" s="74">
        <v>118.6</v>
      </c>
      <c r="R67" s="70">
        <v>31.13</v>
      </c>
      <c r="S67" s="26"/>
      <c r="T67" s="26"/>
      <c r="U67" s="26"/>
      <c r="V67" s="26"/>
      <c r="W67" s="26"/>
      <c r="X67" s="26"/>
      <c r="Y67" s="26"/>
      <c r="Z67" s="26"/>
      <c r="AA67" s="26"/>
      <c r="AB67" s="28"/>
      <c r="AC67" s="26"/>
      <c r="AD67" s="26"/>
      <c r="AE67" s="26"/>
      <c r="AF67" s="26"/>
      <c r="AG67" s="27"/>
    </row>
    <row r="68" spans="1:33" x14ac:dyDescent="0.25">
      <c r="A68" s="26" t="s">
        <v>299</v>
      </c>
      <c r="B68" s="70">
        <v>76.2</v>
      </c>
      <c r="C68" s="70" t="s">
        <v>205</v>
      </c>
      <c r="D68" s="70" t="s">
        <v>205</v>
      </c>
      <c r="E68" s="70">
        <v>4.76</v>
      </c>
      <c r="F68" s="70">
        <v>0.24</v>
      </c>
      <c r="G68" s="70">
        <v>10.68</v>
      </c>
      <c r="H68" s="70">
        <v>8.39</v>
      </c>
      <c r="I68" s="70">
        <v>68.459999999999994</v>
      </c>
      <c r="J68" s="70">
        <v>68.459999999999994</v>
      </c>
      <c r="K68" s="70">
        <v>17.97</v>
      </c>
      <c r="L68" s="70">
        <v>17.97</v>
      </c>
      <c r="M68" s="70">
        <v>2.5299999999999998</v>
      </c>
      <c r="N68" s="70">
        <v>2.5299999999999998</v>
      </c>
      <c r="O68" s="71">
        <v>24.33</v>
      </c>
      <c r="P68" s="71">
        <v>24.33</v>
      </c>
      <c r="Q68" s="74">
        <v>136.91</v>
      </c>
      <c r="R68" s="70">
        <v>35.93</v>
      </c>
      <c r="S68" s="26"/>
      <c r="T68" s="26"/>
      <c r="U68" s="26"/>
      <c r="V68" s="26"/>
      <c r="W68" s="26"/>
      <c r="X68" s="26"/>
      <c r="Y68" s="26"/>
      <c r="Z68" s="26"/>
      <c r="AA68" s="26"/>
      <c r="AB68" s="28"/>
      <c r="AC68" s="26"/>
      <c r="AD68" s="26"/>
      <c r="AE68" s="26"/>
      <c r="AF68" s="26"/>
      <c r="AG68" s="27"/>
    </row>
    <row r="69" spans="1:33" x14ac:dyDescent="0.25">
      <c r="A69" s="26" t="s">
        <v>300</v>
      </c>
      <c r="B69" s="70">
        <v>88.9</v>
      </c>
      <c r="C69" s="70" t="s">
        <v>205</v>
      </c>
      <c r="D69" s="70" t="s">
        <v>205</v>
      </c>
      <c r="E69" s="70">
        <v>2.5</v>
      </c>
      <c r="F69" s="70">
        <v>0.28000000000000003</v>
      </c>
      <c r="G69" s="70">
        <v>6.79</v>
      </c>
      <c r="H69" s="70">
        <v>5.33</v>
      </c>
      <c r="I69" s="70">
        <v>63.37</v>
      </c>
      <c r="J69" s="70">
        <v>63.37</v>
      </c>
      <c r="K69" s="70">
        <v>14.26</v>
      </c>
      <c r="L69" s="70">
        <v>14.26</v>
      </c>
      <c r="M69" s="70">
        <v>3.06</v>
      </c>
      <c r="N69" s="70">
        <v>3.06</v>
      </c>
      <c r="O69" s="71">
        <v>18.670000000000002</v>
      </c>
      <c r="P69" s="71">
        <v>18.670000000000002</v>
      </c>
      <c r="Q69" s="74">
        <v>126.75</v>
      </c>
      <c r="R69" s="70">
        <v>29.3</v>
      </c>
      <c r="S69" s="26"/>
      <c r="T69" s="26"/>
      <c r="U69" s="26"/>
      <c r="V69" s="26"/>
      <c r="W69" s="26"/>
      <c r="X69" s="26"/>
      <c r="Y69" s="26"/>
      <c r="Z69" s="26"/>
      <c r="AA69" s="26"/>
      <c r="AB69" s="28"/>
      <c r="AC69" s="26"/>
      <c r="AD69" s="26"/>
      <c r="AE69" s="26"/>
      <c r="AF69" s="26"/>
      <c r="AG69" s="27"/>
    </row>
    <row r="70" spans="1:33" x14ac:dyDescent="0.25">
      <c r="A70" s="26" t="s">
        <v>301</v>
      </c>
      <c r="B70" s="70">
        <v>88.9</v>
      </c>
      <c r="C70" s="70" t="s">
        <v>205</v>
      </c>
      <c r="D70" s="70" t="s">
        <v>205</v>
      </c>
      <c r="E70" s="70">
        <v>3.2</v>
      </c>
      <c r="F70" s="70">
        <v>0.28000000000000003</v>
      </c>
      <c r="G70" s="70">
        <v>8.6199999999999992</v>
      </c>
      <c r="H70" s="70">
        <v>6.76</v>
      </c>
      <c r="I70" s="70">
        <v>79.209999999999994</v>
      </c>
      <c r="J70" s="70">
        <v>79.209999999999994</v>
      </c>
      <c r="K70" s="70">
        <v>17.82</v>
      </c>
      <c r="L70" s="70">
        <v>17.82</v>
      </c>
      <c r="M70" s="70">
        <v>3.03</v>
      </c>
      <c r="N70" s="70">
        <v>3.03</v>
      </c>
      <c r="O70" s="71">
        <v>23.52</v>
      </c>
      <c r="P70" s="71">
        <v>23.52</v>
      </c>
      <c r="Q70" s="74">
        <v>158.41</v>
      </c>
      <c r="R70" s="70">
        <v>36.9</v>
      </c>
      <c r="S70" s="26"/>
      <c r="T70" s="26"/>
      <c r="U70" s="26"/>
      <c r="V70" s="26"/>
      <c r="W70" s="26"/>
      <c r="X70" s="26"/>
      <c r="Y70" s="26"/>
      <c r="Z70" s="26"/>
      <c r="AA70" s="26"/>
      <c r="AB70" s="28"/>
      <c r="AC70" s="26"/>
      <c r="AD70" s="26"/>
      <c r="AE70" s="26"/>
      <c r="AF70" s="26"/>
      <c r="AG70" s="27"/>
    </row>
    <row r="71" spans="1:33" x14ac:dyDescent="0.25">
      <c r="A71" s="26" t="s">
        <v>302</v>
      </c>
      <c r="B71" s="70">
        <v>88.9</v>
      </c>
      <c r="C71" s="70" t="s">
        <v>205</v>
      </c>
      <c r="D71" s="70" t="s">
        <v>205</v>
      </c>
      <c r="E71" s="70">
        <v>4</v>
      </c>
      <c r="F71" s="70">
        <v>0.28000000000000003</v>
      </c>
      <c r="G71" s="70">
        <v>10.67</v>
      </c>
      <c r="H71" s="70">
        <v>8.3800000000000008</v>
      </c>
      <c r="I71" s="70">
        <v>96.34</v>
      </c>
      <c r="J71" s="70">
        <v>96.34</v>
      </c>
      <c r="K71" s="70">
        <v>21.67</v>
      </c>
      <c r="L71" s="70">
        <v>21.67</v>
      </c>
      <c r="M71" s="70">
        <v>3</v>
      </c>
      <c r="N71" s="70">
        <v>3</v>
      </c>
      <c r="O71" s="71">
        <v>28.86</v>
      </c>
      <c r="P71" s="71">
        <v>28.86</v>
      </c>
      <c r="Q71" s="74">
        <v>192.68</v>
      </c>
      <c r="R71" s="70">
        <v>45.27</v>
      </c>
      <c r="S71" s="26"/>
      <c r="T71" s="26"/>
      <c r="U71" s="26"/>
      <c r="V71" s="26"/>
      <c r="W71" s="26"/>
      <c r="X71" s="26"/>
      <c r="Y71" s="26"/>
      <c r="Z71" s="26"/>
      <c r="AA71" s="26"/>
      <c r="AB71" s="28"/>
      <c r="AC71" s="26"/>
      <c r="AD71" s="26"/>
      <c r="AE71" s="26"/>
      <c r="AF71" s="26"/>
      <c r="AG71" s="27"/>
    </row>
    <row r="72" spans="1:33" x14ac:dyDescent="0.25">
      <c r="A72" s="26" t="s">
        <v>303</v>
      </c>
      <c r="B72" s="70">
        <v>88.9</v>
      </c>
      <c r="C72" s="70" t="s">
        <v>205</v>
      </c>
      <c r="D72" s="70" t="s">
        <v>205</v>
      </c>
      <c r="E72" s="70">
        <v>4.76</v>
      </c>
      <c r="F72" s="70">
        <v>0.28000000000000003</v>
      </c>
      <c r="G72" s="70">
        <v>12.58</v>
      </c>
      <c r="H72" s="70">
        <v>9.8800000000000008</v>
      </c>
      <c r="I72" s="70">
        <v>111.7</v>
      </c>
      <c r="J72" s="70">
        <v>111.7</v>
      </c>
      <c r="K72" s="70">
        <v>25.13</v>
      </c>
      <c r="L72" s="70">
        <v>25.13</v>
      </c>
      <c r="M72" s="70">
        <v>2.98</v>
      </c>
      <c r="N72" s="70">
        <v>2.98</v>
      </c>
      <c r="O72" s="75">
        <v>33.74</v>
      </c>
      <c r="P72" s="75">
        <v>33.74</v>
      </c>
      <c r="Q72" s="70">
        <v>223.4</v>
      </c>
      <c r="R72" s="71">
        <v>50.26</v>
      </c>
      <c r="S72" s="26"/>
      <c r="T72" s="26"/>
      <c r="U72" s="26"/>
      <c r="V72" s="26"/>
      <c r="W72" s="26"/>
      <c r="X72" s="26"/>
      <c r="Y72" s="26"/>
      <c r="Z72" s="26"/>
      <c r="AA72" s="26"/>
      <c r="AB72" s="28"/>
      <c r="AC72" s="26"/>
      <c r="AD72" s="26"/>
      <c r="AE72" s="26"/>
      <c r="AF72" s="26"/>
      <c r="AG72" s="27"/>
    </row>
    <row r="73" spans="1:33" x14ac:dyDescent="0.25">
      <c r="A73" s="26" t="s">
        <v>304</v>
      </c>
      <c r="B73" s="70">
        <v>88.9</v>
      </c>
      <c r="C73" s="70" t="s">
        <v>205</v>
      </c>
      <c r="D73" s="70" t="s">
        <v>205</v>
      </c>
      <c r="E73" s="70">
        <v>5.5</v>
      </c>
      <c r="F73" s="70">
        <v>0.28000000000000003</v>
      </c>
      <c r="G73" s="70">
        <v>14.41</v>
      </c>
      <c r="H73" s="70">
        <v>11.31</v>
      </c>
      <c r="I73" s="70">
        <v>125.84</v>
      </c>
      <c r="J73" s="70">
        <v>125.84</v>
      </c>
      <c r="K73" s="70">
        <v>28.31</v>
      </c>
      <c r="L73" s="70">
        <v>28.31</v>
      </c>
      <c r="M73" s="70">
        <v>2.96</v>
      </c>
      <c r="N73" s="70">
        <v>2.96</v>
      </c>
      <c r="O73" s="75">
        <v>38.32</v>
      </c>
      <c r="P73" s="75">
        <v>38.32</v>
      </c>
      <c r="Q73" s="70">
        <v>251.67</v>
      </c>
      <c r="R73" s="71">
        <v>56.62</v>
      </c>
      <c r="S73" s="26"/>
      <c r="T73" s="26"/>
      <c r="U73" s="26"/>
      <c r="V73" s="26"/>
      <c r="W73" s="26"/>
      <c r="X73" s="26"/>
      <c r="Y73" s="26"/>
      <c r="Z73" s="26"/>
      <c r="AA73" s="26"/>
      <c r="AB73" s="28"/>
      <c r="AC73" s="26"/>
      <c r="AD73" s="26"/>
      <c r="AE73" s="26"/>
      <c r="AF73" s="26"/>
      <c r="AG73" s="27"/>
    </row>
    <row r="74" spans="1:33" x14ac:dyDescent="0.25">
      <c r="A74" s="26" t="s">
        <v>305</v>
      </c>
      <c r="B74" s="70">
        <v>88.9</v>
      </c>
      <c r="C74" s="70" t="s">
        <v>205</v>
      </c>
      <c r="D74" s="70" t="s">
        <v>205</v>
      </c>
      <c r="E74" s="70">
        <v>6.35</v>
      </c>
      <c r="F74" s="70">
        <v>0.28000000000000003</v>
      </c>
      <c r="G74" s="70">
        <v>16.47</v>
      </c>
      <c r="H74" s="70">
        <v>12.93</v>
      </c>
      <c r="I74" s="70">
        <v>141.11000000000001</v>
      </c>
      <c r="J74" s="70">
        <v>141.11000000000001</v>
      </c>
      <c r="K74" s="70">
        <v>31.74</v>
      </c>
      <c r="L74" s="70">
        <v>31.74</v>
      </c>
      <c r="M74" s="70">
        <v>2.93</v>
      </c>
      <c r="N74" s="70">
        <v>2.93</v>
      </c>
      <c r="O74" s="75">
        <v>43.37</v>
      </c>
      <c r="P74" s="75">
        <v>43.37</v>
      </c>
      <c r="Q74" s="70">
        <v>282.20999999999998</v>
      </c>
      <c r="R74" s="71">
        <v>63.49</v>
      </c>
      <c r="S74" s="26"/>
      <c r="T74" s="26"/>
      <c r="U74" s="26"/>
      <c r="V74" s="26"/>
      <c r="W74" s="26"/>
      <c r="X74" s="26"/>
      <c r="Y74" s="26"/>
      <c r="Z74" s="26"/>
      <c r="AA74" s="26"/>
      <c r="AB74" s="28"/>
      <c r="AC74" s="26"/>
      <c r="AD74" s="26"/>
      <c r="AE74" s="26"/>
      <c r="AF74" s="26"/>
      <c r="AG74" s="27"/>
    </row>
    <row r="75" spans="1:33" x14ac:dyDescent="0.25">
      <c r="A75" s="26" t="s">
        <v>306</v>
      </c>
      <c r="B75" s="70">
        <v>101.6</v>
      </c>
      <c r="C75" s="70" t="s">
        <v>205</v>
      </c>
      <c r="D75" s="70" t="s">
        <v>205</v>
      </c>
      <c r="E75" s="70">
        <v>2</v>
      </c>
      <c r="F75" s="70">
        <v>0.32</v>
      </c>
      <c r="G75" s="70">
        <v>6.26</v>
      </c>
      <c r="H75" s="70">
        <v>4.91</v>
      </c>
      <c r="I75" s="70">
        <v>77.63</v>
      </c>
      <c r="J75" s="70">
        <v>77.63</v>
      </c>
      <c r="K75" s="70">
        <v>15.28</v>
      </c>
      <c r="L75" s="70">
        <v>15.28</v>
      </c>
      <c r="M75" s="70">
        <v>3.52</v>
      </c>
      <c r="N75" s="70">
        <v>3.52</v>
      </c>
      <c r="O75" s="75">
        <v>19.850000000000001</v>
      </c>
      <c r="P75" s="75">
        <v>19.850000000000001</v>
      </c>
      <c r="Q75" s="70">
        <v>155.26</v>
      </c>
      <c r="R75" s="71">
        <v>31.15</v>
      </c>
      <c r="S75" s="26"/>
      <c r="T75" s="26"/>
      <c r="U75" s="26"/>
      <c r="V75" s="26"/>
      <c r="W75" s="26"/>
      <c r="X75" s="26"/>
      <c r="Y75" s="26"/>
      <c r="Z75" s="26"/>
      <c r="AA75" s="26"/>
      <c r="AB75" s="28"/>
      <c r="AC75" s="26"/>
      <c r="AD75" s="26"/>
      <c r="AE75" s="26"/>
      <c r="AF75" s="26"/>
      <c r="AG75" s="27"/>
    </row>
    <row r="76" spans="1:33" x14ac:dyDescent="0.25">
      <c r="A76" s="26" t="s">
        <v>307</v>
      </c>
      <c r="B76" s="70">
        <v>101.6</v>
      </c>
      <c r="C76" s="70" t="s">
        <v>205</v>
      </c>
      <c r="D76" s="70" t="s">
        <v>205</v>
      </c>
      <c r="E76" s="70">
        <v>2.5</v>
      </c>
      <c r="F76" s="70">
        <v>0.32</v>
      </c>
      <c r="G76" s="70">
        <v>7.78</v>
      </c>
      <c r="H76" s="70">
        <v>6.11</v>
      </c>
      <c r="I76" s="70">
        <v>95.61</v>
      </c>
      <c r="J76" s="70">
        <v>95.61</v>
      </c>
      <c r="K76" s="70">
        <v>18.82</v>
      </c>
      <c r="L76" s="70">
        <v>18.82</v>
      </c>
      <c r="M76" s="70">
        <v>3.5</v>
      </c>
      <c r="N76" s="70">
        <v>3.5</v>
      </c>
      <c r="O76" s="75">
        <v>24.56</v>
      </c>
      <c r="P76" s="75">
        <v>24.56</v>
      </c>
      <c r="Q76" s="70">
        <v>191.22</v>
      </c>
      <c r="R76" s="71">
        <v>38.549999999999997</v>
      </c>
      <c r="S76" s="26"/>
      <c r="T76" s="26"/>
      <c r="U76" s="26"/>
      <c r="V76" s="26"/>
      <c r="W76" s="26"/>
      <c r="X76" s="26"/>
      <c r="Y76" s="26"/>
      <c r="Z76" s="26"/>
      <c r="AA76" s="26"/>
      <c r="AB76" s="28"/>
      <c r="AC76" s="26"/>
      <c r="AD76" s="26"/>
      <c r="AE76" s="26"/>
      <c r="AF76" s="26"/>
      <c r="AG76" s="27"/>
    </row>
    <row r="77" spans="1:33" x14ac:dyDescent="0.25">
      <c r="A77" s="26" t="s">
        <v>308</v>
      </c>
      <c r="B77" s="70">
        <v>101.6</v>
      </c>
      <c r="C77" s="70" t="s">
        <v>205</v>
      </c>
      <c r="D77" s="70" t="s">
        <v>205</v>
      </c>
      <c r="E77" s="70">
        <v>3.2</v>
      </c>
      <c r="F77" s="70">
        <v>0.32</v>
      </c>
      <c r="G77" s="70">
        <v>9.89</v>
      </c>
      <c r="H77" s="70">
        <v>7.77</v>
      </c>
      <c r="I77" s="70">
        <v>119.85</v>
      </c>
      <c r="J77" s="70">
        <v>119.85</v>
      </c>
      <c r="K77" s="70">
        <v>23.59</v>
      </c>
      <c r="L77" s="70">
        <v>23.59</v>
      </c>
      <c r="M77" s="70">
        <v>3.48</v>
      </c>
      <c r="N77" s="70">
        <v>3.48</v>
      </c>
      <c r="O77" s="75">
        <v>31</v>
      </c>
      <c r="P77" s="75">
        <v>31</v>
      </c>
      <c r="Q77" s="70">
        <v>239.71</v>
      </c>
      <c r="R77" s="71">
        <v>48.65</v>
      </c>
      <c r="S77" s="26"/>
      <c r="T77" s="26"/>
      <c r="U77" s="26"/>
      <c r="V77" s="26"/>
      <c r="W77" s="26"/>
      <c r="X77" s="26"/>
      <c r="Y77" s="26"/>
      <c r="Z77" s="26"/>
      <c r="AA77" s="26"/>
      <c r="AB77" s="28"/>
      <c r="AC77" s="26"/>
      <c r="AD77" s="26"/>
      <c r="AE77" s="26"/>
      <c r="AF77" s="26"/>
      <c r="AG77" s="27"/>
    </row>
    <row r="78" spans="1:33" x14ac:dyDescent="0.25">
      <c r="A78" s="26" t="s">
        <v>309</v>
      </c>
      <c r="B78" s="70">
        <v>101.6</v>
      </c>
      <c r="C78" s="70" t="s">
        <v>205</v>
      </c>
      <c r="D78" s="70" t="s">
        <v>205</v>
      </c>
      <c r="E78" s="70">
        <v>4</v>
      </c>
      <c r="F78" s="70">
        <v>0.32</v>
      </c>
      <c r="G78" s="70">
        <v>12.26</v>
      </c>
      <c r="H78" s="70">
        <v>9.6300000000000008</v>
      </c>
      <c r="I78" s="70">
        <v>146.28</v>
      </c>
      <c r="J78" s="70">
        <v>146.28</v>
      </c>
      <c r="K78" s="70">
        <v>28.8</v>
      </c>
      <c r="L78" s="70">
        <v>28.8</v>
      </c>
      <c r="M78" s="70">
        <v>3.45</v>
      </c>
      <c r="N78" s="70">
        <v>3.45</v>
      </c>
      <c r="O78" s="75">
        <v>38.130000000000003</v>
      </c>
      <c r="P78" s="75">
        <v>38.130000000000003</v>
      </c>
      <c r="Q78" s="70">
        <v>292.57</v>
      </c>
      <c r="R78" s="71">
        <v>59.82</v>
      </c>
      <c r="S78" s="26"/>
      <c r="T78" s="26"/>
      <c r="U78" s="26"/>
      <c r="V78" s="26"/>
      <c r="W78" s="26"/>
      <c r="X78" s="26"/>
      <c r="Y78" s="26"/>
      <c r="Z78" s="26"/>
      <c r="AA78" s="26"/>
      <c r="AB78" s="28"/>
      <c r="AC78" s="26"/>
      <c r="AD78" s="26"/>
      <c r="AE78" s="26"/>
      <c r="AF78" s="26"/>
      <c r="AG78" s="27"/>
    </row>
    <row r="79" spans="1:33" x14ac:dyDescent="0.25">
      <c r="A79" s="26" t="s">
        <v>310</v>
      </c>
      <c r="B79" s="70">
        <v>101.6</v>
      </c>
      <c r="C79" s="70" t="s">
        <v>205</v>
      </c>
      <c r="D79" s="70" t="s">
        <v>205</v>
      </c>
      <c r="E79" s="70">
        <v>4.76</v>
      </c>
      <c r="F79" s="70">
        <v>0.32</v>
      </c>
      <c r="G79" s="70">
        <v>14.48</v>
      </c>
      <c r="H79" s="70">
        <v>11.37</v>
      </c>
      <c r="I79" s="70">
        <v>170.17</v>
      </c>
      <c r="J79" s="70">
        <v>170.17</v>
      </c>
      <c r="K79" s="70">
        <v>33.5</v>
      </c>
      <c r="L79" s="70">
        <v>33.5</v>
      </c>
      <c r="M79" s="70">
        <v>3.43</v>
      </c>
      <c r="N79" s="70">
        <v>3.43</v>
      </c>
      <c r="O79" s="75">
        <v>44.68</v>
      </c>
      <c r="P79" s="75">
        <v>44.68</v>
      </c>
      <c r="Q79" s="70">
        <v>340.33</v>
      </c>
      <c r="R79" s="71">
        <v>70.08</v>
      </c>
      <c r="S79" s="26"/>
      <c r="T79" s="26"/>
      <c r="U79" s="26"/>
      <c r="V79" s="26"/>
      <c r="W79" s="26"/>
      <c r="X79" s="26"/>
      <c r="Y79" s="26"/>
      <c r="Z79" s="26"/>
      <c r="AA79" s="26"/>
      <c r="AB79" s="28"/>
      <c r="AC79" s="26"/>
      <c r="AD79" s="26"/>
      <c r="AE79" s="26"/>
      <c r="AF79" s="26"/>
      <c r="AG79" s="27"/>
    </row>
    <row r="80" spans="1:33" x14ac:dyDescent="0.25">
      <c r="A80" s="26" t="s">
        <v>311</v>
      </c>
      <c r="B80" s="70">
        <v>101.6</v>
      </c>
      <c r="C80" s="70" t="s">
        <v>205</v>
      </c>
      <c r="D80" s="70" t="s">
        <v>205</v>
      </c>
      <c r="E80" s="70">
        <v>6.35</v>
      </c>
      <c r="F80" s="70">
        <v>0.32</v>
      </c>
      <c r="G80" s="70">
        <v>19</v>
      </c>
      <c r="H80" s="70">
        <v>14.92</v>
      </c>
      <c r="I80" s="70">
        <v>216.45</v>
      </c>
      <c r="J80" s="70">
        <v>216.45</v>
      </c>
      <c r="K80" s="70">
        <v>42.61</v>
      </c>
      <c r="L80" s="70">
        <v>42.61</v>
      </c>
      <c r="M80" s="70">
        <v>3.38</v>
      </c>
      <c r="N80" s="70">
        <v>3.38</v>
      </c>
      <c r="O80" s="75">
        <v>57.71</v>
      </c>
      <c r="P80" s="75">
        <v>57.71</v>
      </c>
      <c r="Q80" s="70">
        <v>432.89</v>
      </c>
      <c r="R80" s="71">
        <v>85.22</v>
      </c>
      <c r="S80" s="26"/>
      <c r="T80" s="26"/>
      <c r="U80" s="26"/>
      <c r="V80" s="26"/>
      <c r="W80" s="26"/>
      <c r="X80" s="26"/>
      <c r="Y80" s="26"/>
      <c r="Z80" s="26"/>
      <c r="AA80" s="26"/>
      <c r="AB80" s="28"/>
      <c r="AC80" s="26"/>
      <c r="AD80" s="26"/>
      <c r="AE80" s="26"/>
      <c r="AF80" s="26"/>
      <c r="AG80" s="27"/>
    </row>
    <row r="81" spans="1:33" x14ac:dyDescent="0.25">
      <c r="A81" s="26" t="s">
        <v>312</v>
      </c>
      <c r="B81" s="70">
        <v>127</v>
      </c>
      <c r="C81" s="70" t="s">
        <v>205</v>
      </c>
      <c r="D81" s="70" t="s">
        <v>205</v>
      </c>
      <c r="E81" s="70">
        <v>2.5</v>
      </c>
      <c r="F81" s="70">
        <v>0.4</v>
      </c>
      <c r="G81" s="70">
        <v>9.7799999999999994</v>
      </c>
      <c r="H81" s="70">
        <v>7.68</v>
      </c>
      <c r="I81" s="70">
        <v>189.53</v>
      </c>
      <c r="J81" s="70">
        <v>189.53</v>
      </c>
      <c r="K81" s="70">
        <v>29.85</v>
      </c>
      <c r="L81" s="70">
        <v>29.85</v>
      </c>
      <c r="M81" s="70">
        <v>4.4000000000000004</v>
      </c>
      <c r="N81" s="70">
        <v>4.4000000000000004</v>
      </c>
      <c r="O81" s="75">
        <v>38.76</v>
      </c>
      <c r="P81" s="75">
        <v>38.76</v>
      </c>
      <c r="Q81" s="70">
        <v>379.06</v>
      </c>
      <c r="R81" s="71">
        <v>60.84</v>
      </c>
      <c r="S81" s="26"/>
      <c r="T81" s="26"/>
      <c r="U81" s="26"/>
      <c r="V81" s="26"/>
      <c r="W81" s="26"/>
      <c r="X81" s="26"/>
      <c r="Y81" s="26"/>
      <c r="Z81" s="26"/>
      <c r="AA81" s="26"/>
      <c r="AB81" s="28"/>
      <c r="AC81" s="26"/>
      <c r="AD81" s="26"/>
      <c r="AE81" s="26"/>
      <c r="AF81" s="26"/>
      <c r="AG81" s="27"/>
    </row>
    <row r="82" spans="1:33" x14ac:dyDescent="0.25">
      <c r="A82" s="26" t="s">
        <v>313</v>
      </c>
      <c r="B82" s="70">
        <v>127</v>
      </c>
      <c r="C82" s="70" t="s">
        <v>205</v>
      </c>
      <c r="D82" s="70" t="s">
        <v>205</v>
      </c>
      <c r="E82" s="70">
        <v>3.2</v>
      </c>
      <c r="F82" s="70">
        <v>0.4</v>
      </c>
      <c r="G82" s="70">
        <v>12.45</v>
      </c>
      <c r="H82" s="70">
        <v>9.77</v>
      </c>
      <c r="I82" s="70">
        <v>238.59</v>
      </c>
      <c r="J82" s="70">
        <v>238.59</v>
      </c>
      <c r="K82" s="70">
        <v>37.57</v>
      </c>
      <c r="L82" s="70">
        <v>37.57</v>
      </c>
      <c r="M82" s="70">
        <v>4.38</v>
      </c>
      <c r="N82" s="70">
        <v>4.38</v>
      </c>
      <c r="O82" s="75">
        <v>49.07</v>
      </c>
      <c r="P82" s="75">
        <v>49.07</v>
      </c>
      <c r="Q82" s="70">
        <v>477.19</v>
      </c>
      <c r="R82" s="71">
        <v>77</v>
      </c>
      <c r="S82" s="26"/>
      <c r="T82" s="26"/>
      <c r="U82" s="26"/>
      <c r="V82" s="26"/>
      <c r="W82" s="26"/>
      <c r="X82" s="26"/>
      <c r="Y82" s="26"/>
      <c r="Z82" s="26"/>
      <c r="AA82" s="26"/>
      <c r="AB82" s="28"/>
      <c r="AC82" s="26"/>
      <c r="AD82" s="26"/>
      <c r="AE82" s="26"/>
      <c r="AF82" s="26"/>
      <c r="AG82" s="27"/>
    </row>
    <row r="83" spans="1:33" x14ac:dyDescent="0.25">
      <c r="A83" s="26" t="s">
        <v>314</v>
      </c>
      <c r="B83" s="70">
        <v>127</v>
      </c>
      <c r="C83" s="70" t="s">
        <v>205</v>
      </c>
      <c r="D83" s="70" t="s">
        <v>205</v>
      </c>
      <c r="E83" s="70">
        <v>4</v>
      </c>
      <c r="F83" s="70">
        <v>0.4</v>
      </c>
      <c r="G83" s="70">
        <v>15.46</v>
      </c>
      <c r="H83" s="70">
        <v>12.13</v>
      </c>
      <c r="I83" s="70">
        <v>292.61</v>
      </c>
      <c r="J83" s="70">
        <v>292.61</v>
      </c>
      <c r="K83" s="70">
        <v>46.08</v>
      </c>
      <c r="L83" s="70">
        <v>46.08</v>
      </c>
      <c r="M83" s="70">
        <v>4.3499999999999996</v>
      </c>
      <c r="N83" s="70">
        <v>4.3499999999999996</v>
      </c>
      <c r="O83" s="75">
        <v>60.55</v>
      </c>
      <c r="P83" s="75">
        <v>60.55</v>
      </c>
      <c r="Q83" s="70">
        <v>585.22</v>
      </c>
      <c r="R83" s="71">
        <v>95.01</v>
      </c>
      <c r="S83" s="26"/>
      <c r="T83" s="26"/>
      <c r="U83" s="26"/>
      <c r="V83" s="26"/>
      <c r="W83" s="26"/>
      <c r="X83" s="26"/>
      <c r="Y83" s="26"/>
      <c r="Z83" s="26"/>
      <c r="AA83" s="26"/>
      <c r="AB83" s="28"/>
      <c r="AC83" s="26"/>
      <c r="AD83" s="26"/>
      <c r="AE83" s="26"/>
      <c r="AF83" s="26"/>
      <c r="AG83" s="27"/>
    </row>
    <row r="84" spans="1:33" x14ac:dyDescent="0.25">
      <c r="A84" s="26" t="s">
        <v>315</v>
      </c>
      <c r="B84" s="70">
        <v>127</v>
      </c>
      <c r="C84" s="70" t="s">
        <v>205</v>
      </c>
      <c r="D84" s="70" t="s">
        <v>205</v>
      </c>
      <c r="E84" s="70">
        <v>4.75</v>
      </c>
      <c r="F84" s="70">
        <v>0.4</v>
      </c>
      <c r="G84" s="70">
        <v>18.239999999999998</v>
      </c>
      <c r="H84" s="70">
        <v>14.32</v>
      </c>
      <c r="I84" s="70">
        <v>341.31</v>
      </c>
      <c r="J84" s="70">
        <v>341.31</v>
      </c>
      <c r="K84" s="70">
        <v>53.75</v>
      </c>
      <c r="L84" s="70">
        <v>53.75</v>
      </c>
      <c r="M84" s="70">
        <v>4.33</v>
      </c>
      <c r="N84" s="70">
        <v>4.33</v>
      </c>
      <c r="O84" s="75">
        <v>71.040000000000006</v>
      </c>
      <c r="P84" s="75">
        <v>71.040000000000006</v>
      </c>
      <c r="Q84" s="70">
        <v>682.62</v>
      </c>
      <c r="R84" s="71">
        <v>111.45</v>
      </c>
      <c r="S84" s="26"/>
      <c r="T84" s="26"/>
      <c r="U84" s="26"/>
      <c r="V84" s="26"/>
      <c r="W84" s="26"/>
      <c r="X84" s="26"/>
      <c r="Y84" s="26"/>
      <c r="Z84" s="26"/>
      <c r="AA84" s="26"/>
      <c r="AB84" s="28"/>
      <c r="AC84" s="26"/>
      <c r="AD84" s="26"/>
      <c r="AE84" s="26"/>
      <c r="AF84" s="26"/>
      <c r="AG84" s="27"/>
    </row>
    <row r="85" spans="1:33" x14ac:dyDescent="0.25">
      <c r="A85" s="26" t="s">
        <v>316</v>
      </c>
      <c r="B85" s="70">
        <v>127</v>
      </c>
      <c r="C85" s="70" t="s">
        <v>205</v>
      </c>
      <c r="D85" s="70" t="s">
        <v>205</v>
      </c>
      <c r="E85" s="70">
        <v>6.35</v>
      </c>
      <c r="F85" s="70">
        <v>0.4</v>
      </c>
      <c r="G85" s="70">
        <v>24.07</v>
      </c>
      <c r="H85" s="70">
        <v>18.89</v>
      </c>
      <c r="I85" s="70">
        <v>439.15</v>
      </c>
      <c r="J85" s="70">
        <v>439.15</v>
      </c>
      <c r="K85" s="70">
        <v>69.16</v>
      </c>
      <c r="L85" s="70">
        <v>69.16</v>
      </c>
      <c r="M85" s="70">
        <v>4.2699999999999996</v>
      </c>
      <c r="N85" s="70">
        <v>4.2699999999999996</v>
      </c>
      <c r="O85" s="75">
        <v>92.54</v>
      </c>
      <c r="P85" s="75">
        <v>92.54</v>
      </c>
      <c r="Q85" s="70">
        <v>878.3</v>
      </c>
      <c r="R85" s="71">
        <v>145.12</v>
      </c>
      <c r="S85" s="26"/>
      <c r="T85" s="26"/>
      <c r="U85" s="26"/>
      <c r="V85" s="26"/>
      <c r="W85" s="26"/>
      <c r="X85" s="26"/>
      <c r="Y85" s="26"/>
      <c r="Z85" s="26"/>
      <c r="AA85" s="26"/>
      <c r="AB85" s="28"/>
      <c r="AC85" s="26"/>
      <c r="AD85" s="26"/>
      <c r="AE85" s="26"/>
      <c r="AF85" s="26"/>
      <c r="AG85" s="27"/>
    </row>
    <row r="86" spans="1:33" x14ac:dyDescent="0.25">
      <c r="A86" s="26" t="s">
        <v>317</v>
      </c>
      <c r="B86" s="70">
        <v>168.3</v>
      </c>
      <c r="C86" s="70" t="s">
        <v>205</v>
      </c>
      <c r="D86" s="70" t="s">
        <v>205</v>
      </c>
      <c r="E86" s="70">
        <v>3.2</v>
      </c>
      <c r="F86" s="70">
        <v>0.53</v>
      </c>
      <c r="G86" s="70">
        <v>16.600000000000001</v>
      </c>
      <c r="H86" s="70">
        <v>13.03</v>
      </c>
      <c r="I86" s="70">
        <v>565.73</v>
      </c>
      <c r="J86" s="70">
        <v>565.73</v>
      </c>
      <c r="K86" s="70">
        <v>67.23</v>
      </c>
      <c r="L86" s="70">
        <v>67.23</v>
      </c>
      <c r="M86" s="70">
        <v>5.84</v>
      </c>
      <c r="N86" s="70">
        <v>5.84</v>
      </c>
      <c r="O86" s="75">
        <v>87.25</v>
      </c>
      <c r="P86" s="75">
        <v>87.25</v>
      </c>
      <c r="Q86" s="70">
        <v>1131.46</v>
      </c>
      <c r="R86" s="71">
        <v>136.94</v>
      </c>
      <c r="S86" s="26"/>
      <c r="T86" s="26"/>
      <c r="U86" s="26"/>
      <c r="V86" s="26"/>
      <c r="W86" s="26"/>
      <c r="X86" s="26"/>
      <c r="Y86" s="26"/>
      <c r="Z86" s="26"/>
      <c r="AA86" s="26"/>
      <c r="AB86" s="28"/>
      <c r="AC86" s="26"/>
      <c r="AD86" s="26"/>
      <c r="AE86" s="26"/>
      <c r="AF86" s="26"/>
      <c r="AG86" s="27"/>
    </row>
    <row r="87" spans="1:33" x14ac:dyDescent="0.25">
      <c r="A87" s="26" t="s">
        <v>318</v>
      </c>
      <c r="B87" s="70">
        <v>168.3</v>
      </c>
      <c r="C87" s="70" t="s">
        <v>205</v>
      </c>
      <c r="D87" s="70" t="s">
        <v>205</v>
      </c>
      <c r="E87" s="70">
        <v>4</v>
      </c>
      <c r="F87" s="70">
        <v>0.53</v>
      </c>
      <c r="G87" s="70">
        <v>20.65</v>
      </c>
      <c r="H87" s="70">
        <v>16.21</v>
      </c>
      <c r="I87" s="70">
        <v>697.09</v>
      </c>
      <c r="J87" s="70">
        <v>697.09</v>
      </c>
      <c r="K87" s="70">
        <v>82.84</v>
      </c>
      <c r="L87" s="70">
        <v>82.84</v>
      </c>
      <c r="M87" s="70">
        <v>5.81</v>
      </c>
      <c r="N87" s="70">
        <v>5.81</v>
      </c>
      <c r="O87" s="76">
        <v>108.02</v>
      </c>
      <c r="P87" s="76">
        <v>108.02</v>
      </c>
      <c r="Q87" s="70">
        <v>1394.17</v>
      </c>
      <c r="R87" s="71">
        <v>169.53</v>
      </c>
      <c r="S87" s="26"/>
      <c r="T87" s="26"/>
      <c r="U87" s="26"/>
      <c r="V87" s="26"/>
      <c r="W87" s="26"/>
      <c r="X87" s="26"/>
      <c r="Y87" s="26"/>
      <c r="Z87" s="26"/>
      <c r="AA87" s="26"/>
      <c r="AB87" s="28"/>
      <c r="AC87" s="26"/>
      <c r="AD87" s="26"/>
      <c r="AE87" s="26"/>
      <c r="AF87" s="26"/>
      <c r="AG87" s="27"/>
    </row>
    <row r="88" spans="1:33" x14ac:dyDescent="0.25">
      <c r="A88" s="26" t="s">
        <v>319</v>
      </c>
      <c r="B88" s="70">
        <v>168.3</v>
      </c>
      <c r="C88" s="70" t="s">
        <v>205</v>
      </c>
      <c r="D88" s="70" t="s">
        <v>205</v>
      </c>
      <c r="E88" s="70">
        <v>4.75</v>
      </c>
      <c r="F88" s="70">
        <v>0.53</v>
      </c>
      <c r="G88" s="70">
        <v>24.41</v>
      </c>
      <c r="H88" s="70">
        <v>19.16</v>
      </c>
      <c r="I88" s="70">
        <v>816.71</v>
      </c>
      <c r="J88" s="70">
        <v>816.71</v>
      </c>
      <c r="K88" s="70">
        <v>97.05</v>
      </c>
      <c r="L88" s="70">
        <v>97.05</v>
      </c>
      <c r="M88" s="70">
        <v>5.78</v>
      </c>
      <c r="N88" s="70">
        <v>5.78</v>
      </c>
      <c r="O88" s="76">
        <v>127.12</v>
      </c>
      <c r="P88" s="76">
        <v>127.12</v>
      </c>
      <c r="Q88" s="70">
        <v>1633.42</v>
      </c>
      <c r="R88" s="71">
        <v>199.48</v>
      </c>
      <c r="S88" s="26"/>
      <c r="T88" s="26"/>
      <c r="U88" s="26"/>
      <c r="V88" s="26"/>
      <c r="W88" s="26"/>
      <c r="X88" s="26"/>
      <c r="Y88" s="26"/>
      <c r="Z88" s="26"/>
      <c r="AA88" s="26"/>
      <c r="AB88" s="28"/>
      <c r="AC88" s="26"/>
      <c r="AD88" s="26"/>
      <c r="AE88" s="26"/>
      <c r="AF88" s="26"/>
      <c r="AG88" s="27"/>
    </row>
    <row r="89" spans="1:33" x14ac:dyDescent="0.25">
      <c r="A89" s="26" t="s">
        <v>320</v>
      </c>
      <c r="B89" s="70">
        <v>168.3</v>
      </c>
      <c r="C89" s="70" t="s">
        <v>205</v>
      </c>
      <c r="D89" s="70" t="s">
        <v>205</v>
      </c>
      <c r="E89" s="70">
        <v>6.35</v>
      </c>
      <c r="F89" s="70">
        <v>0.53</v>
      </c>
      <c r="G89" s="70">
        <v>32.31</v>
      </c>
      <c r="H89" s="70">
        <v>25.36</v>
      </c>
      <c r="I89" s="70">
        <v>1060.82</v>
      </c>
      <c r="J89" s="70">
        <v>1060.82</v>
      </c>
      <c r="K89" s="70">
        <v>126.06</v>
      </c>
      <c r="L89" s="70">
        <v>126.06</v>
      </c>
      <c r="M89" s="70">
        <v>5.73</v>
      </c>
      <c r="N89" s="70">
        <v>5.73</v>
      </c>
      <c r="O89" s="76">
        <v>166.67</v>
      </c>
      <c r="P89" s="76">
        <v>166.67</v>
      </c>
      <c r="Q89" s="70">
        <v>2121.63</v>
      </c>
      <c r="R89" s="71">
        <v>261.48</v>
      </c>
      <c r="S89" s="26"/>
      <c r="T89" s="26"/>
      <c r="U89" s="26"/>
      <c r="V89" s="26"/>
      <c r="W89" s="26"/>
      <c r="X89" s="26"/>
      <c r="Y89" s="26"/>
      <c r="Z89" s="26"/>
      <c r="AA89" s="26"/>
      <c r="AB89" s="28"/>
      <c r="AC89" s="26"/>
      <c r="AD89" s="26"/>
      <c r="AE89" s="26"/>
      <c r="AF89" s="26"/>
      <c r="AG89" s="27"/>
    </row>
    <row r="90" spans="1:33" x14ac:dyDescent="0.25">
      <c r="A90" s="26" t="s">
        <v>321</v>
      </c>
      <c r="B90" s="70">
        <v>168.3</v>
      </c>
      <c r="C90" s="70" t="s">
        <v>205</v>
      </c>
      <c r="D90" s="70" t="s">
        <v>205</v>
      </c>
      <c r="E90" s="70">
        <v>7.1</v>
      </c>
      <c r="F90" s="70">
        <v>0.53</v>
      </c>
      <c r="G90" s="70">
        <v>35.96</v>
      </c>
      <c r="H90" s="70">
        <v>28.23</v>
      </c>
      <c r="I90" s="70">
        <v>1170.18</v>
      </c>
      <c r="J90" s="70">
        <v>1170.18</v>
      </c>
      <c r="K90" s="70">
        <v>139.06</v>
      </c>
      <c r="L90" s="70">
        <v>139.06</v>
      </c>
      <c r="M90" s="70">
        <v>5.7</v>
      </c>
      <c r="N90" s="70">
        <v>5.7</v>
      </c>
      <c r="O90" s="76">
        <v>184.65</v>
      </c>
      <c r="P90" s="76">
        <v>184.65</v>
      </c>
      <c r="Q90" s="70">
        <v>2340.35</v>
      </c>
      <c r="R90" s="71">
        <v>289.66000000000003</v>
      </c>
      <c r="S90" s="26"/>
      <c r="T90" s="26"/>
      <c r="U90" s="26"/>
      <c r="V90" s="26"/>
      <c r="W90" s="26"/>
      <c r="X90" s="26"/>
      <c r="Y90" s="26"/>
      <c r="Z90" s="26"/>
      <c r="AA90" s="26"/>
      <c r="AB90" s="28"/>
      <c r="AC90" s="26"/>
      <c r="AD90" s="26"/>
      <c r="AE90" s="26"/>
      <c r="AF90" s="26"/>
      <c r="AG90" s="27"/>
    </row>
    <row r="91" spans="1:33" x14ac:dyDescent="0.25">
      <c r="A91" s="26" t="s">
        <v>322</v>
      </c>
      <c r="B91" s="70">
        <v>219.1</v>
      </c>
      <c r="C91" s="70" t="s">
        <v>205</v>
      </c>
      <c r="D91" s="70" t="s">
        <v>205</v>
      </c>
      <c r="E91" s="70">
        <v>4</v>
      </c>
      <c r="F91" s="70">
        <v>0.69</v>
      </c>
      <c r="G91" s="70">
        <v>27.06</v>
      </c>
      <c r="H91" s="70">
        <v>21.24</v>
      </c>
      <c r="I91" s="70">
        <v>1568.19</v>
      </c>
      <c r="J91" s="70">
        <v>1568.19</v>
      </c>
      <c r="K91" s="70">
        <v>143.02000000000001</v>
      </c>
      <c r="L91" s="70">
        <v>143.02000000000001</v>
      </c>
      <c r="M91" s="70">
        <v>7.61</v>
      </c>
      <c r="N91" s="70">
        <v>7.61</v>
      </c>
      <c r="O91" s="76">
        <v>185.47</v>
      </c>
      <c r="P91" s="76">
        <v>185.47</v>
      </c>
      <c r="Q91" s="70">
        <v>3136.38</v>
      </c>
      <c r="R91" s="71">
        <v>291.10000000000002</v>
      </c>
      <c r="S91" s="26"/>
      <c r="T91" s="26"/>
      <c r="U91" s="26"/>
      <c r="V91" s="26"/>
      <c r="W91" s="26"/>
      <c r="X91" s="26"/>
      <c r="Y91" s="26"/>
      <c r="Z91" s="26"/>
      <c r="AA91" s="26"/>
      <c r="AB91" s="28"/>
      <c r="AC91" s="26"/>
      <c r="AD91" s="26"/>
      <c r="AE91" s="26"/>
      <c r="AF91" s="26"/>
      <c r="AG91" s="27"/>
    </row>
    <row r="92" spans="1:33" x14ac:dyDescent="0.25">
      <c r="A92" s="26" t="s">
        <v>323</v>
      </c>
      <c r="B92" s="70">
        <v>219.1</v>
      </c>
      <c r="C92" s="70" t="s">
        <v>205</v>
      </c>
      <c r="D92" s="70" t="s">
        <v>205</v>
      </c>
      <c r="E92" s="70">
        <v>4.76</v>
      </c>
      <c r="F92" s="70">
        <v>0.69</v>
      </c>
      <c r="G92" s="70">
        <v>32.08</v>
      </c>
      <c r="H92" s="70">
        <v>25.18</v>
      </c>
      <c r="I92" s="70">
        <v>1846.72</v>
      </c>
      <c r="J92" s="70">
        <v>1846.72</v>
      </c>
      <c r="K92" s="70">
        <v>168.42</v>
      </c>
      <c r="L92" s="70">
        <v>168.42</v>
      </c>
      <c r="M92" s="70">
        <v>7.59</v>
      </c>
      <c r="N92" s="70">
        <v>7.59</v>
      </c>
      <c r="O92" s="76">
        <v>219.17</v>
      </c>
      <c r="P92" s="76">
        <v>219.17</v>
      </c>
      <c r="Q92" s="70">
        <v>3693.45</v>
      </c>
      <c r="R92" s="71">
        <v>343.97</v>
      </c>
      <c r="S92" s="26"/>
      <c r="T92" s="26"/>
      <c r="U92" s="26"/>
      <c r="V92" s="26"/>
      <c r="W92" s="26"/>
      <c r="X92" s="26"/>
      <c r="Y92" s="26"/>
      <c r="Z92" s="26"/>
      <c r="AA92" s="26"/>
      <c r="AB92" s="28"/>
      <c r="AC92" s="26"/>
      <c r="AD92" s="26"/>
      <c r="AE92" s="26"/>
      <c r="AF92" s="26"/>
      <c r="AG92" s="27"/>
    </row>
    <row r="93" spans="1:33" x14ac:dyDescent="0.25">
      <c r="A93" s="26" t="s">
        <v>324</v>
      </c>
      <c r="B93" s="70">
        <v>219.1</v>
      </c>
      <c r="C93" s="70" t="s">
        <v>205</v>
      </c>
      <c r="D93" s="70" t="s">
        <v>205</v>
      </c>
      <c r="E93" s="70">
        <v>6.35</v>
      </c>
      <c r="F93" s="70">
        <v>0.69</v>
      </c>
      <c r="G93" s="70">
        <v>42.48</v>
      </c>
      <c r="H93" s="70">
        <v>33.35</v>
      </c>
      <c r="I93" s="70">
        <v>2410.1799999999998</v>
      </c>
      <c r="J93" s="70">
        <v>2410.1799999999998</v>
      </c>
      <c r="K93" s="70">
        <v>219.81</v>
      </c>
      <c r="L93" s="70">
        <v>219.81</v>
      </c>
      <c r="M93" s="70">
        <v>7.53</v>
      </c>
      <c r="N93" s="70">
        <v>7.53</v>
      </c>
      <c r="O93" s="76">
        <v>288.10000000000002</v>
      </c>
      <c r="P93" s="76">
        <v>288.10000000000002</v>
      </c>
      <c r="Q93" s="70">
        <v>4820.3599999999997</v>
      </c>
      <c r="R93" s="71">
        <v>452.09</v>
      </c>
      <c r="S93" s="26"/>
      <c r="T93" s="26"/>
      <c r="U93" s="26"/>
      <c r="V93" s="26"/>
      <c r="W93" s="26"/>
      <c r="X93" s="26"/>
      <c r="Y93" s="26"/>
      <c r="Z93" s="26"/>
      <c r="AA93" s="26"/>
      <c r="AB93" s="28"/>
      <c r="AC93" s="26"/>
      <c r="AD93" s="26"/>
      <c r="AE93" s="26"/>
      <c r="AF93" s="26"/>
      <c r="AG93" s="27"/>
    </row>
    <row r="94" spans="1:33" x14ac:dyDescent="0.25">
      <c r="A94" s="26" t="s">
        <v>325</v>
      </c>
      <c r="B94" s="70">
        <v>219.1</v>
      </c>
      <c r="C94" s="70" t="s">
        <v>205</v>
      </c>
      <c r="D94" s="70" t="s">
        <v>205</v>
      </c>
      <c r="E94" s="70">
        <v>7.95</v>
      </c>
      <c r="F94" s="70">
        <v>0.69</v>
      </c>
      <c r="G94" s="70">
        <v>52.79</v>
      </c>
      <c r="H94" s="70">
        <v>41.44</v>
      </c>
      <c r="I94" s="70">
        <v>2951.51</v>
      </c>
      <c r="J94" s="70">
        <v>2951.51</v>
      </c>
      <c r="K94" s="70">
        <v>269.18</v>
      </c>
      <c r="L94" s="70">
        <v>269.18</v>
      </c>
      <c r="M94" s="70">
        <v>7.48</v>
      </c>
      <c r="N94" s="70">
        <v>7.48</v>
      </c>
      <c r="O94" s="76">
        <v>355.36</v>
      </c>
      <c r="P94" s="76">
        <v>355.36</v>
      </c>
      <c r="Q94" s="70">
        <v>5903.02</v>
      </c>
      <c r="R94" s="71">
        <v>557.53</v>
      </c>
      <c r="S94" s="26"/>
      <c r="T94" s="26"/>
      <c r="U94" s="26"/>
      <c r="V94" s="26"/>
      <c r="W94" s="26"/>
      <c r="X94" s="26"/>
      <c r="Y94" s="26"/>
      <c r="Z94" s="26"/>
      <c r="AA94" s="26"/>
      <c r="AB94" s="28"/>
      <c r="AC94" s="26"/>
      <c r="AD94" s="26"/>
      <c r="AE94" s="26"/>
      <c r="AF94" s="26"/>
      <c r="AG94" s="27"/>
    </row>
    <row r="95" spans="1:33" x14ac:dyDescent="0.25">
      <c r="A95" s="26" t="s">
        <v>326</v>
      </c>
      <c r="B95" s="70">
        <v>219.1</v>
      </c>
      <c r="C95" s="70" t="s">
        <v>205</v>
      </c>
      <c r="D95" s="70" t="s">
        <v>205</v>
      </c>
      <c r="E95" s="70">
        <v>9.5299999999999994</v>
      </c>
      <c r="F95" s="70">
        <v>0.69</v>
      </c>
      <c r="G95" s="70">
        <v>62.8</v>
      </c>
      <c r="H95" s="70">
        <v>49.3</v>
      </c>
      <c r="I95" s="70">
        <v>3461.58</v>
      </c>
      <c r="J95" s="70">
        <v>3461.58</v>
      </c>
      <c r="K95" s="70">
        <v>315.69</v>
      </c>
      <c r="L95" s="70">
        <v>315.69</v>
      </c>
      <c r="M95" s="70">
        <v>7.42</v>
      </c>
      <c r="N95" s="70">
        <v>7.42</v>
      </c>
      <c r="O95" s="76">
        <v>419.73</v>
      </c>
      <c r="P95" s="76">
        <v>419.73</v>
      </c>
      <c r="Q95" s="70">
        <v>6923.17</v>
      </c>
      <c r="R95" s="71">
        <v>658.38</v>
      </c>
      <c r="S95" s="26"/>
      <c r="T95" s="26"/>
      <c r="U95" s="26"/>
      <c r="V95" s="26"/>
      <c r="W95" s="26"/>
      <c r="X95" s="26"/>
      <c r="Y95" s="26"/>
      <c r="Z95" s="26"/>
      <c r="AA95" s="26"/>
      <c r="AB95" s="28"/>
      <c r="AC95" s="26"/>
      <c r="AD95" s="26"/>
      <c r="AE95" s="26"/>
      <c r="AF95" s="26"/>
      <c r="AG95" s="27"/>
    </row>
    <row r="96" spans="1:33" x14ac:dyDescent="0.25">
      <c r="A96" s="26" t="s">
        <v>327</v>
      </c>
      <c r="B96" s="70">
        <v>219.1</v>
      </c>
      <c r="C96" s="70" t="s">
        <v>205</v>
      </c>
      <c r="D96" s="70" t="s">
        <v>205</v>
      </c>
      <c r="E96" s="70">
        <v>11.1</v>
      </c>
      <c r="F96" s="70">
        <v>0.69</v>
      </c>
      <c r="G96" s="70">
        <v>72.599999999999994</v>
      </c>
      <c r="H96" s="70">
        <v>56.99</v>
      </c>
      <c r="I96" s="70">
        <v>3945.07</v>
      </c>
      <c r="J96" s="70">
        <v>3945.07</v>
      </c>
      <c r="K96" s="70">
        <v>359.79</v>
      </c>
      <c r="L96" s="70">
        <v>359.79</v>
      </c>
      <c r="M96" s="70">
        <v>7.37</v>
      </c>
      <c r="N96" s="70">
        <v>7.37</v>
      </c>
      <c r="O96" s="76">
        <v>481.71</v>
      </c>
      <c r="P96" s="76">
        <v>481.71</v>
      </c>
      <c r="Q96" s="70">
        <v>7890.13</v>
      </c>
      <c r="R96" s="71">
        <v>719.57</v>
      </c>
      <c r="S96" s="26"/>
      <c r="T96" s="26"/>
      <c r="U96" s="26"/>
      <c r="V96" s="26"/>
      <c r="W96" s="26"/>
      <c r="X96" s="26"/>
      <c r="Y96" s="26"/>
      <c r="Z96" s="26"/>
      <c r="AA96" s="26"/>
      <c r="AB96" s="28"/>
      <c r="AC96" s="26"/>
      <c r="AD96" s="26"/>
      <c r="AE96" s="26"/>
      <c r="AF96" s="26"/>
      <c r="AG96" s="27"/>
    </row>
    <row r="97" spans="1:33" x14ac:dyDescent="0.25">
      <c r="A97" s="26" t="s">
        <v>328</v>
      </c>
      <c r="B97" s="70">
        <v>219.1</v>
      </c>
      <c r="C97" s="70" t="s">
        <v>205</v>
      </c>
      <c r="D97" s="70" t="s">
        <v>205</v>
      </c>
      <c r="E97" s="70">
        <v>12.7</v>
      </c>
      <c r="F97" s="70">
        <v>0.69</v>
      </c>
      <c r="G97" s="70">
        <v>82.43</v>
      </c>
      <c r="H97" s="70">
        <v>64.709999999999994</v>
      </c>
      <c r="I97" s="70">
        <v>4414.58</v>
      </c>
      <c r="J97" s="70">
        <v>4414.58</v>
      </c>
      <c r="K97" s="70">
        <v>402.61</v>
      </c>
      <c r="L97" s="70">
        <v>402.61</v>
      </c>
      <c r="M97" s="70">
        <v>7.32</v>
      </c>
      <c r="N97" s="70">
        <v>7.32</v>
      </c>
      <c r="O97" s="76">
        <v>542.87</v>
      </c>
      <c r="P97" s="76">
        <v>542.87</v>
      </c>
      <c r="Q97" s="70">
        <v>8829.15</v>
      </c>
      <c r="R97" s="71">
        <v>805.21</v>
      </c>
      <c r="S97" s="26"/>
      <c r="T97" s="26"/>
      <c r="U97" s="26"/>
      <c r="V97" s="26"/>
      <c r="W97" s="26"/>
      <c r="X97" s="26"/>
      <c r="Y97" s="26"/>
      <c r="Z97" s="26"/>
      <c r="AA97" s="26"/>
      <c r="AB97" s="28"/>
      <c r="AC97" s="26"/>
      <c r="AD97" s="26"/>
      <c r="AE97" s="26"/>
      <c r="AF97" s="26"/>
      <c r="AG97" s="27"/>
    </row>
    <row r="98" spans="1:33" x14ac:dyDescent="0.25">
      <c r="A98" s="26" t="s">
        <v>329</v>
      </c>
      <c r="B98" s="70">
        <v>273</v>
      </c>
      <c r="C98" s="70" t="s">
        <v>205</v>
      </c>
      <c r="D98" s="70" t="s">
        <v>205</v>
      </c>
      <c r="E98" s="70">
        <v>6.35</v>
      </c>
      <c r="F98" s="70">
        <v>0.86</v>
      </c>
      <c r="G98" s="70">
        <v>53.19</v>
      </c>
      <c r="H98" s="70">
        <v>41.76</v>
      </c>
      <c r="I98" s="70">
        <v>4730.4399999999996</v>
      </c>
      <c r="J98" s="70">
        <v>4730.4399999999996</v>
      </c>
      <c r="K98" s="70">
        <v>346.55</v>
      </c>
      <c r="L98" s="70">
        <v>346.55</v>
      </c>
      <c r="M98" s="70">
        <v>9.43</v>
      </c>
      <c r="N98" s="70">
        <v>9.43</v>
      </c>
      <c r="O98" s="76">
        <v>451.67</v>
      </c>
      <c r="P98" s="76">
        <v>451.67</v>
      </c>
      <c r="Q98" s="70">
        <v>9460.8700000000008</v>
      </c>
      <c r="R98" s="70">
        <v>708.85</v>
      </c>
      <c r="S98" s="26"/>
      <c r="T98" s="26"/>
      <c r="U98" s="26"/>
      <c r="V98" s="26"/>
      <c r="W98" s="26"/>
      <c r="X98" s="26"/>
      <c r="Y98" s="26"/>
      <c r="Z98" s="26"/>
      <c r="AA98" s="26"/>
      <c r="AB98" s="28"/>
      <c r="AC98" s="26"/>
      <c r="AD98" s="26"/>
      <c r="AE98" s="26"/>
      <c r="AF98" s="26"/>
      <c r="AG98" s="27"/>
    </row>
    <row r="99" spans="1:33" x14ac:dyDescent="0.25">
      <c r="A99" s="26" t="s">
        <v>330</v>
      </c>
      <c r="B99" s="70">
        <v>273</v>
      </c>
      <c r="C99" s="70" t="s">
        <v>205</v>
      </c>
      <c r="D99" s="70" t="s">
        <v>205</v>
      </c>
      <c r="E99" s="70">
        <v>7.95</v>
      </c>
      <c r="F99" s="70">
        <v>0.86</v>
      </c>
      <c r="G99" s="70">
        <v>66.2</v>
      </c>
      <c r="H99" s="70">
        <v>51.97</v>
      </c>
      <c r="I99" s="70">
        <v>5818.32</v>
      </c>
      <c r="J99" s="70">
        <v>5818.32</v>
      </c>
      <c r="K99" s="70">
        <v>426.25</v>
      </c>
      <c r="L99" s="70">
        <v>426.25</v>
      </c>
      <c r="M99" s="70">
        <v>9.3800000000000008</v>
      </c>
      <c r="N99" s="70">
        <v>9.3800000000000008</v>
      </c>
      <c r="O99" s="76">
        <v>558.78</v>
      </c>
      <c r="P99" s="76">
        <v>558.78</v>
      </c>
      <c r="Q99" s="70">
        <v>11636.64</v>
      </c>
      <c r="R99" s="70">
        <v>876.84</v>
      </c>
      <c r="S99" s="26"/>
      <c r="T99" s="26"/>
      <c r="U99" s="26"/>
      <c r="V99" s="26"/>
      <c r="W99" s="26"/>
      <c r="X99" s="26"/>
      <c r="Y99" s="26"/>
      <c r="Z99" s="26"/>
      <c r="AA99" s="26"/>
      <c r="AB99" s="28"/>
      <c r="AC99" s="26"/>
      <c r="AD99" s="26"/>
      <c r="AE99" s="26"/>
      <c r="AF99" s="26"/>
      <c r="AG99" s="27"/>
    </row>
    <row r="100" spans="1:33" x14ac:dyDescent="0.25">
      <c r="A100" s="26" t="s">
        <v>331</v>
      </c>
      <c r="B100" s="70">
        <v>273</v>
      </c>
      <c r="C100" s="70" t="s">
        <v>205</v>
      </c>
      <c r="D100" s="70" t="s">
        <v>205</v>
      </c>
      <c r="E100" s="70">
        <v>9.5299999999999994</v>
      </c>
      <c r="F100" s="70">
        <v>0.86</v>
      </c>
      <c r="G100" s="70">
        <v>78.88</v>
      </c>
      <c r="H100" s="70">
        <v>61.92</v>
      </c>
      <c r="I100" s="70">
        <v>6853.47</v>
      </c>
      <c r="J100" s="70">
        <v>6853.47</v>
      </c>
      <c r="K100" s="70">
        <v>502.09</v>
      </c>
      <c r="L100" s="70">
        <v>502.09</v>
      </c>
      <c r="M100" s="70">
        <v>9.32</v>
      </c>
      <c r="N100" s="70">
        <v>9.32</v>
      </c>
      <c r="O100" s="76">
        <v>661.96</v>
      </c>
      <c r="P100" s="76">
        <v>661.96</v>
      </c>
      <c r="Q100" s="70">
        <v>13706.95</v>
      </c>
      <c r="R100" s="70">
        <v>1038.6199999999999</v>
      </c>
      <c r="S100" s="26"/>
      <c r="T100" s="26"/>
      <c r="U100" s="26"/>
      <c r="V100" s="26"/>
      <c r="W100" s="26"/>
      <c r="X100" s="26"/>
      <c r="Y100" s="26"/>
      <c r="Z100" s="26"/>
      <c r="AA100" s="26"/>
      <c r="AB100" s="28"/>
      <c r="AC100" s="26"/>
      <c r="AD100" s="26"/>
      <c r="AE100" s="26"/>
      <c r="AF100" s="26"/>
      <c r="AG100" s="27"/>
    </row>
    <row r="101" spans="1:33" x14ac:dyDescent="0.25">
      <c r="A101" s="26" t="s">
        <v>332</v>
      </c>
      <c r="B101" s="70">
        <v>273</v>
      </c>
      <c r="C101" s="70" t="s">
        <v>205</v>
      </c>
      <c r="D101" s="70" t="s">
        <v>205</v>
      </c>
      <c r="E101" s="70">
        <v>11.1</v>
      </c>
      <c r="F101" s="70">
        <v>0.86</v>
      </c>
      <c r="G101" s="70">
        <v>91.33</v>
      </c>
      <c r="H101" s="70">
        <v>71.69</v>
      </c>
      <c r="I101" s="70">
        <v>7844.5</v>
      </c>
      <c r="J101" s="70">
        <v>7844.5</v>
      </c>
      <c r="K101" s="70">
        <v>574.69000000000005</v>
      </c>
      <c r="L101" s="70">
        <v>574.69000000000005</v>
      </c>
      <c r="M101" s="70">
        <v>9.27</v>
      </c>
      <c r="N101" s="70">
        <v>9.27</v>
      </c>
      <c r="O101" s="76">
        <v>761.98</v>
      </c>
      <c r="P101" s="76">
        <v>761.98</v>
      </c>
      <c r="Q101" s="70">
        <v>15689</v>
      </c>
      <c r="R101" s="70">
        <v>1195.3499999999999</v>
      </c>
      <c r="S101" s="26"/>
      <c r="T101" s="26"/>
      <c r="U101" s="26"/>
      <c r="V101" s="26"/>
      <c r="W101" s="26"/>
      <c r="X101" s="26"/>
      <c r="Y101" s="26"/>
      <c r="Z101" s="26"/>
      <c r="AA101" s="26"/>
      <c r="AB101" s="28"/>
      <c r="AC101" s="26"/>
      <c r="AD101" s="26"/>
      <c r="AE101" s="26"/>
      <c r="AF101" s="26"/>
      <c r="AG101" s="27"/>
    </row>
    <row r="102" spans="1:33" x14ac:dyDescent="0.25">
      <c r="A102" s="26" t="s">
        <v>333</v>
      </c>
      <c r="B102" s="70">
        <v>273</v>
      </c>
      <c r="C102" s="70" t="s">
        <v>205</v>
      </c>
      <c r="D102" s="70" t="s">
        <v>205</v>
      </c>
      <c r="E102" s="70">
        <v>12.7</v>
      </c>
      <c r="F102" s="70">
        <v>0.86</v>
      </c>
      <c r="G102" s="70">
        <v>103.86</v>
      </c>
      <c r="H102" s="70">
        <v>81.53</v>
      </c>
      <c r="I102" s="70">
        <v>8816.89</v>
      </c>
      <c r="J102" s="70">
        <v>8816.89</v>
      </c>
      <c r="K102" s="70">
        <v>645.92999999999995</v>
      </c>
      <c r="L102" s="70">
        <v>645.92999999999995</v>
      </c>
      <c r="M102" s="70">
        <v>9.2100000000000009</v>
      </c>
      <c r="N102" s="70">
        <v>9.2100000000000009</v>
      </c>
      <c r="O102" s="76">
        <v>861.36</v>
      </c>
      <c r="P102" s="76">
        <v>861.36</v>
      </c>
      <c r="Q102" s="70">
        <v>17633.77</v>
      </c>
      <c r="R102" s="70">
        <v>1350.99</v>
      </c>
      <c r="S102" s="26"/>
      <c r="T102" s="26"/>
      <c r="U102" s="26"/>
      <c r="V102" s="26"/>
      <c r="W102" s="26"/>
      <c r="X102" s="26"/>
      <c r="Y102" s="26"/>
      <c r="Z102" s="26"/>
      <c r="AA102" s="26"/>
      <c r="AB102" s="28"/>
      <c r="AC102" s="26"/>
      <c r="AD102" s="26"/>
      <c r="AE102" s="26"/>
      <c r="AF102" s="26"/>
      <c r="AG102" s="27"/>
    </row>
    <row r="103" spans="1:33" x14ac:dyDescent="0.25">
      <c r="A103" s="26" t="s">
        <v>334</v>
      </c>
      <c r="B103" s="70">
        <v>323.8</v>
      </c>
      <c r="C103" s="70" t="s">
        <v>205</v>
      </c>
      <c r="D103" s="70" t="s">
        <v>205</v>
      </c>
      <c r="E103" s="70">
        <v>6.35</v>
      </c>
      <c r="F103" s="70">
        <v>1.02</v>
      </c>
      <c r="G103" s="70">
        <v>63.33</v>
      </c>
      <c r="H103" s="70">
        <v>49.71</v>
      </c>
      <c r="I103" s="70">
        <v>7980.5</v>
      </c>
      <c r="J103" s="70">
        <v>7980.5</v>
      </c>
      <c r="K103" s="70">
        <v>492.9</v>
      </c>
      <c r="L103" s="70">
        <v>492.9</v>
      </c>
      <c r="M103" s="70">
        <v>11.23</v>
      </c>
      <c r="N103" s="70">
        <v>11.23</v>
      </c>
      <c r="O103" s="75">
        <v>640.1</v>
      </c>
      <c r="P103" s="75">
        <v>640.1</v>
      </c>
      <c r="Q103" s="70">
        <v>15961</v>
      </c>
      <c r="R103" s="70">
        <v>1004.7</v>
      </c>
      <c r="S103" s="26"/>
      <c r="T103" s="26"/>
      <c r="U103" s="26"/>
      <c r="V103" s="26"/>
      <c r="W103" s="26"/>
      <c r="X103" s="26"/>
      <c r="Y103" s="26"/>
      <c r="Z103" s="26"/>
      <c r="AA103" s="26"/>
      <c r="AB103" s="28"/>
      <c r="AC103" s="26"/>
      <c r="AD103" s="26"/>
      <c r="AE103" s="26"/>
      <c r="AF103" s="26"/>
      <c r="AG103" s="27"/>
    </row>
    <row r="104" spans="1:33" x14ac:dyDescent="0.25">
      <c r="A104" s="26" t="s">
        <v>335</v>
      </c>
      <c r="B104" s="70">
        <v>323.8</v>
      </c>
      <c r="C104" s="70" t="s">
        <v>205</v>
      </c>
      <c r="D104" s="70" t="s">
        <v>205</v>
      </c>
      <c r="E104" s="70">
        <v>7.95</v>
      </c>
      <c r="F104" s="70">
        <v>1.02</v>
      </c>
      <c r="G104" s="70">
        <v>78.89</v>
      </c>
      <c r="H104" s="70">
        <v>61.93</v>
      </c>
      <c r="I104" s="70">
        <v>9843.2999999999993</v>
      </c>
      <c r="J104" s="70">
        <v>9843.2999999999993</v>
      </c>
      <c r="K104" s="70">
        <v>608</v>
      </c>
      <c r="L104" s="70">
        <v>608</v>
      </c>
      <c r="M104" s="70">
        <v>11.17</v>
      </c>
      <c r="N104" s="70">
        <v>11.17</v>
      </c>
      <c r="O104" s="75">
        <v>793.4</v>
      </c>
      <c r="P104" s="75">
        <v>793.4</v>
      </c>
      <c r="Q104" s="70">
        <v>19686.599999999999</v>
      </c>
      <c r="R104" s="70">
        <v>1245.2</v>
      </c>
      <c r="S104" s="26"/>
      <c r="T104" s="26"/>
      <c r="U104" s="26"/>
      <c r="V104" s="26"/>
      <c r="W104" s="26"/>
      <c r="X104" s="26"/>
      <c r="Y104" s="26"/>
      <c r="Z104" s="26"/>
      <c r="AA104" s="26"/>
      <c r="AB104" s="28"/>
      <c r="AC104" s="26"/>
      <c r="AD104" s="26"/>
      <c r="AE104" s="26"/>
      <c r="AF104" s="26"/>
      <c r="AG104" s="27"/>
    </row>
    <row r="105" spans="1:33" x14ac:dyDescent="0.25">
      <c r="A105" s="26" t="s">
        <v>336</v>
      </c>
      <c r="B105" s="70">
        <v>323.8</v>
      </c>
      <c r="C105" s="70" t="s">
        <v>205</v>
      </c>
      <c r="D105" s="70" t="s">
        <v>205</v>
      </c>
      <c r="E105" s="70">
        <v>9.5299999999999994</v>
      </c>
      <c r="F105" s="70">
        <v>1.02</v>
      </c>
      <c r="G105" s="70">
        <v>94.09</v>
      </c>
      <c r="H105" s="70">
        <v>73.86</v>
      </c>
      <c r="I105" s="70">
        <v>11626.7</v>
      </c>
      <c r="J105" s="70">
        <v>11626.7</v>
      </c>
      <c r="K105" s="70">
        <v>718.1</v>
      </c>
      <c r="L105" s="70">
        <v>718.1</v>
      </c>
      <c r="M105" s="70">
        <v>11.12</v>
      </c>
      <c r="N105" s="70">
        <v>11.12</v>
      </c>
      <c r="O105" s="75">
        <v>941.7</v>
      </c>
      <c r="P105" s="75">
        <v>941.7</v>
      </c>
      <c r="Q105" s="70">
        <v>23253.4</v>
      </c>
      <c r="R105" s="70">
        <v>1477.7</v>
      </c>
      <c r="S105" s="26"/>
      <c r="T105" s="26"/>
      <c r="U105" s="26"/>
      <c r="V105" s="26"/>
      <c r="W105" s="26"/>
      <c r="X105" s="26"/>
      <c r="Y105" s="26"/>
      <c r="Z105" s="26"/>
      <c r="AA105" s="26"/>
      <c r="AB105" s="28"/>
      <c r="AC105" s="26"/>
      <c r="AD105" s="26"/>
      <c r="AE105" s="26"/>
      <c r="AF105" s="26"/>
      <c r="AG105" s="27"/>
    </row>
    <row r="106" spans="1:33" x14ac:dyDescent="0.25">
      <c r="A106" s="26" t="s">
        <v>337</v>
      </c>
      <c r="B106" s="70">
        <v>323.8</v>
      </c>
      <c r="C106" s="70" t="s">
        <v>205</v>
      </c>
      <c r="D106" s="70" t="s">
        <v>205</v>
      </c>
      <c r="E106" s="70">
        <v>11.1</v>
      </c>
      <c r="F106" s="70">
        <v>1.02</v>
      </c>
      <c r="G106" s="70">
        <v>109.04</v>
      </c>
      <c r="H106" s="70">
        <v>85.6</v>
      </c>
      <c r="I106" s="70">
        <v>13344.7</v>
      </c>
      <c r="J106" s="70">
        <v>13344.7</v>
      </c>
      <c r="K106" s="70">
        <v>824.3</v>
      </c>
      <c r="L106" s="70">
        <v>824.3</v>
      </c>
      <c r="M106" s="70">
        <v>11.06</v>
      </c>
      <c r="N106" s="70">
        <v>11.06</v>
      </c>
      <c r="O106" s="76">
        <v>1086</v>
      </c>
      <c r="P106" s="76">
        <v>1086</v>
      </c>
      <c r="Q106" s="70">
        <v>26689.5</v>
      </c>
      <c r="R106" s="70">
        <v>1704</v>
      </c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26"/>
      <c r="AD106" s="26"/>
      <c r="AE106" s="26"/>
      <c r="AF106" s="26"/>
      <c r="AG106" s="27"/>
    </row>
    <row r="107" spans="1:33" x14ac:dyDescent="0.25">
      <c r="A107" s="26" t="s">
        <v>338</v>
      </c>
      <c r="B107" s="70">
        <v>323.8</v>
      </c>
      <c r="C107" s="70" t="s">
        <v>205</v>
      </c>
      <c r="D107" s="70" t="s">
        <v>205</v>
      </c>
      <c r="E107" s="70">
        <v>12.7</v>
      </c>
      <c r="F107" s="70">
        <v>1.02</v>
      </c>
      <c r="G107" s="70">
        <v>124.12</v>
      </c>
      <c r="H107" s="70">
        <v>97.44</v>
      </c>
      <c r="I107" s="70">
        <v>15041.2</v>
      </c>
      <c r="J107" s="70">
        <v>15041.2</v>
      </c>
      <c r="K107" s="70">
        <v>929</v>
      </c>
      <c r="L107" s="70">
        <v>929</v>
      </c>
      <c r="M107" s="70">
        <v>11.01</v>
      </c>
      <c r="N107" s="70">
        <v>11.01</v>
      </c>
      <c r="O107" s="76">
        <v>1230.0999999999999</v>
      </c>
      <c r="P107" s="76">
        <v>1230.0999999999999</v>
      </c>
      <c r="Q107" s="70">
        <v>30082.5</v>
      </c>
      <c r="R107" s="70">
        <v>1929.8</v>
      </c>
      <c r="S107" s="26"/>
      <c r="T107" s="26"/>
      <c r="U107" s="26"/>
      <c r="V107" s="26"/>
      <c r="W107" s="26"/>
      <c r="X107" s="26"/>
      <c r="Y107" s="26"/>
      <c r="Z107" s="26"/>
      <c r="AA107" s="26"/>
      <c r="AB107" s="28"/>
      <c r="AC107" s="26"/>
      <c r="AD107" s="26"/>
      <c r="AE107" s="26"/>
      <c r="AF107" s="26"/>
      <c r="AG107" s="27"/>
    </row>
    <row r="108" spans="1:33" x14ac:dyDescent="0.25">
      <c r="A108" s="26" t="s">
        <v>339</v>
      </c>
      <c r="B108" s="70">
        <v>355.6</v>
      </c>
      <c r="C108" s="70" t="s">
        <v>205</v>
      </c>
      <c r="D108" s="70" t="s">
        <v>205</v>
      </c>
      <c r="E108" s="70">
        <v>6.35</v>
      </c>
      <c r="F108" s="70">
        <v>1.1200000000000001</v>
      </c>
      <c r="G108" s="70">
        <v>69.67</v>
      </c>
      <c r="H108" s="70">
        <v>54.69</v>
      </c>
      <c r="I108" s="70">
        <v>10626.3</v>
      </c>
      <c r="J108" s="70">
        <v>10626.3</v>
      </c>
      <c r="K108" s="70">
        <v>597.70000000000005</v>
      </c>
      <c r="L108" s="70">
        <v>597.70000000000005</v>
      </c>
      <c r="M108" s="70">
        <v>12.35</v>
      </c>
      <c r="N108" s="70">
        <v>12.35</v>
      </c>
      <c r="O108" s="75">
        <v>774.8</v>
      </c>
      <c r="P108" s="75">
        <v>774.8</v>
      </c>
      <c r="Q108" s="70">
        <v>21252.6</v>
      </c>
      <c r="R108" s="70">
        <v>1216</v>
      </c>
      <c r="S108" s="26"/>
      <c r="T108" s="26"/>
      <c r="U108" s="26"/>
      <c r="V108" s="26"/>
      <c r="W108" s="26"/>
      <c r="X108" s="26"/>
      <c r="Y108" s="26"/>
      <c r="Z108" s="26"/>
      <c r="AA108" s="26"/>
      <c r="AB108" s="28"/>
      <c r="AC108" s="26"/>
      <c r="AD108" s="26"/>
      <c r="AE108" s="26"/>
      <c r="AF108" s="26"/>
      <c r="AG108" s="27"/>
    </row>
    <row r="109" spans="1:33" x14ac:dyDescent="0.25">
      <c r="A109" s="26" t="s">
        <v>340</v>
      </c>
      <c r="B109" s="70">
        <v>355.6</v>
      </c>
      <c r="C109" s="70" t="s">
        <v>205</v>
      </c>
      <c r="D109" s="70" t="s">
        <v>205</v>
      </c>
      <c r="E109" s="70">
        <v>7.95</v>
      </c>
      <c r="F109" s="70">
        <v>1.1200000000000001</v>
      </c>
      <c r="G109" s="70">
        <v>86.83</v>
      </c>
      <c r="H109" s="70">
        <v>68.16</v>
      </c>
      <c r="I109" s="70">
        <v>13124.3</v>
      </c>
      <c r="J109" s="70">
        <v>13124.3</v>
      </c>
      <c r="K109" s="70">
        <v>738.2</v>
      </c>
      <c r="L109" s="70">
        <v>738.2</v>
      </c>
      <c r="M109" s="70">
        <v>12.29</v>
      </c>
      <c r="N109" s="70">
        <v>12.29</v>
      </c>
      <c r="O109" s="75">
        <v>961.2</v>
      </c>
      <c r="P109" s="75">
        <v>961.2</v>
      </c>
      <c r="Q109" s="70">
        <v>26248.7</v>
      </c>
      <c r="R109" s="70">
        <v>1508.5</v>
      </c>
      <c r="S109" s="26"/>
      <c r="T109" s="26"/>
      <c r="U109" s="26"/>
      <c r="V109" s="26"/>
      <c r="W109" s="26"/>
      <c r="X109" s="26"/>
      <c r="Y109" s="26"/>
      <c r="Z109" s="26"/>
      <c r="AA109" s="26"/>
      <c r="AB109" s="28"/>
      <c r="AC109" s="26"/>
      <c r="AD109" s="26"/>
      <c r="AE109" s="26"/>
      <c r="AF109" s="26"/>
      <c r="AG109" s="27"/>
    </row>
    <row r="110" spans="1:33" x14ac:dyDescent="0.25">
      <c r="A110" s="26" t="s">
        <v>341</v>
      </c>
      <c r="B110" s="70">
        <v>355.6</v>
      </c>
      <c r="C110" s="70" t="s">
        <v>205</v>
      </c>
      <c r="D110" s="70" t="s">
        <v>205</v>
      </c>
      <c r="E110" s="70">
        <v>9.5299999999999994</v>
      </c>
      <c r="F110" s="70">
        <v>1.1200000000000001</v>
      </c>
      <c r="G110" s="70">
        <v>103.61</v>
      </c>
      <c r="H110" s="70">
        <v>81.33</v>
      </c>
      <c r="I110" s="70">
        <v>15522.8</v>
      </c>
      <c r="J110" s="70">
        <v>15522.8</v>
      </c>
      <c r="K110" s="70">
        <v>873</v>
      </c>
      <c r="L110" s="70">
        <v>873</v>
      </c>
      <c r="M110" s="70">
        <v>12.24</v>
      </c>
      <c r="N110" s="70">
        <v>12.24</v>
      </c>
      <c r="O110" s="76">
        <v>1141.9000000000001</v>
      </c>
      <c r="P110" s="76">
        <v>1141.9000000000001</v>
      </c>
      <c r="Q110" s="70">
        <v>31045.599999999999</v>
      </c>
      <c r="R110" s="70">
        <v>1791.9</v>
      </c>
      <c r="S110" s="26"/>
      <c r="T110" s="26"/>
      <c r="U110" s="26"/>
      <c r="V110" s="26"/>
      <c r="W110" s="26"/>
      <c r="X110" s="26"/>
      <c r="Y110" s="26"/>
      <c r="Z110" s="26"/>
      <c r="AA110" s="26"/>
      <c r="AB110" s="28"/>
      <c r="AC110" s="26"/>
      <c r="AD110" s="26"/>
      <c r="AE110" s="26"/>
      <c r="AF110" s="26"/>
      <c r="AG110" s="27"/>
    </row>
    <row r="111" spans="1:33" x14ac:dyDescent="0.25">
      <c r="A111" s="26" t="s">
        <v>342</v>
      </c>
      <c r="B111" s="70">
        <v>355.6</v>
      </c>
      <c r="C111" s="70" t="s">
        <v>205</v>
      </c>
      <c r="D111" s="70" t="s">
        <v>205</v>
      </c>
      <c r="E111" s="70">
        <v>11.1</v>
      </c>
      <c r="F111" s="70">
        <v>1.1200000000000001</v>
      </c>
      <c r="G111" s="70">
        <v>120.13</v>
      </c>
      <c r="H111" s="70">
        <v>94.3</v>
      </c>
      <c r="I111" s="70">
        <v>17840.099999999999</v>
      </c>
      <c r="J111" s="70">
        <v>17840.099999999999</v>
      </c>
      <c r="K111" s="70">
        <v>1003.4</v>
      </c>
      <c r="L111" s="70">
        <v>1003.4</v>
      </c>
      <c r="M111" s="70">
        <v>12.19</v>
      </c>
      <c r="N111" s="70">
        <v>12.19</v>
      </c>
      <c r="O111" s="76">
        <v>1318.1</v>
      </c>
      <c r="P111" s="76">
        <v>1318.1</v>
      </c>
      <c r="Q111" s="70">
        <v>35680.199999999997</v>
      </c>
      <c r="R111" s="70">
        <v>2068.1999999999998</v>
      </c>
      <c r="S111" s="26"/>
      <c r="T111" s="26"/>
      <c r="U111" s="26"/>
      <c r="V111" s="26"/>
      <c r="W111" s="26"/>
      <c r="X111" s="26"/>
      <c r="Y111" s="26"/>
      <c r="Z111" s="26"/>
      <c r="AA111" s="26"/>
      <c r="AB111" s="28"/>
      <c r="AC111" s="26"/>
      <c r="AD111" s="26"/>
      <c r="AE111" s="26"/>
      <c r="AF111" s="26"/>
      <c r="AG111" s="27"/>
    </row>
    <row r="112" spans="1:33" x14ac:dyDescent="0.25">
      <c r="A112" s="26" t="s">
        <v>343</v>
      </c>
      <c r="B112" s="70">
        <v>355.6</v>
      </c>
      <c r="C112" s="70" t="s">
        <v>205</v>
      </c>
      <c r="D112" s="70" t="s">
        <v>205</v>
      </c>
      <c r="E112" s="70">
        <v>12.7</v>
      </c>
      <c r="F112" s="70">
        <v>1.1200000000000001</v>
      </c>
      <c r="G112" s="70">
        <v>136.81</v>
      </c>
      <c r="H112" s="70">
        <v>107.4</v>
      </c>
      <c r="I112" s="70">
        <v>20135.3</v>
      </c>
      <c r="J112" s="70">
        <v>20135.3</v>
      </c>
      <c r="K112" s="70">
        <v>1132.5</v>
      </c>
      <c r="L112" s="70">
        <v>1132.5</v>
      </c>
      <c r="M112" s="70">
        <v>12.13</v>
      </c>
      <c r="N112" s="70">
        <v>12.13</v>
      </c>
      <c r="O112" s="76">
        <v>1494.3</v>
      </c>
      <c r="P112" s="76">
        <v>1494.3</v>
      </c>
      <c r="Q112" s="70">
        <v>40270.6</v>
      </c>
      <c r="R112" s="70">
        <v>2344.4</v>
      </c>
      <c r="S112" s="26"/>
      <c r="T112" s="26"/>
      <c r="U112" s="26"/>
      <c r="V112" s="26"/>
      <c r="W112" s="26"/>
      <c r="X112" s="26"/>
      <c r="Y112" s="26"/>
      <c r="Z112" s="26"/>
      <c r="AA112" s="26"/>
      <c r="AB112" s="28"/>
      <c r="AC112" s="26"/>
      <c r="AD112" s="26"/>
      <c r="AE112" s="26"/>
      <c r="AF112" s="26"/>
      <c r="AG112" s="27"/>
    </row>
    <row r="113" spans="1:33" x14ac:dyDescent="0.25">
      <c r="A113" s="26" t="s">
        <v>344</v>
      </c>
      <c r="B113" s="70">
        <v>406.4</v>
      </c>
      <c r="C113" s="70" t="s">
        <v>205</v>
      </c>
      <c r="D113" s="70" t="s">
        <v>205</v>
      </c>
      <c r="E113" s="70">
        <v>6.35</v>
      </c>
      <c r="F113" s="70">
        <v>1.28</v>
      </c>
      <c r="G113" s="70">
        <v>79.819999999999993</v>
      </c>
      <c r="H113" s="70">
        <v>62.66</v>
      </c>
      <c r="I113" s="70">
        <v>15975.2</v>
      </c>
      <c r="J113" s="70">
        <v>15975.2</v>
      </c>
      <c r="K113" s="70">
        <v>786.1</v>
      </c>
      <c r="L113" s="70">
        <v>786.1</v>
      </c>
      <c r="M113" s="70">
        <v>14.15</v>
      </c>
      <c r="N113" s="70">
        <v>14.15</v>
      </c>
      <c r="O113" s="76">
        <v>1016.8</v>
      </c>
      <c r="P113" s="76">
        <v>1016.8</v>
      </c>
      <c r="Q113" s="70">
        <v>31950.3</v>
      </c>
      <c r="R113" s="70">
        <v>1595.9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8"/>
      <c r="AC113" s="26"/>
      <c r="AD113" s="26"/>
      <c r="AE113" s="26"/>
      <c r="AF113" s="26"/>
      <c r="AG113" s="27"/>
    </row>
    <row r="114" spans="1:33" x14ac:dyDescent="0.25">
      <c r="A114" s="26" t="s">
        <v>345</v>
      </c>
      <c r="B114" s="70">
        <v>406.4</v>
      </c>
      <c r="C114" s="70" t="s">
        <v>205</v>
      </c>
      <c r="D114" s="70" t="s">
        <v>205</v>
      </c>
      <c r="E114" s="70">
        <v>7.95</v>
      </c>
      <c r="F114" s="70">
        <v>1.28</v>
      </c>
      <c r="G114" s="70">
        <v>99.53</v>
      </c>
      <c r="H114" s="70">
        <v>78.13</v>
      </c>
      <c r="I114" s="70">
        <v>19764.3</v>
      </c>
      <c r="J114" s="70">
        <v>19764.3</v>
      </c>
      <c r="K114" s="70">
        <v>972.5</v>
      </c>
      <c r="L114" s="70">
        <v>972.5</v>
      </c>
      <c r="M114" s="70">
        <v>14.09</v>
      </c>
      <c r="N114" s="70">
        <v>14.09</v>
      </c>
      <c r="O114" s="76">
        <v>1262.9000000000001</v>
      </c>
      <c r="P114" s="76">
        <v>1262.9000000000001</v>
      </c>
      <c r="Q114" s="70">
        <v>39528.6</v>
      </c>
      <c r="R114" s="70">
        <v>1982.1</v>
      </c>
      <c r="S114" s="26"/>
      <c r="T114" s="26"/>
      <c r="U114" s="26"/>
      <c r="V114" s="26"/>
      <c r="W114" s="26"/>
      <c r="X114" s="26"/>
      <c r="Y114" s="26"/>
      <c r="Z114" s="26"/>
      <c r="AA114" s="26"/>
      <c r="AB114" s="28"/>
      <c r="AC114" s="26"/>
      <c r="AD114" s="26"/>
      <c r="AE114" s="26"/>
      <c r="AF114" s="26"/>
      <c r="AG114" s="27"/>
    </row>
    <row r="115" spans="1:33" x14ac:dyDescent="0.25">
      <c r="A115" s="26" t="s">
        <v>346</v>
      </c>
      <c r="B115" s="70">
        <v>406.4</v>
      </c>
      <c r="C115" s="70" t="s">
        <v>205</v>
      </c>
      <c r="D115" s="70" t="s">
        <v>205</v>
      </c>
      <c r="E115" s="70">
        <v>9.5299999999999994</v>
      </c>
      <c r="F115" s="70">
        <v>1.28</v>
      </c>
      <c r="G115" s="70">
        <v>118.84</v>
      </c>
      <c r="H115" s="70">
        <v>93.29</v>
      </c>
      <c r="I115" s="70">
        <v>23415.8</v>
      </c>
      <c r="J115" s="70">
        <v>23415.8</v>
      </c>
      <c r="K115" s="70">
        <v>1152.2</v>
      </c>
      <c r="L115" s="70">
        <v>1152.2</v>
      </c>
      <c r="M115" s="70">
        <v>14.04</v>
      </c>
      <c r="N115" s="70">
        <v>14.04</v>
      </c>
      <c r="O115" s="76">
        <v>1502</v>
      </c>
      <c r="P115" s="76">
        <v>1502</v>
      </c>
      <c r="Q115" s="70">
        <v>46831.6</v>
      </c>
      <c r="R115" s="70">
        <v>2357.1999999999998</v>
      </c>
      <c r="S115" s="26"/>
      <c r="T115" s="26"/>
      <c r="U115" s="26"/>
      <c r="V115" s="26"/>
      <c r="W115" s="26"/>
      <c r="X115" s="26"/>
      <c r="Y115" s="26"/>
      <c r="Z115" s="26"/>
      <c r="AA115" s="26"/>
      <c r="AB115" s="28"/>
      <c r="AC115" s="26"/>
      <c r="AD115" s="26"/>
      <c r="AE115" s="26"/>
      <c r="AF115" s="26"/>
      <c r="AG115" s="27"/>
    </row>
    <row r="116" spans="1:33" x14ac:dyDescent="0.25">
      <c r="A116" s="26" t="s">
        <v>347</v>
      </c>
      <c r="B116" s="70">
        <v>406.4</v>
      </c>
      <c r="C116" s="70" t="s">
        <v>205</v>
      </c>
      <c r="D116" s="70" t="s">
        <v>205</v>
      </c>
      <c r="E116" s="70">
        <v>11.1</v>
      </c>
      <c r="F116" s="70">
        <v>1.28</v>
      </c>
      <c r="G116" s="70">
        <v>137.87</v>
      </c>
      <c r="H116" s="70">
        <v>108.22</v>
      </c>
      <c r="I116" s="70">
        <v>26956.7</v>
      </c>
      <c r="J116" s="70">
        <v>26956.7</v>
      </c>
      <c r="K116" s="70">
        <v>1326.4</v>
      </c>
      <c r="L116" s="70">
        <v>1326.4</v>
      </c>
      <c r="M116" s="70">
        <v>13.98</v>
      </c>
      <c r="N116" s="70">
        <v>13.98</v>
      </c>
      <c r="O116" s="76">
        <v>1735.8</v>
      </c>
      <c r="P116" s="76">
        <v>1735.8</v>
      </c>
      <c r="Q116" s="70">
        <v>53913.4</v>
      </c>
      <c r="R116" s="70">
        <v>2723.9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8"/>
      <c r="AC116" s="26"/>
      <c r="AD116" s="26"/>
      <c r="AE116" s="26"/>
      <c r="AF116" s="26"/>
      <c r="AG116" s="27"/>
    </row>
    <row r="117" spans="1:33" x14ac:dyDescent="0.25">
      <c r="A117" s="26" t="s">
        <v>348</v>
      </c>
      <c r="B117" s="70">
        <v>406.4</v>
      </c>
      <c r="C117" s="70" t="s">
        <v>205</v>
      </c>
      <c r="D117" s="70" t="s">
        <v>205</v>
      </c>
      <c r="E117" s="70">
        <v>12.7</v>
      </c>
      <c r="F117" s="70">
        <v>1.28</v>
      </c>
      <c r="G117" s="70">
        <v>157.1</v>
      </c>
      <c r="H117" s="70">
        <v>123.32</v>
      </c>
      <c r="I117" s="70">
        <v>30477.1</v>
      </c>
      <c r="J117" s="70">
        <v>30477.1</v>
      </c>
      <c r="K117" s="70">
        <v>1499.7</v>
      </c>
      <c r="L117" s="70">
        <v>1499.7</v>
      </c>
      <c r="M117" s="70">
        <v>13.93</v>
      </c>
      <c r="N117" s="70">
        <v>13.93</v>
      </c>
      <c r="O117" s="76">
        <v>1970.1</v>
      </c>
      <c r="P117" s="76">
        <v>1970.1</v>
      </c>
      <c r="Q117" s="70">
        <v>60954.2</v>
      </c>
      <c r="R117" s="70">
        <v>3091.3</v>
      </c>
      <c r="S117" s="26"/>
      <c r="T117" s="26"/>
      <c r="U117" s="26"/>
      <c r="V117" s="26"/>
      <c r="W117" s="26"/>
      <c r="X117" s="26"/>
      <c r="Y117" s="26"/>
      <c r="Z117" s="26"/>
      <c r="AA117" s="26"/>
      <c r="AB117" s="28"/>
      <c r="AC117" s="26"/>
      <c r="AD117" s="26"/>
      <c r="AE117" s="26"/>
      <c r="AF117" s="26"/>
      <c r="AG117" s="27"/>
    </row>
    <row r="118" spans="1:33" x14ac:dyDescent="0.25">
      <c r="A118" s="26" t="s">
        <v>349</v>
      </c>
      <c r="B118" s="70">
        <v>457.2</v>
      </c>
      <c r="C118" s="70" t="s">
        <v>205</v>
      </c>
      <c r="D118" s="70" t="s">
        <v>205</v>
      </c>
      <c r="E118" s="70">
        <v>6.35</v>
      </c>
      <c r="F118" s="70">
        <v>1.44</v>
      </c>
      <c r="G118" s="70">
        <v>89.94</v>
      </c>
      <c r="H118" s="70">
        <v>70.599999999999994</v>
      </c>
      <c r="I118" s="70">
        <v>22856.6</v>
      </c>
      <c r="J118" s="70">
        <v>22856.6</v>
      </c>
      <c r="K118" s="70">
        <v>999.9</v>
      </c>
      <c r="L118" s="70">
        <v>999.9</v>
      </c>
      <c r="M118" s="70">
        <v>15.94</v>
      </c>
      <c r="N118" s="70">
        <v>15.94</v>
      </c>
      <c r="O118" s="76">
        <v>1291.0999999999999</v>
      </c>
      <c r="P118" s="76">
        <v>1291.0999999999999</v>
      </c>
      <c r="Q118" s="70">
        <v>45713.3</v>
      </c>
      <c r="R118" s="70">
        <v>2026.5</v>
      </c>
      <c r="S118" s="26"/>
      <c r="T118" s="26"/>
      <c r="U118" s="26"/>
      <c r="V118" s="26"/>
      <c r="W118" s="26"/>
      <c r="X118" s="26"/>
      <c r="Y118" s="26"/>
      <c r="Z118" s="26"/>
      <c r="AA118" s="26"/>
      <c r="AB118" s="28"/>
      <c r="AC118" s="26"/>
      <c r="AD118" s="26"/>
      <c r="AE118" s="26"/>
      <c r="AF118" s="26"/>
      <c r="AG118" s="27"/>
    </row>
    <row r="119" spans="1:33" x14ac:dyDescent="0.25">
      <c r="A119" s="26" t="s">
        <v>350</v>
      </c>
      <c r="B119" s="70">
        <v>457.2</v>
      </c>
      <c r="C119" s="70" t="s">
        <v>205</v>
      </c>
      <c r="D119" s="70" t="s">
        <v>205</v>
      </c>
      <c r="E119" s="70">
        <v>7.95</v>
      </c>
      <c r="F119" s="70">
        <v>1.44</v>
      </c>
      <c r="G119" s="70">
        <v>112.2</v>
      </c>
      <c r="H119" s="70">
        <v>88.08</v>
      </c>
      <c r="I119" s="70">
        <v>28315.5</v>
      </c>
      <c r="J119" s="70">
        <v>28315.5</v>
      </c>
      <c r="K119" s="70">
        <v>1238.5999999999999</v>
      </c>
      <c r="L119" s="70">
        <v>1238.5999999999999</v>
      </c>
      <c r="M119" s="70">
        <v>15.89</v>
      </c>
      <c r="N119" s="70">
        <v>15.89</v>
      </c>
      <c r="O119" s="76">
        <v>1605</v>
      </c>
      <c r="P119" s="76">
        <v>1605</v>
      </c>
      <c r="Q119" s="70">
        <v>56630.9</v>
      </c>
      <c r="R119" s="70">
        <v>2519.1</v>
      </c>
      <c r="S119" s="26"/>
      <c r="T119" s="26"/>
      <c r="U119" s="26"/>
      <c r="V119" s="26"/>
      <c r="W119" s="26"/>
      <c r="X119" s="26"/>
      <c r="Y119" s="26"/>
      <c r="Z119" s="26"/>
      <c r="AA119" s="26"/>
      <c r="AB119" s="28"/>
      <c r="AC119" s="26"/>
      <c r="AD119" s="26"/>
      <c r="AE119" s="26"/>
      <c r="AF119" s="26"/>
      <c r="AG119" s="27"/>
    </row>
    <row r="120" spans="1:33" x14ac:dyDescent="0.25">
      <c r="A120" s="26" t="s">
        <v>351</v>
      </c>
      <c r="B120" s="70">
        <v>457.2</v>
      </c>
      <c r="C120" s="70" t="s">
        <v>205</v>
      </c>
      <c r="D120" s="70" t="s">
        <v>205</v>
      </c>
      <c r="E120" s="70">
        <v>9.5299999999999994</v>
      </c>
      <c r="F120" s="70">
        <v>1.44</v>
      </c>
      <c r="G120" s="70">
        <v>134.03</v>
      </c>
      <c r="H120" s="70">
        <v>105.21</v>
      </c>
      <c r="I120" s="70">
        <v>33590.800000000003</v>
      </c>
      <c r="J120" s="70">
        <v>33590.800000000003</v>
      </c>
      <c r="K120" s="70">
        <v>1469.4</v>
      </c>
      <c r="L120" s="70">
        <v>1469.4</v>
      </c>
      <c r="M120" s="70">
        <v>15.83</v>
      </c>
      <c r="N120" s="70">
        <v>15.83</v>
      </c>
      <c r="O120" s="76">
        <v>1910.6</v>
      </c>
      <c r="P120" s="76">
        <v>1910.6</v>
      </c>
      <c r="Q120" s="70">
        <v>67181.600000000006</v>
      </c>
      <c r="R120" s="70">
        <v>2998.5</v>
      </c>
      <c r="S120" s="26"/>
      <c r="T120" s="26"/>
      <c r="U120" s="26"/>
      <c r="V120" s="26"/>
      <c r="W120" s="26"/>
      <c r="X120" s="26"/>
      <c r="Y120" s="26"/>
      <c r="Z120" s="26"/>
      <c r="AA120" s="26"/>
      <c r="AB120" s="28"/>
      <c r="AC120" s="26"/>
      <c r="AD120" s="26"/>
      <c r="AE120" s="26"/>
      <c r="AF120" s="26"/>
      <c r="AG120" s="27"/>
    </row>
    <row r="121" spans="1:33" x14ac:dyDescent="0.25">
      <c r="A121" s="26" t="s">
        <v>352</v>
      </c>
      <c r="B121" s="70">
        <v>457.2</v>
      </c>
      <c r="C121" s="70" t="s">
        <v>205</v>
      </c>
      <c r="D121" s="70" t="s">
        <v>205</v>
      </c>
      <c r="E121" s="70">
        <v>11.1</v>
      </c>
      <c r="F121" s="70">
        <v>1.44</v>
      </c>
      <c r="G121" s="70">
        <v>155.56</v>
      </c>
      <c r="H121" s="70">
        <v>122.12</v>
      </c>
      <c r="I121" s="70">
        <v>38720.9</v>
      </c>
      <c r="J121" s="70">
        <v>38720.9</v>
      </c>
      <c r="K121" s="70">
        <v>1693.8</v>
      </c>
      <c r="L121" s="70">
        <v>1693.8</v>
      </c>
      <c r="M121" s="70">
        <v>15.78</v>
      </c>
      <c r="N121" s="70">
        <v>15.78</v>
      </c>
      <c r="O121" s="76">
        <v>2209.9</v>
      </c>
      <c r="P121" s="76">
        <v>2209.9</v>
      </c>
      <c r="Q121" s="70">
        <v>77441.7</v>
      </c>
      <c r="R121" s="70">
        <v>3468.1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8"/>
      <c r="AC121" s="26"/>
      <c r="AD121" s="26"/>
      <c r="AE121" s="26"/>
      <c r="AF121" s="26"/>
      <c r="AG121" s="27"/>
    </row>
    <row r="122" spans="1:33" x14ac:dyDescent="0.25">
      <c r="A122" s="26" t="s">
        <v>353</v>
      </c>
      <c r="B122" s="70">
        <v>457.2</v>
      </c>
      <c r="C122" s="70" t="s">
        <v>205</v>
      </c>
      <c r="D122" s="70" t="s">
        <v>205</v>
      </c>
      <c r="E122" s="70">
        <v>12.7</v>
      </c>
      <c r="F122" s="70">
        <v>1.44</v>
      </c>
      <c r="G122" s="70">
        <v>177.35</v>
      </c>
      <c r="H122" s="70">
        <v>139.22</v>
      </c>
      <c r="I122" s="70">
        <v>43835.9</v>
      </c>
      <c r="J122" s="70">
        <v>43835.9</v>
      </c>
      <c r="K122" s="70">
        <v>1917.6</v>
      </c>
      <c r="L122" s="70">
        <v>1917.6</v>
      </c>
      <c r="M122" s="70">
        <v>15.72</v>
      </c>
      <c r="N122" s="70">
        <v>15.72</v>
      </c>
      <c r="O122" s="76">
        <v>2510.5</v>
      </c>
      <c r="P122" s="76">
        <v>2510.5</v>
      </c>
      <c r="Q122" s="70">
        <v>87671.8</v>
      </c>
      <c r="R122" s="70">
        <v>3939.6</v>
      </c>
      <c r="S122" s="26"/>
      <c r="T122" s="26"/>
      <c r="U122" s="26"/>
      <c r="V122" s="26"/>
      <c r="W122" s="26"/>
      <c r="X122" s="26"/>
      <c r="Y122" s="26"/>
      <c r="Z122" s="26"/>
      <c r="AA122" s="26"/>
      <c r="AB122" s="28"/>
      <c r="AC122" s="26"/>
      <c r="AD122" s="26"/>
      <c r="AE122" s="26"/>
      <c r="AF122" s="26"/>
      <c r="AG122" s="27"/>
    </row>
    <row r="123" spans="1:33" x14ac:dyDescent="0.25">
      <c r="A123" s="26" t="s">
        <v>354</v>
      </c>
      <c r="B123" s="70">
        <v>508.2</v>
      </c>
      <c r="C123" s="70" t="s">
        <v>205</v>
      </c>
      <c r="D123" s="70" t="s">
        <v>205</v>
      </c>
      <c r="E123" s="70">
        <v>6.35</v>
      </c>
      <c r="F123" s="70">
        <v>1.6</v>
      </c>
      <c r="G123" s="70">
        <v>100.11</v>
      </c>
      <c r="H123" s="70">
        <v>78.59</v>
      </c>
      <c r="I123" s="70">
        <v>31522.6</v>
      </c>
      <c r="J123" s="70">
        <v>31522.6</v>
      </c>
      <c r="K123" s="70">
        <v>1240.5999999999999</v>
      </c>
      <c r="L123" s="70">
        <v>1240.5999999999999</v>
      </c>
      <c r="M123" s="70">
        <v>17.739999999999998</v>
      </c>
      <c r="N123" s="70">
        <v>17.739999999999998</v>
      </c>
      <c r="O123" s="76">
        <v>1599.7</v>
      </c>
      <c r="P123" s="76">
        <v>1599.7</v>
      </c>
      <c r="Q123" s="70">
        <v>63045.1</v>
      </c>
      <c r="R123" s="70">
        <v>2510.9</v>
      </c>
      <c r="S123" s="26"/>
      <c r="T123" s="26"/>
      <c r="U123" s="26"/>
      <c r="V123" s="26"/>
      <c r="W123" s="26"/>
      <c r="X123" s="26"/>
      <c r="Y123" s="26"/>
      <c r="Z123" s="26"/>
      <c r="AA123" s="26"/>
      <c r="AB123" s="28"/>
      <c r="AC123" s="26"/>
      <c r="AD123" s="26"/>
      <c r="AE123" s="26"/>
      <c r="AF123" s="26"/>
      <c r="AG123" s="27"/>
    </row>
    <row r="124" spans="1:33" x14ac:dyDescent="0.25">
      <c r="A124" s="26" t="s">
        <v>355</v>
      </c>
      <c r="B124" s="70">
        <v>508.2</v>
      </c>
      <c r="C124" s="70" t="s">
        <v>205</v>
      </c>
      <c r="D124" s="70" t="s">
        <v>205</v>
      </c>
      <c r="E124" s="70">
        <v>9.5299999999999994</v>
      </c>
      <c r="F124" s="70">
        <v>1.6</v>
      </c>
      <c r="G124" s="70">
        <v>149.30000000000001</v>
      </c>
      <c r="H124" s="70">
        <v>117.2</v>
      </c>
      <c r="I124" s="70">
        <v>46424.5</v>
      </c>
      <c r="J124" s="70">
        <v>46424.5</v>
      </c>
      <c r="K124" s="70">
        <v>1827</v>
      </c>
      <c r="L124" s="70">
        <v>1827</v>
      </c>
      <c r="M124" s="70">
        <v>17.63</v>
      </c>
      <c r="N124" s="70">
        <v>17.63</v>
      </c>
      <c r="O124" s="76">
        <v>2370.6</v>
      </c>
      <c r="P124" s="76">
        <v>2370.6</v>
      </c>
      <c r="Q124" s="70">
        <v>92849.1</v>
      </c>
      <c r="R124" s="70">
        <v>3720.7</v>
      </c>
      <c r="S124" s="26"/>
      <c r="T124" s="26"/>
      <c r="U124" s="26"/>
      <c r="V124" s="26"/>
      <c r="W124" s="26"/>
      <c r="X124" s="26"/>
      <c r="Y124" s="26"/>
      <c r="Z124" s="26"/>
      <c r="AA124" s="26"/>
      <c r="AB124" s="28"/>
      <c r="AC124" s="26"/>
      <c r="AD124" s="26"/>
      <c r="AE124" s="26"/>
      <c r="AF124" s="26"/>
      <c r="AG124" s="27"/>
    </row>
    <row r="125" spans="1:33" x14ac:dyDescent="0.25">
      <c r="A125" s="26" t="s">
        <v>356</v>
      </c>
      <c r="B125" s="70">
        <v>508.2</v>
      </c>
      <c r="C125" s="70" t="s">
        <v>205</v>
      </c>
      <c r="D125" s="70" t="s">
        <v>205</v>
      </c>
      <c r="E125" s="70">
        <v>12.7</v>
      </c>
      <c r="F125" s="70">
        <v>1.6</v>
      </c>
      <c r="G125" s="70">
        <v>197.7</v>
      </c>
      <c r="H125" s="70">
        <v>155.19</v>
      </c>
      <c r="I125" s="70">
        <v>60712.3</v>
      </c>
      <c r="J125" s="70">
        <v>60712.3</v>
      </c>
      <c r="K125" s="70">
        <v>2389.3000000000002</v>
      </c>
      <c r="L125" s="70">
        <v>2389.3000000000002</v>
      </c>
      <c r="M125" s="70">
        <v>17.52</v>
      </c>
      <c r="N125" s="70">
        <v>17.52</v>
      </c>
      <c r="O125" s="76">
        <v>3119.4</v>
      </c>
      <c r="P125" s="76">
        <v>3119.4</v>
      </c>
      <c r="Q125" s="70">
        <v>121424.5</v>
      </c>
      <c r="R125" s="70">
        <v>4895.3999999999996</v>
      </c>
      <c r="S125" s="26"/>
      <c r="T125" s="26"/>
      <c r="U125" s="26"/>
      <c r="V125" s="26"/>
      <c r="W125" s="26"/>
      <c r="X125" s="26"/>
      <c r="Y125" s="26"/>
      <c r="Z125" s="26"/>
      <c r="AA125" s="26"/>
      <c r="AB125" s="28"/>
      <c r="AC125" s="26"/>
      <c r="AD125" s="26"/>
      <c r="AE125" s="26"/>
      <c r="AF125" s="26"/>
      <c r="AG125" s="27"/>
    </row>
    <row r="126" spans="1:33" x14ac:dyDescent="0.25">
      <c r="A126" s="26" t="s">
        <v>357</v>
      </c>
      <c r="B126" s="70">
        <v>508.2</v>
      </c>
      <c r="C126" s="70" t="s">
        <v>205</v>
      </c>
      <c r="D126" s="70" t="s">
        <v>205</v>
      </c>
      <c r="E126" s="70">
        <v>15.87</v>
      </c>
      <c r="F126" s="70">
        <v>1.6</v>
      </c>
      <c r="G126" s="70">
        <v>245.46</v>
      </c>
      <c r="H126" s="70">
        <v>192.69</v>
      </c>
      <c r="I126" s="70">
        <v>74448.100000000006</v>
      </c>
      <c r="J126" s="70">
        <v>74448.100000000006</v>
      </c>
      <c r="K126" s="70">
        <v>2929.9</v>
      </c>
      <c r="L126" s="70">
        <v>2929.9</v>
      </c>
      <c r="M126" s="70">
        <v>17.420000000000002</v>
      </c>
      <c r="N126" s="70">
        <v>17.420000000000002</v>
      </c>
      <c r="O126" s="76">
        <v>3848.8</v>
      </c>
      <c r="P126" s="76">
        <v>3848.8</v>
      </c>
      <c r="Q126" s="70">
        <v>148896.1</v>
      </c>
      <c r="R126" s="70">
        <v>6039.3</v>
      </c>
      <c r="S126" s="26"/>
      <c r="T126" s="26"/>
      <c r="U126" s="26"/>
      <c r="V126" s="26"/>
      <c r="W126" s="26"/>
      <c r="X126" s="26"/>
      <c r="Y126" s="26"/>
      <c r="Z126" s="26"/>
      <c r="AA126" s="26"/>
      <c r="AB126" s="28"/>
      <c r="AC126" s="26"/>
      <c r="AD126" s="26"/>
      <c r="AE126" s="26"/>
      <c r="AF126" s="26"/>
      <c r="AG126" s="27"/>
    </row>
    <row r="127" spans="1:33" x14ac:dyDescent="0.25">
      <c r="A127" s="26" t="s">
        <v>358</v>
      </c>
      <c r="B127" s="70">
        <v>558.79999999999995</v>
      </c>
      <c r="C127" s="70" t="s">
        <v>205</v>
      </c>
      <c r="D127" s="70" t="s">
        <v>205</v>
      </c>
      <c r="E127" s="70">
        <v>6.35</v>
      </c>
      <c r="F127" s="70">
        <v>1.76</v>
      </c>
      <c r="G127" s="70">
        <v>110.21</v>
      </c>
      <c r="H127" s="70">
        <v>86.51</v>
      </c>
      <c r="I127" s="70">
        <v>42050</v>
      </c>
      <c r="J127" s="70">
        <v>42050</v>
      </c>
      <c r="K127" s="70">
        <v>1505</v>
      </c>
      <c r="L127" s="70">
        <v>1505</v>
      </c>
      <c r="M127" s="70">
        <v>19.53</v>
      </c>
      <c r="N127" s="70">
        <v>19.53</v>
      </c>
      <c r="O127" s="76">
        <v>1938.5</v>
      </c>
      <c r="P127" s="76">
        <v>1938.5</v>
      </c>
      <c r="Q127" s="70">
        <v>84100.1</v>
      </c>
      <c r="R127" s="70">
        <v>3042.7</v>
      </c>
      <c r="S127" s="26"/>
      <c r="T127" s="26"/>
      <c r="U127" s="26"/>
      <c r="V127" s="26"/>
      <c r="W127" s="26"/>
      <c r="X127" s="26"/>
      <c r="Y127" s="26"/>
      <c r="Z127" s="26"/>
      <c r="AA127" s="26"/>
      <c r="AB127" s="28"/>
      <c r="AC127" s="26"/>
      <c r="AD127" s="26"/>
      <c r="AE127" s="26"/>
      <c r="AF127" s="26"/>
      <c r="AG127" s="27"/>
    </row>
    <row r="128" spans="1:33" x14ac:dyDescent="0.25">
      <c r="A128" s="26" t="s">
        <v>359</v>
      </c>
      <c r="B128" s="70">
        <v>558.79999999999995</v>
      </c>
      <c r="C128" s="70" t="s">
        <v>205</v>
      </c>
      <c r="D128" s="70" t="s">
        <v>205</v>
      </c>
      <c r="E128" s="70">
        <v>9.5299999999999994</v>
      </c>
      <c r="F128" s="70">
        <v>1.76</v>
      </c>
      <c r="G128" s="70">
        <v>164.45</v>
      </c>
      <c r="H128" s="70">
        <v>129.09</v>
      </c>
      <c r="I128" s="70">
        <v>62035.1</v>
      </c>
      <c r="J128" s="70">
        <v>62035.1</v>
      </c>
      <c r="K128" s="70">
        <v>2220.3000000000002</v>
      </c>
      <c r="L128" s="70">
        <v>2220.3000000000002</v>
      </c>
      <c r="M128" s="70">
        <v>19.420000000000002</v>
      </c>
      <c r="N128" s="70">
        <v>19.420000000000002</v>
      </c>
      <c r="O128" s="76">
        <v>2876</v>
      </c>
      <c r="P128" s="76">
        <v>2876</v>
      </c>
      <c r="Q128" s="70">
        <v>124070.3</v>
      </c>
      <c r="R128" s="70">
        <v>4514</v>
      </c>
      <c r="S128" s="26"/>
      <c r="T128" s="26"/>
      <c r="U128" s="26"/>
      <c r="V128" s="26"/>
      <c r="W128" s="26"/>
      <c r="X128" s="26"/>
      <c r="Y128" s="26"/>
      <c r="Z128" s="26"/>
      <c r="AA128" s="26"/>
      <c r="AB128" s="28"/>
      <c r="AC128" s="26"/>
      <c r="AD128" s="26"/>
      <c r="AE128" s="26"/>
      <c r="AF128" s="26"/>
      <c r="AG128" s="27"/>
    </row>
    <row r="129" spans="1:33" x14ac:dyDescent="0.25">
      <c r="A129" s="26" t="s">
        <v>360</v>
      </c>
      <c r="B129" s="70">
        <v>558.79999999999995</v>
      </c>
      <c r="C129" s="70" t="s">
        <v>205</v>
      </c>
      <c r="D129" s="70" t="s">
        <v>205</v>
      </c>
      <c r="E129" s="70">
        <v>12.7</v>
      </c>
      <c r="F129" s="70">
        <v>1.76</v>
      </c>
      <c r="G129" s="70">
        <v>217.88</v>
      </c>
      <c r="H129" s="70">
        <v>171.04</v>
      </c>
      <c r="I129" s="70">
        <v>81266.5</v>
      </c>
      <c r="J129" s="70">
        <v>81266.5</v>
      </c>
      <c r="K129" s="70">
        <v>2908.6</v>
      </c>
      <c r="L129" s="70">
        <v>2908.6</v>
      </c>
      <c r="M129" s="70">
        <v>19.309999999999999</v>
      </c>
      <c r="N129" s="70">
        <v>19.309999999999999</v>
      </c>
      <c r="O129" s="76">
        <v>3788.9</v>
      </c>
      <c r="P129" s="76">
        <v>3788.9</v>
      </c>
      <c r="Q129" s="70">
        <v>162533</v>
      </c>
      <c r="R129" s="70">
        <v>5946.3</v>
      </c>
      <c r="S129" s="26"/>
      <c r="T129" s="26"/>
      <c r="U129" s="26"/>
      <c r="V129" s="26"/>
      <c r="W129" s="26"/>
      <c r="X129" s="26"/>
      <c r="Y129" s="26"/>
      <c r="Z129" s="26"/>
      <c r="AA129" s="26"/>
      <c r="AB129" s="28"/>
      <c r="AC129" s="26"/>
      <c r="AD129" s="26"/>
      <c r="AE129" s="26"/>
      <c r="AF129" s="26"/>
      <c r="AG129" s="27"/>
    </row>
    <row r="130" spans="1:33" x14ac:dyDescent="0.25">
      <c r="A130" s="26" t="s">
        <v>361</v>
      </c>
      <c r="B130" s="70">
        <v>609.6</v>
      </c>
      <c r="C130" s="70" t="s">
        <v>205</v>
      </c>
      <c r="D130" s="70" t="s">
        <v>205</v>
      </c>
      <c r="E130" s="70">
        <v>6.35</v>
      </c>
      <c r="F130" s="70">
        <v>1.92</v>
      </c>
      <c r="G130" s="70">
        <v>120.34</v>
      </c>
      <c r="H130" s="70">
        <v>94.47</v>
      </c>
      <c r="I130" s="70">
        <v>54748.3</v>
      </c>
      <c r="J130" s="70">
        <v>54748.3</v>
      </c>
      <c r="K130" s="70">
        <v>1796.2</v>
      </c>
      <c r="L130" s="70">
        <v>1796.2</v>
      </c>
      <c r="M130" s="70">
        <v>21.33</v>
      </c>
      <c r="N130" s="70">
        <v>21.33</v>
      </c>
      <c r="O130" s="76">
        <v>2311.4</v>
      </c>
      <c r="P130" s="76">
        <v>2311.4</v>
      </c>
      <c r="Q130" s="70">
        <v>109496.5</v>
      </c>
      <c r="R130" s="70">
        <v>3628</v>
      </c>
      <c r="S130" s="26"/>
      <c r="T130" s="26"/>
      <c r="U130" s="26"/>
      <c r="V130" s="26"/>
      <c r="W130" s="26"/>
      <c r="X130" s="26"/>
      <c r="Y130" s="26"/>
      <c r="Z130" s="26"/>
      <c r="AA130" s="26"/>
      <c r="AB130" s="28"/>
      <c r="AC130" s="26"/>
      <c r="AD130" s="26"/>
      <c r="AE130" s="26"/>
      <c r="AF130" s="26"/>
      <c r="AG130" s="27"/>
    </row>
    <row r="131" spans="1:33" x14ac:dyDescent="0.25">
      <c r="A131" s="26" t="s">
        <v>362</v>
      </c>
      <c r="B131" s="70">
        <v>609.6</v>
      </c>
      <c r="C131" s="70" t="s">
        <v>205</v>
      </c>
      <c r="D131" s="70" t="s">
        <v>205</v>
      </c>
      <c r="E131" s="70">
        <v>9.5299999999999994</v>
      </c>
      <c r="F131" s="70">
        <v>1.92</v>
      </c>
      <c r="G131" s="70">
        <v>179.66</v>
      </c>
      <c r="H131" s="70">
        <v>141.03</v>
      </c>
      <c r="I131" s="70">
        <v>80884.399999999994</v>
      </c>
      <c r="J131" s="70">
        <v>80884.399999999994</v>
      </c>
      <c r="K131" s="70">
        <v>2653.7</v>
      </c>
      <c r="L131" s="70">
        <v>2653.7</v>
      </c>
      <c r="M131" s="70">
        <v>21.22</v>
      </c>
      <c r="N131" s="70">
        <v>21.22</v>
      </c>
      <c r="O131" s="76">
        <v>3432.6</v>
      </c>
      <c r="P131" s="76">
        <v>3432.6</v>
      </c>
      <c r="Q131" s="70">
        <v>161768.79999999999</v>
      </c>
      <c r="R131" s="70">
        <v>5387.6</v>
      </c>
      <c r="S131" s="26"/>
      <c r="T131" s="26"/>
      <c r="U131" s="26"/>
      <c r="V131" s="26"/>
      <c r="W131" s="26"/>
      <c r="X131" s="26"/>
      <c r="Y131" s="26"/>
      <c r="Z131" s="26"/>
      <c r="AA131" s="26"/>
      <c r="AB131" s="28"/>
      <c r="AC131" s="26"/>
      <c r="AD131" s="26"/>
      <c r="AE131" s="26"/>
      <c r="AF131" s="26"/>
      <c r="AG131" s="27"/>
    </row>
    <row r="132" spans="1:33" x14ac:dyDescent="0.25">
      <c r="A132" s="26" t="s">
        <v>363</v>
      </c>
      <c r="B132" s="70">
        <v>609.6</v>
      </c>
      <c r="C132" s="70" t="s">
        <v>205</v>
      </c>
      <c r="D132" s="70" t="s">
        <v>205</v>
      </c>
      <c r="E132" s="70">
        <v>12.7</v>
      </c>
      <c r="F132" s="70">
        <v>1.92</v>
      </c>
      <c r="G132" s="70">
        <v>238.15</v>
      </c>
      <c r="H132" s="70">
        <v>186.95</v>
      </c>
      <c r="I132" s="70">
        <v>106111.3</v>
      </c>
      <c r="J132" s="70">
        <v>106111.3</v>
      </c>
      <c r="K132" s="70">
        <v>3481.3</v>
      </c>
      <c r="L132" s="70">
        <v>3481.3</v>
      </c>
      <c r="M132" s="70">
        <v>21.11</v>
      </c>
      <c r="N132" s="70">
        <v>21.11</v>
      </c>
      <c r="O132" s="76">
        <v>4526.5</v>
      </c>
      <c r="P132" s="76">
        <v>4526.5</v>
      </c>
      <c r="Q132" s="70">
        <v>212222.5</v>
      </c>
      <c r="R132" s="70">
        <v>7104.1</v>
      </c>
      <c r="S132" s="26"/>
      <c r="T132" s="26"/>
      <c r="U132" s="26"/>
      <c r="V132" s="26"/>
      <c r="W132" s="26"/>
      <c r="X132" s="26"/>
      <c r="Y132" s="26"/>
      <c r="Z132" s="26"/>
      <c r="AA132" s="26"/>
      <c r="AB132" s="28"/>
      <c r="AC132" s="26"/>
      <c r="AD132" s="26"/>
      <c r="AE132" s="26"/>
      <c r="AF132" s="26"/>
      <c r="AG132" s="27"/>
    </row>
    <row r="133" spans="1:33" x14ac:dyDescent="0.25">
      <c r="A133" s="26" t="s">
        <v>364</v>
      </c>
      <c r="B133" s="70">
        <v>609.6</v>
      </c>
      <c r="C133" s="70" t="s">
        <v>205</v>
      </c>
      <c r="D133" s="70" t="s">
        <v>205</v>
      </c>
      <c r="E133" s="70">
        <v>15.87</v>
      </c>
      <c r="F133" s="70">
        <v>1.92</v>
      </c>
      <c r="G133" s="70">
        <v>296.02</v>
      </c>
      <c r="H133" s="70">
        <v>232.37</v>
      </c>
      <c r="I133" s="70">
        <v>130530.1</v>
      </c>
      <c r="J133" s="70">
        <v>130530.1</v>
      </c>
      <c r="K133" s="70">
        <v>4282.5</v>
      </c>
      <c r="L133" s="70">
        <v>4282.5</v>
      </c>
      <c r="M133" s="70">
        <v>21</v>
      </c>
      <c r="N133" s="70">
        <v>21</v>
      </c>
      <c r="O133" s="76">
        <v>5596.9</v>
      </c>
      <c r="P133" s="76">
        <v>5596.9</v>
      </c>
      <c r="Q133" s="70">
        <v>261060.1</v>
      </c>
      <c r="R133" s="70">
        <v>8783.2000000000007</v>
      </c>
      <c r="S133" s="26"/>
      <c r="T133" s="26"/>
      <c r="U133" s="26"/>
      <c r="V133" s="26"/>
      <c r="W133" s="26"/>
      <c r="X133" s="26"/>
      <c r="Y133" s="26"/>
      <c r="Z133" s="26"/>
      <c r="AA133" s="26"/>
      <c r="AB133" s="28"/>
      <c r="AC133" s="26"/>
      <c r="AD133" s="26"/>
      <c r="AE133" s="26"/>
      <c r="AF133" s="26"/>
      <c r="AG133" s="27"/>
    </row>
    <row r="134" spans="1:33" x14ac:dyDescent="0.25">
      <c r="A134" s="26" t="s">
        <v>365</v>
      </c>
      <c r="B134" s="70">
        <v>762</v>
      </c>
      <c r="C134" s="70" t="s">
        <v>205</v>
      </c>
      <c r="D134" s="70" t="s">
        <v>205</v>
      </c>
      <c r="E134" s="70">
        <v>7.92</v>
      </c>
      <c r="F134" s="70">
        <v>2.39</v>
      </c>
      <c r="G134" s="70">
        <v>187.63</v>
      </c>
      <c r="H134" s="70">
        <v>147.29</v>
      </c>
      <c r="I134" s="70">
        <v>133377.29999999999</v>
      </c>
      <c r="J134" s="70">
        <v>133377.29999999999</v>
      </c>
      <c r="K134" s="70">
        <v>3500.7</v>
      </c>
      <c r="L134" s="70">
        <v>3500.7</v>
      </c>
      <c r="M134" s="70">
        <v>26.66</v>
      </c>
      <c r="N134" s="70">
        <v>26.66</v>
      </c>
      <c r="O134" s="76">
        <v>4504.7</v>
      </c>
      <c r="P134" s="76">
        <v>4504.7</v>
      </c>
      <c r="Q134" s="70">
        <v>266754.5</v>
      </c>
      <c r="R134" s="70">
        <v>7070.7</v>
      </c>
      <c r="S134" s="26"/>
      <c r="T134" s="26"/>
      <c r="U134" s="26"/>
      <c r="V134" s="26"/>
      <c r="W134" s="26"/>
      <c r="X134" s="26"/>
      <c r="Y134" s="26"/>
      <c r="Z134" s="26"/>
      <c r="AA134" s="26"/>
      <c r="AB134" s="28"/>
      <c r="AC134" s="26"/>
      <c r="AD134" s="26"/>
      <c r="AE134" s="26"/>
      <c r="AF134" s="26"/>
      <c r="AG134" s="27"/>
    </row>
    <row r="135" spans="1:33" x14ac:dyDescent="0.25">
      <c r="A135" s="26" t="s">
        <v>366</v>
      </c>
      <c r="B135" s="70">
        <v>762</v>
      </c>
      <c r="C135" s="70" t="s">
        <v>205</v>
      </c>
      <c r="D135" s="70" t="s">
        <v>205</v>
      </c>
      <c r="E135" s="70">
        <v>9.5299999999999994</v>
      </c>
      <c r="F135" s="70">
        <v>2.39</v>
      </c>
      <c r="G135" s="70">
        <v>225.28</v>
      </c>
      <c r="H135" s="70">
        <v>176.85</v>
      </c>
      <c r="I135" s="70">
        <v>159472.79999999999</v>
      </c>
      <c r="J135" s="70">
        <v>159472.79999999999</v>
      </c>
      <c r="K135" s="70">
        <v>4185.6000000000004</v>
      </c>
      <c r="L135" s="70">
        <v>4185.6000000000004</v>
      </c>
      <c r="M135" s="70">
        <v>26.61</v>
      </c>
      <c r="N135" s="70">
        <v>26.61</v>
      </c>
      <c r="O135" s="76">
        <v>5397.4</v>
      </c>
      <c r="P135" s="76">
        <v>5397.4</v>
      </c>
      <c r="Q135" s="70">
        <v>318945.59999999998</v>
      </c>
      <c r="R135" s="70">
        <v>8471.7000000000007</v>
      </c>
      <c r="S135" s="26"/>
      <c r="T135" s="26"/>
      <c r="U135" s="26"/>
      <c r="V135" s="26"/>
      <c r="W135" s="26"/>
      <c r="X135" s="26"/>
      <c r="Y135" s="26"/>
      <c r="Z135" s="26"/>
      <c r="AA135" s="26"/>
      <c r="AB135" s="28"/>
      <c r="AC135" s="26"/>
      <c r="AD135" s="26"/>
      <c r="AE135" s="26"/>
      <c r="AF135" s="26"/>
      <c r="AG135" s="27"/>
    </row>
    <row r="136" spans="1:33" x14ac:dyDescent="0.25">
      <c r="A136" s="26" t="s">
        <v>367</v>
      </c>
      <c r="B136" s="70">
        <v>762</v>
      </c>
      <c r="C136" s="70" t="s">
        <v>205</v>
      </c>
      <c r="D136" s="70" t="s">
        <v>205</v>
      </c>
      <c r="E136" s="70">
        <v>12.7</v>
      </c>
      <c r="F136" s="70">
        <v>2.39</v>
      </c>
      <c r="G136" s="70">
        <v>298.95999999999998</v>
      </c>
      <c r="H136" s="70">
        <v>234.68</v>
      </c>
      <c r="I136" s="70">
        <v>209870.9</v>
      </c>
      <c r="J136" s="70">
        <v>209870.9</v>
      </c>
      <c r="K136" s="70">
        <v>5508.4</v>
      </c>
      <c r="L136" s="70">
        <v>5508.4</v>
      </c>
      <c r="M136" s="70">
        <v>26.5</v>
      </c>
      <c r="N136" s="70">
        <v>26.5</v>
      </c>
      <c r="O136" s="76">
        <v>7132.5</v>
      </c>
      <c r="P136" s="76">
        <v>7132.5</v>
      </c>
      <c r="Q136" s="70">
        <v>419741.7</v>
      </c>
      <c r="R136" s="70">
        <v>11194.8</v>
      </c>
      <c r="S136" s="26"/>
      <c r="T136" s="26"/>
      <c r="U136" s="26"/>
      <c r="V136" s="26"/>
      <c r="W136" s="26"/>
      <c r="X136" s="26"/>
      <c r="Y136" s="26"/>
      <c r="Z136" s="26"/>
      <c r="AA136" s="26"/>
      <c r="AB136" s="28"/>
      <c r="AC136" s="26"/>
      <c r="AD136" s="26"/>
      <c r="AE136" s="26"/>
      <c r="AF136" s="26"/>
      <c r="AG136" s="27"/>
    </row>
    <row r="137" spans="1:33" x14ac:dyDescent="0.25">
      <c r="A137" s="26" t="s">
        <v>368</v>
      </c>
      <c r="B137" s="70">
        <v>762</v>
      </c>
      <c r="C137" s="70" t="s">
        <v>205</v>
      </c>
      <c r="D137" s="70" t="s">
        <v>205</v>
      </c>
      <c r="E137" s="70">
        <v>15.87</v>
      </c>
      <c r="F137" s="70">
        <v>2.39</v>
      </c>
      <c r="G137" s="70">
        <v>372</v>
      </c>
      <c r="H137" s="70">
        <v>292.02</v>
      </c>
      <c r="I137" s="70">
        <v>258984.2</v>
      </c>
      <c r="J137" s="70">
        <v>258984.2</v>
      </c>
      <c r="K137" s="70">
        <v>6797.5</v>
      </c>
      <c r="L137" s="70">
        <v>6797.5</v>
      </c>
      <c r="M137" s="70">
        <v>26.39</v>
      </c>
      <c r="N137" s="70">
        <v>26.39</v>
      </c>
      <c r="O137" s="76">
        <v>8838.1</v>
      </c>
      <c r="P137" s="76">
        <v>8838.1</v>
      </c>
      <c r="Q137" s="70">
        <v>517968.5</v>
      </c>
      <c r="R137" s="70">
        <v>13870.9</v>
      </c>
      <c r="S137" s="26"/>
      <c r="T137" s="26"/>
      <c r="U137" s="26"/>
      <c r="V137" s="26"/>
      <c r="W137" s="26"/>
      <c r="X137" s="26"/>
      <c r="Y137" s="26"/>
      <c r="Z137" s="26"/>
      <c r="AA137" s="26"/>
      <c r="AB137" s="28"/>
      <c r="AC137" s="26"/>
      <c r="AD137" s="26"/>
      <c r="AE137" s="26"/>
      <c r="AF137" s="26"/>
      <c r="AG137" s="27"/>
    </row>
    <row r="138" spans="1:33" x14ac:dyDescent="0.25">
      <c r="A138" s="26" t="s">
        <v>369</v>
      </c>
      <c r="B138" s="70">
        <v>914.4</v>
      </c>
      <c r="C138" s="70" t="s">
        <v>205</v>
      </c>
      <c r="D138" s="70" t="s">
        <v>205</v>
      </c>
      <c r="E138" s="70">
        <v>7.92</v>
      </c>
      <c r="F138" s="70">
        <v>2.87</v>
      </c>
      <c r="G138" s="70">
        <v>225.55</v>
      </c>
      <c r="H138" s="70">
        <v>177.05</v>
      </c>
      <c r="I138" s="77">
        <v>231681</v>
      </c>
      <c r="J138" s="77">
        <v>231681</v>
      </c>
      <c r="K138" s="77">
        <v>5067</v>
      </c>
      <c r="L138" s="77">
        <v>5067</v>
      </c>
      <c r="M138" s="70">
        <v>32.049999999999997</v>
      </c>
      <c r="N138" s="70">
        <v>32.049999999999997</v>
      </c>
      <c r="O138" s="77">
        <v>6509</v>
      </c>
      <c r="P138" s="77">
        <v>6509</v>
      </c>
      <c r="Q138" s="70">
        <v>463361</v>
      </c>
      <c r="R138" s="77">
        <v>10217</v>
      </c>
      <c r="S138" s="26"/>
      <c r="T138" s="26"/>
      <c r="U138" s="26"/>
      <c r="V138" s="26"/>
      <c r="W138" s="26"/>
      <c r="X138" s="26"/>
      <c r="Y138" s="26"/>
      <c r="Z138" s="26"/>
      <c r="AA138" s="26"/>
      <c r="AB138" s="28"/>
      <c r="AC138" s="26"/>
      <c r="AD138" s="26"/>
      <c r="AE138" s="26"/>
      <c r="AF138" s="26"/>
      <c r="AG138" s="27"/>
    </row>
    <row r="139" spans="1:33" x14ac:dyDescent="0.25">
      <c r="A139" s="26" t="s">
        <v>370</v>
      </c>
      <c r="B139" s="70">
        <v>914.4</v>
      </c>
      <c r="C139" s="70" t="s">
        <v>205</v>
      </c>
      <c r="D139" s="70" t="s">
        <v>205</v>
      </c>
      <c r="E139" s="70">
        <v>9.5299999999999994</v>
      </c>
      <c r="F139" s="70">
        <v>2.87</v>
      </c>
      <c r="G139" s="70">
        <v>270.91000000000003</v>
      </c>
      <c r="H139" s="70">
        <v>212.67</v>
      </c>
      <c r="I139" s="77">
        <v>277304</v>
      </c>
      <c r="J139" s="77">
        <v>277304</v>
      </c>
      <c r="K139" s="77">
        <v>6065</v>
      </c>
      <c r="L139" s="77">
        <v>6065</v>
      </c>
      <c r="M139" s="70">
        <v>31.99</v>
      </c>
      <c r="N139" s="70">
        <v>31.99</v>
      </c>
      <c r="O139" s="77">
        <v>7805</v>
      </c>
      <c r="P139" s="77">
        <v>7805</v>
      </c>
      <c r="Q139" s="70">
        <v>554608</v>
      </c>
      <c r="R139" s="77">
        <v>12251</v>
      </c>
      <c r="S139" s="26"/>
      <c r="T139" s="26"/>
      <c r="U139" s="26"/>
      <c r="V139" s="26"/>
      <c r="W139" s="26"/>
      <c r="X139" s="26"/>
      <c r="Y139" s="26"/>
      <c r="Z139" s="26"/>
      <c r="AA139" s="26"/>
      <c r="AB139" s="28"/>
      <c r="AC139" s="26"/>
      <c r="AD139" s="26"/>
      <c r="AE139" s="26"/>
      <c r="AF139" s="26"/>
      <c r="AG139" s="27"/>
    </row>
    <row r="140" spans="1:33" x14ac:dyDescent="0.25">
      <c r="A140" s="26" t="s">
        <v>371</v>
      </c>
      <c r="B140" s="70">
        <v>914.4</v>
      </c>
      <c r="C140" s="70" t="s">
        <v>205</v>
      </c>
      <c r="D140" s="70" t="s">
        <v>205</v>
      </c>
      <c r="E140" s="70">
        <v>12.7</v>
      </c>
      <c r="F140" s="70">
        <v>2.87</v>
      </c>
      <c r="G140" s="70">
        <v>359.76</v>
      </c>
      <c r="H140" s="70">
        <v>282.41000000000003</v>
      </c>
      <c r="I140" s="77">
        <v>365706</v>
      </c>
      <c r="J140" s="77">
        <v>365706</v>
      </c>
      <c r="K140" s="77">
        <v>7999</v>
      </c>
      <c r="L140" s="77">
        <v>7999</v>
      </c>
      <c r="M140" s="70">
        <v>31.88</v>
      </c>
      <c r="N140" s="70">
        <v>31.88</v>
      </c>
      <c r="O140" s="77">
        <v>10329</v>
      </c>
      <c r="P140" s="77">
        <v>10329</v>
      </c>
      <c r="Q140" s="70">
        <v>731413</v>
      </c>
      <c r="R140" s="77">
        <v>16212</v>
      </c>
      <c r="S140" s="26"/>
      <c r="T140" s="26"/>
      <c r="U140" s="26"/>
      <c r="V140" s="26"/>
      <c r="W140" s="26"/>
      <c r="X140" s="26"/>
      <c r="Y140" s="26"/>
      <c r="Z140" s="26"/>
      <c r="AA140" s="26"/>
      <c r="AB140" s="28"/>
      <c r="AC140" s="26"/>
      <c r="AD140" s="26"/>
      <c r="AE140" s="26"/>
      <c r="AF140" s="26"/>
      <c r="AG140" s="27"/>
    </row>
    <row r="141" spans="1:33" x14ac:dyDescent="0.25">
      <c r="A141" s="26" t="s">
        <v>372</v>
      </c>
      <c r="B141" s="70">
        <v>914.4</v>
      </c>
      <c r="C141" s="70" t="s">
        <v>205</v>
      </c>
      <c r="D141" s="70" t="s">
        <v>205</v>
      </c>
      <c r="E141" s="70">
        <v>15.87</v>
      </c>
      <c r="F141" s="70">
        <v>2.87</v>
      </c>
      <c r="G141" s="70">
        <v>447.98</v>
      </c>
      <c r="H141" s="70">
        <v>351.66</v>
      </c>
      <c r="I141" s="77">
        <v>452238</v>
      </c>
      <c r="J141" s="77">
        <v>452238</v>
      </c>
      <c r="K141" s="77">
        <v>9891</v>
      </c>
      <c r="L141" s="77">
        <v>9891</v>
      </c>
      <c r="M141" s="70">
        <v>31.77</v>
      </c>
      <c r="N141" s="70">
        <v>31.77</v>
      </c>
      <c r="O141" s="77">
        <v>12817</v>
      </c>
      <c r="P141" s="77">
        <v>12817</v>
      </c>
      <c r="Q141" s="70">
        <v>904475</v>
      </c>
      <c r="R141" s="77">
        <v>20116</v>
      </c>
      <c r="S141" s="26"/>
      <c r="T141" s="26"/>
      <c r="U141" s="26"/>
      <c r="V141" s="26"/>
      <c r="W141" s="26"/>
      <c r="X141" s="26"/>
      <c r="Y141" s="26"/>
      <c r="Z141" s="26"/>
      <c r="AA141" s="26"/>
      <c r="AB141" s="28"/>
      <c r="AC141" s="26"/>
      <c r="AD141" s="26"/>
      <c r="AE141" s="26"/>
      <c r="AF141" s="26"/>
      <c r="AG141" s="27"/>
    </row>
    <row r="142" spans="1:33" x14ac:dyDescent="0.25">
      <c r="A142" s="26" t="s">
        <v>373</v>
      </c>
      <c r="B142" s="70">
        <v>914.4</v>
      </c>
      <c r="C142" s="70" t="s">
        <v>205</v>
      </c>
      <c r="D142" s="70" t="s">
        <v>205</v>
      </c>
      <c r="E142" s="70">
        <v>19.05</v>
      </c>
      <c r="F142" s="70">
        <v>2.87</v>
      </c>
      <c r="G142" s="70">
        <v>535.84</v>
      </c>
      <c r="H142" s="70">
        <v>420.64</v>
      </c>
      <c r="I142" s="77">
        <v>537188</v>
      </c>
      <c r="J142" s="77">
        <v>537188</v>
      </c>
      <c r="K142" s="77">
        <v>11750</v>
      </c>
      <c r="L142" s="77">
        <v>11750</v>
      </c>
      <c r="M142" s="70">
        <v>31.66</v>
      </c>
      <c r="N142" s="70">
        <v>31.66</v>
      </c>
      <c r="O142" s="77">
        <v>15277</v>
      </c>
      <c r="P142" s="77">
        <v>15277</v>
      </c>
      <c r="Q142" s="70">
        <v>1074377</v>
      </c>
      <c r="R142" s="77">
        <v>23976</v>
      </c>
      <c r="S142" s="26"/>
      <c r="T142" s="26"/>
      <c r="U142" s="26"/>
      <c r="V142" s="26"/>
      <c r="W142" s="26"/>
      <c r="X142" s="26"/>
      <c r="Y142" s="26"/>
      <c r="Z142" s="26"/>
      <c r="AA142" s="26"/>
      <c r="AB142" s="28"/>
      <c r="AC142" s="26"/>
      <c r="AD142" s="26"/>
      <c r="AE142" s="26"/>
      <c r="AF142" s="26"/>
      <c r="AG142" s="27"/>
    </row>
    <row r="143" spans="1:33" x14ac:dyDescent="0.25">
      <c r="A143" s="26" t="s">
        <v>374</v>
      </c>
      <c r="B143" s="70">
        <v>1066.8</v>
      </c>
      <c r="C143" s="70" t="s">
        <v>205</v>
      </c>
      <c r="D143" s="70" t="s">
        <v>205</v>
      </c>
      <c r="E143" s="70">
        <v>9.5299999999999994</v>
      </c>
      <c r="F143" s="70">
        <v>3.35</v>
      </c>
      <c r="G143" s="70">
        <v>316.54000000000002</v>
      </c>
      <c r="H143" s="70">
        <v>248.48</v>
      </c>
      <c r="I143" s="77">
        <v>442326</v>
      </c>
      <c r="J143" s="77">
        <v>442326</v>
      </c>
      <c r="K143" s="77">
        <v>8293</v>
      </c>
      <c r="L143" s="77">
        <v>8293</v>
      </c>
      <c r="M143" s="70">
        <v>37.380000000000003</v>
      </c>
      <c r="N143" s="70">
        <v>37.380000000000003</v>
      </c>
      <c r="O143" s="77">
        <v>10655</v>
      </c>
      <c r="P143" s="77">
        <v>10655</v>
      </c>
      <c r="Q143" s="70">
        <v>884652</v>
      </c>
      <c r="R143" s="77">
        <v>16725</v>
      </c>
      <c r="S143" s="26"/>
      <c r="T143" s="26"/>
      <c r="U143" s="26"/>
      <c r="V143" s="26"/>
      <c r="W143" s="26"/>
      <c r="X143" s="26"/>
      <c r="Y143" s="26"/>
      <c r="Z143" s="26"/>
      <c r="AA143" s="26"/>
      <c r="AB143" s="28"/>
      <c r="AC143" s="26"/>
      <c r="AD143" s="26"/>
      <c r="AE143" s="26"/>
      <c r="AF143" s="26"/>
      <c r="AG143" s="27"/>
    </row>
    <row r="144" spans="1:33" x14ac:dyDescent="0.25">
      <c r="A144" s="26" t="s">
        <v>375</v>
      </c>
      <c r="B144" s="70">
        <v>1066.8</v>
      </c>
      <c r="C144" s="70" t="s">
        <v>205</v>
      </c>
      <c r="D144" s="70" t="s">
        <v>205</v>
      </c>
      <c r="E144" s="70">
        <v>11.1</v>
      </c>
      <c r="F144" s="70">
        <v>3.35</v>
      </c>
      <c r="G144" s="70">
        <v>368.14</v>
      </c>
      <c r="H144" s="70">
        <v>288.99</v>
      </c>
      <c r="I144" s="77">
        <v>512919</v>
      </c>
      <c r="J144" s="77">
        <v>512919</v>
      </c>
      <c r="K144" s="77">
        <v>9616</v>
      </c>
      <c r="L144" s="77">
        <v>9616</v>
      </c>
      <c r="M144" s="70">
        <v>37.33</v>
      </c>
      <c r="N144" s="70">
        <v>37.33</v>
      </c>
      <c r="O144" s="77">
        <v>12374</v>
      </c>
      <c r="P144" s="77">
        <v>12374</v>
      </c>
      <c r="Q144" s="70">
        <v>1025839</v>
      </c>
      <c r="R144" s="77">
        <v>19422</v>
      </c>
      <c r="S144" s="26"/>
      <c r="T144" s="26"/>
      <c r="U144" s="26"/>
      <c r="V144" s="26"/>
      <c r="W144" s="26"/>
      <c r="X144" s="26"/>
      <c r="Y144" s="26"/>
      <c r="Z144" s="26"/>
      <c r="AA144" s="26"/>
      <c r="AB144" s="28"/>
      <c r="AC144" s="26"/>
      <c r="AD144" s="26"/>
      <c r="AE144" s="26"/>
      <c r="AF144" s="26"/>
      <c r="AG144" s="27"/>
    </row>
    <row r="145" spans="1:33" x14ac:dyDescent="0.25">
      <c r="A145" s="26" t="s">
        <v>376</v>
      </c>
      <c r="B145" s="70">
        <v>1066.8</v>
      </c>
      <c r="C145" s="70" t="s">
        <v>205</v>
      </c>
      <c r="D145" s="70" t="s">
        <v>205</v>
      </c>
      <c r="E145" s="70">
        <v>12.7</v>
      </c>
      <c r="F145" s="70">
        <v>3.35</v>
      </c>
      <c r="G145" s="70">
        <v>420.57</v>
      </c>
      <c r="H145" s="70">
        <v>330.15</v>
      </c>
      <c r="I145" s="77">
        <v>584210</v>
      </c>
      <c r="J145" s="77">
        <v>584210</v>
      </c>
      <c r="K145" s="77">
        <v>10953</v>
      </c>
      <c r="L145" s="77">
        <v>10953</v>
      </c>
      <c r="M145" s="70">
        <v>37.270000000000003</v>
      </c>
      <c r="N145" s="70">
        <v>37.270000000000003</v>
      </c>
      <c r="O145" s="77">
        <v>14115</v>
      </c>
      <c r="P145" s="77">
        <v>14115</v>
      </c>
      <c r="Q145" s="70">
        <v>1168419</v>
      </c>
      <c r="R145" s="77">
        <v>22155</v>
      </c>
      <c r="S145" s="26"/>
      <c r="T145" s="26"/>
      <c r="U145" s="26"/>
      <c r="V145" s="26"/>
      <c r="W145" s="26"/>
      <c r="X145" s="26"/>
      <c r="Y145" s="26"/>
      <c r="Z145" s="26"/>
      <c r="AA145" s="26"/>
      <c r="AB145" s="28"/>
      <c r="AC145" s="26"/>
      <c r="AD145" s="26"/>
      <c r="AE145" s="26"/>
      <c r="AF145" s="26"/>
      <c r="AG145" s="27"/>
    </row>
    <row r="146" spans="1:33" x14ac:dyDescent="0.25">
      <c r="A146" s="26" t="s">
        <v>377</v>
      </c>
      <c r="B146" s="70">
        <v>1066.8</v>
      </c>
      <c r="C146" s="70" t="s">
        <v>205</v>
      </c>
      <c r="D146" s="70" t="s">
        <v>205</v>
      </c>
      <c r="E146" s="70">
        <v>15.87</v>
      </c>
      <c r="F146" s="70">
        <v>3.35</v>
      </c>
      <c r="G146" s="70">
        <v>523.96</v>
      </c>
      <c r="H146" s="70">
        <v>411.31</v>
      </c>
      <c r="I146" s="77">
        <v>723525</v>
      </c>
      <c r="J146" s="77">
        <v>723525</v>
      </c>
      <c r="K146" s="77">
        <v>13564</v>
      </c>
      <c r="L146" s="77">
        <v>13564</v>
      </c>
      <c r="M146" s="70">
        <v>37.159999999999997</v>
      </c>
      <c r="N146" s="70">
        <v>37.159999999999997</v>
      </c>
      <c r="O146" s="77">
        <v>17533</v>
      </c>
      <c r="P146" s="77">
        <v>17533</v>
      </c>
      <c r="Q146" s="70">
        <v>1447051</v>
      </c>
      <c r="R146" s="77">
        <v>27518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8"/>
      <c r="AC146" s="26"/>
      <c r="AD146" s="26"/>
      <c r="AE146" s="26"/>
      <c r="AF146" s="26"/>
      <c r="AG146" s="27"/>
    </row>
    <row r="147" spans="1:33" x14ac:dyDescent="0.25">
      <c r="A147" s="26" t="s">
        <v>378</v>
      </c>
      <c r="B147" s="70">
        <v>1066.8</v>
      </c>
      <c r="C147" s="70" t="s">
        <v>205</v>
      </c>
      <c r="D147" s="70" t="s">
        <v>205</v>
      </c>
      <c r="E147" s="70">
        <v>19.05</v>
      </c>
      <c r="F147" s="70">
        <v>3.35</v>
      </c>
      <c r="G147" s="70">
        <v>627.04999999999995</v>
      </c>
      <c r="H147" s="70">
        <v>492.23</v>
      </c>
      <c r="I147" s="77">
        <v>860732</v>
      </c>
      <c r="J147" s="77">
        <v>860732</v>
      </c>
      <c r="K147" s="77">
        <v>16137</v>
      </c>
      <c r="L147" s="77">
        <v>16137</v>
      </c>
      <c r="M147" s="70">
        <v>37.049999999999997</v>
      </c>
      <c r="N147" s="70">
        <v>37.049999999999997</v>
      </c>
      <c r="O147" s="77">
        <v>20919</v>
      </c>
      <c r="P147" s="77">
        <v>20919</v>
      </c>
      <c r="Q147" s="70">
        <v>1721464</v>
      </c>
      <c r="R147" s="77">
        <v>32833</v>
      </c>
      <c r="S147" s="26"/>
      <c r="T147" s="26"/>
      <c r="U147" s="26"/>
      <c r="V147" s="26"/>
      <c r="W147" s="26"/>
      <c r="X147" s="26"/>
      <c r="Y147" s="26"/>
      <c r="Z147" s="26"/>
      <c r="AA147" s="26"/>
      <c r="AB147" s="28"/>
      <c r="AC147" s="26"/>
      <c r="AD147" s="26"/>
      <c r="AE147" s="26"/>
      <c r="AF147" s="26"/>
      <c r="AG147" s="27"/>
    </row>
    <row r="148" spans="1:33" x14ac:dyDescent="0.25">
      <c r="A148" s="26" t="s">
        <v>379</v>
      </c>
      <c r="B148" s="70">
        <v>1219.2</v>
      </c>
      <c r="C148" s="70" t="s">
        <v>205</v>
      </c>
      <c r="D148" s="70" t="s">
        <v>205</v>
      </c>
      <c r="E148" s="70">
        <v>9.5299999999999994</v>
      </c>
      <c r="F148" s="70">
        <v>3.83</v>
      </c>
      <c r="G148" s="70">
        <v>362.17</v>
      </c>
      <c r="H148" s="70">
        <v>284.3</v>
      </c>
      <c r="I148" s="77">
        <v>662487</v>
      </c>
      <c r="J148" s="77">
        <v>662487</v>
      </c>
      <c r="K148" s="77">
        <v>10868</v>
      </c>
      <c r="L148" s="77">
        <v>10868</v>
      </c>
      <c r="M148" s="70">
        <v>42.77</v>
      </c>
      <c r="N148" s="70">
        <v>42.77</v>
      </c>
      <c r="O148" s="77">
        <v>13948</v>
      </c>
      <c r="P148" s="77">
        <v>13948</v>
      </c>
      <c r="Q148" s="77">
        <v>1324973</v>
      </c>
      <c r="R148" s="77">
        <v>21894</v>
      </c>
      <c r="S148" s="26"/>
      <c r="T148" s="26"/>
      <c r="U148" s="26"/>
      <c r="V148" s="26"/>
      <c r="W148" s="26"/>
      <c r="X148" s="26"/>
      <c r="Y148" s="26"/>
      <c r="Z148" s="26"/>
      <c r="AA148" s="26"/>
      <c r="AB148" s="28"/>
      <c r="AC148" s="26"/>
      <c r="AD148" s="26"/>
      <c r="AE148" s="26"/>
      <c r="AF148" s="26"/>
      <c r="AG148" s="27"/>
    </row>
    <row r="149" spans="1:33" x14ac:dyDescent="0.25">
      <c r="A149" s="26" t="s">
        <v>380</v>
      </c>
      <c r="B149" s="70">
        <v>1219.2</v>
      </c>
      <c r="C149" s="70" t="s">
        <v>205</v>
      </c>
      <c r="D149" s="70" t="s">
        <v>205</v>
      </c>
      <c r="E149" s="70">
        <v>11.1</v>
      </c>
      <c r="F149" s="70">
        <v>3.83</v>
      </c>
      <c r="G149" s="70">
        <v>421.28</v>
      </c>
      <c r="H149" s="70">
        <v>330.71</v>
      </c>
      <c r="I149" s="77">
        <v>768643</v>
      </c>
      <c r="J149" s="77">
        <v>768643</v>
      </c>
      <c r="K149" s="77">
        <v>12609</v>
      </c>
      <c r="L149" s="77">
        <v>12609</v>
      </c>
      <c r="M149" s="70">
        <v>42.71</v>
      </c>
      <c r="N149" s="70">
        <v>42.71</v>
      </c>
      <c r="O149" s="77">
        <v>16204</v>
      </c>
      <c r="P149" s="77">
        <v>16204</v>
      </c>
      <c r="Q149" s="77">
        <v>1537286</v>
      </c>
      <c r="R149" s="77">
        <v>25435</v>
      </c>
      <c r="S149" s="26"/>
      <c r="T149" s="26"/>
      <c r="U149" s="26"/>
      <c r="V149" s="26"/>
      <c r="W149" s="26"/>
      <c r="X149" s="26"/>
      <c r="Y149" s="26"/>
      <c r="Z149" s="26"/>
      <c r="AA149" s="26"/>
      <c r="AB149" s="28"/>
      <c r="AC149" s="26"/>
      <c r="AD149" s="26"/>
      <c r="AE149" s="26"/>
      <c r="AF149" s="26"/>
      <c r="AG149" s="27"/>
    </row>
    <row r="150" spans="1:33" x14ac:dyDescent="0.25">
      <c r="A150" s="26" t="s">
        <v>381</v>
      </c>
      <c r="B150" s="70">
        <v>1219.2</v>
      </c>
      <c r="C150" s="70" t="s">
        <v>205</v>
      </c>
      <c r="D150" s="70" t="s">
        <v>205</v>
      </c>
      <c r="E150" s="70">
        <v>12.7</v>
      </c>
      <c r="F150" s="70">
        <v>3.83</v>
      </c>
      <c r="G150" s="70">
        <v>481.37</v>
      </c>
      <c r="H150" s="70">
        <v>377.88</v>
      </c>
      <c r="I150" s="77">
        <v>875972</v>
      </c>
      <c r="J150" s="77">
        <v>875972</v>
      </c>
      <c r="K150" s="77">
        <v>14370</v>
      </c>
      <c r="L150" s="77">
        <v>14370</v>
      </c>
      <c r="M150" s="70">
        <v>42.66</v>
      </c>
      <c r="N150" s="70">
        <v>42.66</v>
      </c>
      <c r="O150" s="77">
        <v>18491</v>
      </c>
      <c r="P150" s="77">
        <v>18491</v>
      </c>
      <c r="Q150" s="77">
        <v>1751944</v>
      </c>
      <c r="R150" s="77">
        <v>29024</v>
      </c>
      <c r="S150" s="26"/>
      <c r="T150" s="26"/>
      <c r="U150" s="26"/>
      <c r="V150" s="26"/>
      <c r="W150" s="26"/>
      <c r="X150" s="26"/>
      <c r="Y150" s="26"/>
      <c r="Z150" s="26"/>
      <c r="AA150" s="26"/>
      <c r="AB150" s="28"/>
      <c r="AC150" s="26"/>
      <c r="AD150" s="26"/>
      <c r="AE150" s="26"/>
      <c r="AF150" s="26"/>
      <c r="AG150" s="27"/>
    </row>
    <row r="151" spans="1:33" x14ac:dyDescent="0.25">
      <c r="A151" s="26" t="s">
        <v>382</v>
      </c>
      <c r="B151" s="70">
        <v>1219.2</v>
      </c>
      <c r="C151" s="70" t="s">
        <v>205</v>
      </c>
      <c r="D151" s="70" t="s">
        <v>205</v>
      </c>
      <c r="E151" s="70">
        <v>15.87</v>
      </c>
      <c r="F151" s="70">
        <v>3.83</v>
      </c>
      <c r="G151" s="70">
        <v>599.95000000000005</v>
      </c>
      <c r="H151" s="70">
        <v>470.96</v>
      </c>
      <c r="I151" s="77">
        <v>1086083</v>
      </c>
      <c r="J151" s="77">
        <v>1086083</v>
      </c>
      <c r="K151" s="77">
        <v>17816</v>
      </c>
      <c r="L151" s="77">
        <v>17816</v>
      </c>
      <c r="M151" s="70">
        <v>42.55</v>
      </c>
      <c r="N151" s="70">
        <v>42.55</v>
      </c>
      <c r="O151" s="77">
        <v>22986</v>
      </c>
      <c r="P151" s="77">
        <v>22986</v>
      </c>
      <c r="Q151" s="77">
        <v>2172167</v>
      </c>
      <c r="R151" s="77">
        <v>36078</v>
      </c>
      <c r="S151" s="26"/>
      <c r="T151" s="26"/>
      <c r="U151" s="26"/>
      <c r="V151" s="26"/>
      <c r="W151" s="26"/>
      <c r="X151" s="26"/>
      <c r="Y151" s="26"/>
      <c r="Z151" s="26"/>
      <c r="AA151" s="26"/>
      <c r="AB151" s="28"/>
      <c r="AC151" s="26"/>
      <c r="AD151" s="26"/>
      <c r="AE151" s="26"/>
      <c r="AF151" s="26"/>
      <c r="AG151" s="27"/>
    </row>
    <row r="152" spans="1:33" x14ac:dyDescent="0.25">
      <c r="A152" s="26" t="s">
        <v>383</v>
      </c>
      <c r="B152" s="70">
        <v>1219.2</v>
      </c>
      <c r="C152" s="70" t="s">
        <v>205</v>
      </c>
      <c r="D152" s="70" t="s">
        <v>205</v>
      </c>
      <c r="E152" s="70">
        <v>19.05</v>
      </c>
      <c r="F152" s="70">
        <v>3.83</v>
      </c>
      <c r="G152" s="70">
        <v>718.26</v>
      </c>
      <c r="H152" s="70">
        <v>563.83000000000004</v>
      </c>
      <c r="I152" s="77">
        <v>1293503</v>
      </c>
      <c r="J152" s="77">
        <v>1293503</v>
      </c>
      <c r="K152" s="77">
        <v>21219</v>
      </c>
      <c r="L152" s="77">
        <v>21219</v>
      </c>
      <c r="M152" s="70">
        <v>42.44</v>
      </c>
      <c r="N152" s="70">
        <v>42.44</v>
      </c>
      <c r="O152" s="77">
        <v>27447</v>
      </c>
      <c r="P152" s="77">
        <v>27447</v>
      </c>
      <c r="Q152" s="77">
        <v>2587006</v>
      </c>
      <c r="R152" s="77">
        <v>43079</v>
      </c>
      <c r="S152" s="26"/>
      <c r="T152" s="26"/>
      <c r="U152" s="26"/>
      <c r="V152" s="26"/>
      <c r="W152" s="26"/>
      <c r="X152" s="26"/>
      <c r="Y152" s="26"/>
      <c r="Z152" s="26"/>
      <c r="AA152" s="26"/>
      <c r="AB152" s="28"/>
      <c r="AC152" s="26"/>
      <c r="AD152" s="26"/>
      <c r="AE152" s="26"/>
      <c r="AF152" s="26"/>
      <c r="AG152" s="27"/>
    </row>
    <row r="153" spans="1:33" x14ac:dyDescent="0.25">
      <c r="A153" s="26" t="s">
        <v>384</v>
      </c>
      <c r="B153" s="70">
        <v>1320.8</v>
      </c>
      <c r="C153" s="70" t="s">
        <v>205</v>
      </c>
      <c r="D153" s="70" t="s">
        <v>205</v>
      </c>
      <c r="E153" s="70">
        <v>9.5299999999999994</v>
      </c>
      <c r="F153" s="70">
        <v>4.1500000000000004</v>
      </c>
      <c r="G153" s="70">
        <v>392.59</v>
      </c>
      <c r="H153" s="70">
        <v>308.18</v>
      </c>
      <c r="I153" s="77">
        <v>843818</v>
      </c>
      <c r="J153" s="77">
        <v>843818</v>
      </c>
      <c r="K153" s="77">
        <v>12777</v>
      </c>
      <c r="L153" s="77">
        <v>12777</v>
      </c>
      <c r="M153" s="70">
        <v>46.36</v>
      </c>
      <c r="N153" s="70">
        <v>46.36</v>
      </c>
      <c r="O153" s="77">
        <v>16390</v>
      </c>
      <c r="P153" s="77">
        <v>16390</v>
      </c>
      <c r="Q153" s="77">
        <v>1687636</v>
      </c>
      <c r="R153" s="77">
        <v>25726</v>
      </c>
      <c r="S153" s="26"/>
      <c r="T153" s="26"/>
      <c r="U153" s="26"/>
      <c r="V153" s="26"/>
      <c r="W153" s="26"/>
      <c r="X153" s="26"/>
      <c r="Y153" s="26"/>
      <c r="Z153" s="26"/>
      <c r="AA153" s="26"/>
      <c r="AB153" s="28"/>
      <c r="AC153" s="26"/>
      <c r="AD153" s="26"/>
      <c r="AE153" s="26"/>
      <c r="AF153" s="26"/>
      <c r="AG153" s="27"/>
    </row>
    <row r="154" spans="1:33" x14ac:dyDescent="0.25">
      <c r="A154" s="26" t="s">
        <v>385</v>
      </c>
      <c r="B154" s="70">
        <v>1320.8</v>
      </c>
      <c r="C154" s="70" t="s">
        <v>205</v>
      </c>
      <c r="D154" s="70" t="s">
        <v>205</v>
      </c>
      <c r="E154" s="70">
        <v>11.1</v>
      </c>
      <c r="F154" s="70">
        <v>4.1500000000000004</v>
      </c>
      <c r="G154" s="70">
        <v>456.71</v>
      </c>
      <c r="H154" s="70">
        <v>358.52</v>
      </c>
      <c r="I154" s="77">
        <v>979323</v>
      </c>
      <c r="J154" s="77">
        <v>979323</v>
      </c>
      <c r="K154" s="77">
        <v>14829</v>
      </c>
      <c r="L154" s="77">
        <v>14829</v>
      </c>
      <c r="M154" s="70">
        <v>46.31</v>
      </c>
      <c r="N154" s="70">
        <v>46.31</v>
      </c>
      <c r="O154" s="77">
        <v>19044</v>
      </c>
      <c r="P154" s="77">
        <v>19044</v>
      </c>
      <c r="Q154" s="77">
        <v>1958647</v>
      </c>
      <c r="R154" s="77">
        <v>29893</v>
      </c>
      <c r="S154" s="26"/>
      <c r="T154" s="26"/>
      <c r="U154" s="26"/>
      <c r="V154" s="26"/>
      <c r="W154" s="26"/>
      <c r="X154" s="26"/>
      <c r="Y154" s="26"/>
      <c r="Z154" s="26"/>
      <c r="AA154" s="26"/>
      <c r="AB154" s="28"/>
      <c r="AC154" s="26"/>
      <c r="AD154" s="26"/>
      <c r="AE154" s="26"/>
      <c r="AF154" s="26"/>
      <c r="AG154" s="27"/>
    </row>
    <row r="155" spans="1:33" x14ac:dyDescent="0.25">
      <c r="A155" s="26" t="s">
        <v>386</v>
      </c>
      <c r="B155" s="70">
        <v>1320.8</v>
      </c>
      <c r="C155" s="70" t="s">
        <v>205</v>
      </c>
      <c r="D155" s="70" t="s">
        <v>205</v>
      </c>
      <c r="E155" s="70">
        <v>12.7</v>
      </c>
      <c r="F155" s="70">
        <v>4.1500000000000004</v>
      </c>
      <c r="G155" s="70">
        <v>521.91</v>
      </c>
      <c r="H155" s="70">
        <v>409.7</v>
      </c>
      <c r="I155" s="77">
        <v>1116411</v>
      </c>
      <c r="J155" s="77">
        <v>1116411</v>
      </c>
      <c r="K155" s="77">
        <v>16905</v>
      </c>
      <c r="L155" s="77">
        <v>16905</v>
      </c>
      <c r="M155" s="70">
        <v>46.25</v>
      </c>
      <c r="N155" s="70">
        <v>46.25</v>
      </c>
      <c r="O155" s="77">
        <v>21736</v>
      </c>
      <c r="P155" s="77">
        <v>21736</v>
      </c>
      <c r="Q155" s="77">
        <v>2232821</v>
      </c>
      <c r="R155" s="77">
        <v>34118</v>
      </c>
      <c r="S155" s="26"/>
      <c r="T155" s="26"/>
      <c r="U155" s="26"/>
      <c r="V155" s="26"/>
      <c r="W155" s="26"/>
      <c r="X155" s="26"/>
      <c r="Y155" s="26"/>
      <c r="Z155" s="26"/>
      <c r="AA155" s="26"/>
      <c r="AB155" s="28"/>
      <c r="AC155" s="26"/>
      <c r="AD155" s="26"/>
      <c r="AE155" s="26"/>
      <c r="AF155" s="26"/>
      <c r="AG155" s="27"/>
    </row>
    <row r="156" spans="1:33" x14ac:dyDescent="0.25">
      <c r="A156" s="26" t="s">
        <v>387</v>
      </c>
      <c r="B156" s="70">
        <v>1320.8</v>
      </c>
      <c r="C156" s="70" t="s">
        <v>205</v>
      </c>
      <c r="D156" s="70" t="s">
        <v>205</v>
      </c>
      <c r="E156" s="70">
        <v>15.87</v>
      </c>
      <c r="F156" s="70">
        <v>4.1500000000000004</v>
      </c>
      <c r="G156" s="70">
        <v>650.6</v>
      </c>
      <c r="H156" s="70">
        <v>510.72</v>
      </c>
      <c r="I156" s="77">
        <v>1385030</v>
      </c>
      <c r="J156" s="77">
        <v>1385030</v>
      </c>
      <c r="K156" s="77">
        <v>20973</v>
      </c>
      <c r="L156" s="77">
        <v>20973</v>
      </c>
      <c r="M156" s="70">
        <v>46.14</v>
      </c>
      <c r="N156" s="70">
        <v>46.14</v>
      </c>
      <c r="O156" s="77">
        <v>27031</v>
      </c>
      <c r="P156" s="77">
        <v>27031</v>
      </c>
      <c r="Q156" s="77">
        <v>2770061</v>
      </c>
      <c r="R156" s="77">
        <v>42428</v>
      </c>
      <c r="S156" s="26"/>
      <c r="T156" s="26"/>
      <c r="U156" s="26"/>
      <c r="V156" s="26"/>
      <c r="W156" s="26"/>
      <c r="X156" s="26"/>
      <c r="Y156" s="26"/>
      <c r="Z156" s="26"/>
      <c r="AA156" s="26"/>
      <c r="AB156" s="28"/>
      <c r="AC156" s="26"/>
      <c r="AD156" s="26"/>
      <c r="AE156" s="26"/>
      <c r="AF156" s="26"/>
      <c r="AG156" s="27"/>
    </row>
    <row r="157" spans="1:33" x14ac:dyDescent="0.25">
      <c r="A157" s="26" t="s">
        <v>388</v>
      </c>
      <c r="B157" s="70">
        <v>1320.8</v>
      </c>
      <c r="C157" s="70" t="s">
        <v>205</v>
      </c>
      <c r="D157" s="70" t="s">
        <v>205</v>
      </c>
      <c r="E157" s="70">
        <v>19.05</v>
      </c>
      <c r="F157" s="70">
        <v>4.1500000000000004</v>
      </c>
      <c r="G157" s="70">
        <v>779.06</v>
      </c>
      <c r="H157" s="70">
        <v>611.55999999999995</v>
      </c>
      <c r="I157" s="77">
        <v>1650544</v>
      </c>
      <c r="J157" s="77">
        <v>1650544</v>
      </c>
      <c r="K157" s="77">
        <v>24993</v>
      </c>
      <c r="L157" s="77">
        <v>24993</v>
      </c>
      <c r="M157" s="70">
        <v>46.03</v>
      </c>
      <c r="N157" s="70">
        <v>46.03</v>
      </c>
      <c r="O157" s="77">
        <v>32290</v>
      </c>
      <c r="P157" s="77">
        <v>32290</v>
      </c>
      <c r="Q157" s="77">
        <v>3301089</v>
      </c>
      <c r="R157" s="77">
        <v>50682</v>
      </c>
      <c r="S157" s="26"/>
      <c r="T157" s="26"/>
      <c r="U157" s="26"/>
      <c r="V157" s="26"/>
      <c r="W157" s="26"/>
      <c r="X157" s="26"/>
      <c r="Y157" s="26"/>
      <c r="Z157" s="26"/>
      <c r="AA157" s="26"/>
      <c r="AB157" s="28"/>
      <c r="AC157" s="26"/>
      <c r="AD157" s="26"/>
      <c r="AE157" s="26"/>
      <c r="AF157" s="26"/>
      <c r="AG157" s="27"/>
    </row>
    <row r="158" spans="1:33" x14ac:dyDescent="0.25">
      <c r="A158" s="26" t="s">
        <v>389</v>
      </c>
      <c r="B158" s="70">
        <v>1422.4</v>
      </c>
      <c r="C158" s="70" t="s">
        <v>205</v>
      </c>
      <c r="D158" s="70" t="s">
        <v>205</v>
      </c>
      <c r="E158" s="70">
        <v>9.5299999999999994</v>
      </c>
      <c r="F158" s="70">
        <v>4.47</v>
      </c>
      <c r="G158" s="70">
        <v>423</v>
      </c>
      <c r="H158" s="70">
        <v>332.06</v>
      </c>
      <c r="I158" s="77">
        <v>1055543</v>
      </c>
      <c r="J158" s="77">
        <v>1055543</v>
      </c>
      <c r="K158" s="77">
        <v>14842</v>
      </c>
      <c r="L158" s="77">
        <v>14842</v>
      </c>
      <c r="M158" s="70">
        <v>49.95</v>
      </c>
      <c r="N158" s="70">
        <v>49.95</v>
      </c>
      <c r="O158" s="77">
        <v>19028</v>
      </c>
      <c r="P158" s="77">
        <v>19028</v>
      </c>
      <c r="Q158" s="77">
        <v>2111085</v>
      </c>
      <c r="R158" s="77">
        <v>29867</v>
      </c>
      <c r="S158" s="26"/>
      <c r="T158" s="26"/>
      <c r="U158" s="26"/>
      <c r="V158" s="26"/>
      <c r="W158" s="26"/>
      <c r="X158" s="26"/>
      <c r="Y158" s="26"/>
      <c r="Z158" s="26"/>
      <c r="AA158" s="26"/>
      <c r="AB158" s="28"/>
      <c r="AC158" s="26"/>
      <c r="AD158" s="26"/>
      <c r="AE158" s="26"/>
      <c r="AF158" s="26"/>
      <c r="AG158" s="27"/>
    </row>
    <row r="159" spans="1:33" x14ac:dyDescent="0.25">
      <c r="A159" s="26" t="s">
        <v>390</v>
      </c>
      <c r="B159" s="70">
        <v>1422.4</v>
      </c>
      <c r="C159" s="70" t="s">
        <v>205</v>
      </c>
      <c r="D159" s="70" t="s">
        <v>205</v>
      </c>
      <c r="E159" s="70">
        <v>11.1</v>
      </c>
      <c r="F159" s="70">
        <v>4.47</v>
      </c>
      <c r="G159" s="70">
        <v>492.14</v>
      </c>
      <c r="H159" s="70">
        <v>386.33</v>
      </c>
      <c r="I159" s="77">
        <v>1225362</v>
      </c>
      <c r="J159" s="77">
        <v>1225362</v>
      </c>
      <c r="K159" s="77">
        <v>17229</v>
      </c>
      <c r="L159" s="77">
        <v>17229</v>
      </c>
      <c r="M159" s="70">
        <v>49.9</v>
      </c>
      <c r="N159" s="70">
        <v>49.9</v>
      </c>
      <c r="O159" s="77">
        <v>22113</v>
      </c>
      <c r="P159" s="77">
        <v>22113</v>
      </c>
      <c r="Q159" s="77">
        <v>2450724</v>
      </c>
      <c r="R159" s="77">
        <v>34711</v>
      </c>
      <c r="S159" s="26"/>
      <c r="T159" s="26"/>
      <c r="U159" s="26"/>
      <c r="V159" s="26"/>
      <c r="W159" s="26"/>
      <c r="X159" s="26"/>
      <c r="Y159" s="26"/>
      <c r="Z159" s="26"/>
      <c r="AA159" s="26"/>
      <c r="AB159" s="28"/>
      <c r="AC159" s="26"/>
      <c r="AD159" s="26"/>
      <c r="AE159" s="26"/>
      <c r="AF159" s="26"/>
      <c r="AG159" s="27"/>
    </row>
    <row r="160" spans="1:33" x14ac:dyDescent="0.25">
      <c r="A160" s="26" t="s">
        <v>391</v>
      </c>
      <c r="B160" s="70">
        <v>1422.4</v>
      </c>
      <c r="C160" s="70" t="s">
        <v>205</v>
      </c>
      <c r="D160" s="70" t="s">
        <v>205</v>
      </c>
      <c r="E160" s="70">
        <v>12.7</v>
      </c>
      <c r="F160" s="70">
        <v>4.47</v>
      </c>
      <c r="G160" s="70">
        <v>562.45000000000005</v>
      </c>
      <c r="H160" s="70">
        <v>441.52</v>
      </c>
      <c r="I160" s="77">
        <v>1397255</v>
      </c>
      <c r="J160" s="77">
        <v>1397255</v>
      </c>
      <c r="K160" s="77">
        <v>19646</v>
      </c>
      <c r="L160" s="77">
        <v>19646</v>
      </c>
      <c r="M160" s="70">
        <v>49.84</v>
      </c>
      <c r="N160" s="70">
        <v>49.84</v>
      </c>
      <c r="O160" s="77">
        <v>25244</v>
      </c>
      <c r="P160" s="77">
        <v>25244</v>
      </c>
      <c r="Q160" s="77">
        <v>2794509</v>
      </c>
      <c r="R160" s="77">
        <v>39624</v>
      </c>
      <c r="S160" s="26"/>
      <c r="T160" s="26"/>
      <c r="U160" s="26"/>
      <c r="V160" s="26"/>
      <c r="W160" s="26"/>
      <c r="X160" s="26"/>
      <c r="Y160" s="26"/>
      <c r="Z160" s="26"/>
      <c r="AA160" s="26"/>
      <c r="AB160" s="28"/>
      <c r="AC160" s="26"/>
      <c r="AD160" s="26"/>
      <c r="AE160" s="26"/>
      <c r="AF160" s="26"/>
      <c r="AG160" s="27"/>
    </row>
    <row r="161" spans="1:33" x14ac:dyDescent="0.25">
      <c r="A161" s="26" t="s">
        <v>392</v>
      </c>
      <c r="B161" s="70">
        <v>1422.4</v>
      </c>
      <c r="C161" s="70" t="s">
        <v>205</v>
      </c>
      <c r="D161" s="70" t="s">
        <v>205</v>
      </c>
      <c r="E161" s="70">
        <v>15.87</v>
      </c>
      <c r="F161" s="70">
        <v>4.47</v>
      </c>
      <c r="G161" s="70">
        <v>701.25</v>
      </c>
      <c r="H161" s="70">
        <v>550.48</v>
      </c>
      <c r="I161" s="77">
        <v>1734346</v>
      </c>
      <c r="J161" s="77">
        <v>1734346</v>
      </c>
      <c r="K161" s="77">
        <v>24386</v>
      </c>
      <c r="L161" s="77">
        <v>24386</v>
      </c>
      <c r="M161" s="70">
        <v>49.73</v>
      </c>
      <c r="N161" s="70">
        <v>49.73</v>
      </c>
      <c r="O161" s="77">
        <v>31404</v>
      </c>
      <c r="P161" s="77">
        <v>31404</v>
      </c>
      <c r="Q161" s="77">
        <v>3468692</v>
      </c>
      <c r="R161" s="77">
        <v>49292</v>
      </c>
      <c r="S161" s="26"/>
      <c r="T161" s="26"/>
      <c r="U161" s="26"/>
      <c r="V161" s="26"/>
      <c r="W161" s="26"/>
      <c r="X161" s="26"/>
      <c r="Y161" s="26"/>
      <c r="Z161" s="26"/>
      <c r="AA161" s="26"/>
      <c r="AB161" s="28"/>
      <c r="AC161" s="26"/>
      <c r="AD161" s="26"/>
      <c r="AE161" s="26"/>
      <c r="AF161" s="26"/>
      <c r="AG161" s="27"/>
    </row>
    <row r="162" spans="1:33" x14ac:dyDescent="0.25">
      <c r="A162" s="26" t="s">
        <v>393</v>
      </c>
      <c r="B162" s="70">
        <v>1422.4</v>
      </c>
      <c r="C162" s="70" t="s">
        <v>205</v>
      </c>
      <c r="D162" s="70" t="s">
        <v>205</v>
      </c>
      <c r="E162" s="70">
        <v>19.05</v>
      </c>
      <c r="F162" s="70">
        <v>4.47</v>
      </c>
      <c r="G162" s="70">
        <v>839.87</v>
      </c>
      <c r="H162" s="70">
        <v>659.3</v>
      </c>
      <c r="I162" s="77">
        <v>2067900</v>
      </c>
      <c r="J162" s="77">
        <v>2067900</v>
      </c>
      <c r="K162" s="77">
        <v>29076</v>
      </c>
      <c r="L162" s="77">
        <v>29076</v>
      </c>
      <c r="M162" s="70">
        <v>49.62</v>
      </c>
      <c r="N162" s="70">
        <v>49.62</v>
      </c>
      <c r="O162" s="77">
        <v>37527</v>
      </c>
      <c r="P162" s="77">
        <v>37527</v>
      </c>
      <c r="Q162" s="77">
        <v>4135799</v>
      </c>
      <c r="R162" s="77">
        <v>58902</v>
      </c>
      <c r="S162" s="26"/>
      <c r="T162" s="26"/>
      <c r="U162" s="26"/>
      <c r="V162" s="26"/>
      <c r="W162" s="26"/>
      <c r="X162" s="26"/>
      <c r="Y162" s="26"/>
      <c r="Z162" s="26"/>
      <c r="AA162" s="26"/>
      <c r="AB162" s="28"/>
      <c r="AC162" s="26"/>
      <c r="AD162" s="26"/>
      <c r="AE162" s="26"/>
      <c r="AF162" s="26"/>
      <c r="AG162" s="27"/>
    </row>
    <row r="163" spans="1:33" x14ac:dyDescent="0.25">
      <c r="A163" s="26" t="s">
        <v>394</v>
      </c>
      <c r="B163" s="70">
        <v>1524</v>
      </c>
      <c r="C163" s="70" t="s">
        <v>205</v>
      </c>
      <c r="D163" s="70" t="s">
        <v>205</v>
      </c>
      <c r="E163" s="70">
        <v>9.5299999999999994</v>
      </c>
      <c r="F163" s="70">
        <v>4.79</v>
      </c>
      <c r="G163" s="70">
        <v>453.42</v>
      </c>
      <c r="H163" s="70">
        <v>355.94</v>
      </c>
      <c r="I163" s="77">
        <v>1300016</v>
      </c>
      <c r="J163" s="77">
        <v>1300016</v>
      </c>
      <c r="K163" s="77">
        <v>17061</v>
      </c>
      <c r="L163" s="77">
        <v>17061</v>
      </c>
      <c r="M163" s="70">
        <v>53.55</v>
      </c>
      <c r="N163" s="70">
        <v>53.55</v>
      </c>
      <c r="O163" s="77">
        <v>21863</v>
      </c>
      <c r="P163" s="77">
        <v>21863</v>
      </c>
      <c r="Q163" s="77">
        <v>2600031</v>
      </c>
      <c r="R163" s="77">
        <v>34317</v>
      </c>
      <c r="S163" s="26"/>
      <c r="T163" s="26"/>
      <c r="U163" s="26"/>
      <c r="V163" s="26"/>
      <c r="W163" s="26"/>
      <c r="X163" s="26"/>
      <c r="Y163" s="26"/>
      <c r="Z163" s="26"/>
      <c r="AA163" s="26"/>
      <c r="AB163" s="28"/>
      <c r="AC163" s="26"/>
      <c r="AD163" s="26"/>
      <c r="AE163" s="26"/>
      <c r="AF163" s="26"/>
      <c r="AG163" s="27"/>
    </row>
    <row r="164" spans="1:33" x14ac:dyDescent="0.25">
      <c r="A164" s="26" t="s">
        <v>395</v>
      </c>
      <c r="B164" s="70">
        <v>1524</v>
      </c>
      <c r="C164" s="70" t="s">
        <v>205</v>
      </c>
      <c r="D164" s="70" t="s">
        <v>205</v>
      </c>
      <c r="E164" s="70">
        <v>11.1</v>
      </c>
      <c r="F164" s="70">
        <v>4.79</v>
      </c>
      <c r="G164" s="70">
        <v>527.57000000000005</v>
      </c>
      <c r="H164" s="70">
        <v>414.15</v>
      </c>
      <c r="I164" s="77">
        <v>1509501</v>
      </c>
      <c r="J164" s="77">
        <v>1509501</v>
      </c>
      <c r="K164" s="77">
        <v>19810</v>
      </c>
      <c r="L164" s="77">
        <v>19810</v>
      </c>
      <c r="M164" s="70">
        <v>53.49</v>
      </c>
      <c r="N164" s="70">
        <v>53.49</v>
      </c>
      <c r="O164" s="77">
        <v>25412</v>
      </c>
      <c r="P164" s="77">
        <v>25412</v>
      </c>
      <c r="Q164" s="77">
        <v>3019003</v>
      </c>
      <c r="R164" s="77">
        <v>39888</v>
      </c>
      <c r="S164" s="26"/>
      <c r="T164" s="26"/>
      <c r="U164" s="26"/>
      <c r="V164" s="26"/>
      <c r="W164" s="26"/>
      <c r="X164" s="26"/>
      <c r="Y164" s="26"/>
      <c r="Z164" s="26"/>
      <c r="AA164" s="26"/>
      <c r="AB164" s="28"/>
      <c r="AC164" s="26"/>
      <c r="AD164" s="26"/>
      <c r="AE164" s="26"/>
      <c r="AF164" s="26"/>
      <c r="AG164" s="27"/>
    </row>
    <row r="165" spans="1:33" x14ac:dyDescent="0.25">
      <c r="A165" s="26" t="s">
        <v>396</v>
      </c>
      <c r="B165" s="70">
        <v>1524</v>
      </c>
      <c r="C165" s="70" t="s">
        <v>205</v>
      </c>
      <c r="D165" s="70" t="s">
        <v>205</v>
      </c>
      <c r="E165" s="70">
        <v>12.7</v>
      </c>
      <c r="F165" s="70">
        <v>4.79</v>
      </c>
      <c r="G165" s="70">
        <v>602.98</v>
      </c>
      <c r="H165" s="70">
        <v>473.34</v>
      </c>
      <c r="I165" s="77">
        <v>1721642</v>
      </c>
      <c r="J165" s="77">
        <v>1721642</v>
      </c>
      <c r="K165" s="77">
        <v>22594</v>
      </c>
      <c r="L165" s="77">
        <v>22594</v>
      </c>
      <c r="M165" s="70">
        <v>53.43</v>
      </c>
      <c r="N165" s="70">
        <v>53.43</v>
      </c>
      <c r="O165" s="77">
        <v>29014</v>
      </c>
      <c r="P165" s="77">
        <v>29014</v>
      </c>
      <c r="Q165" s="77">
        <v>3443285</v>
      </c>
      <c r="R165" s="77">
        <v>45541</v>
      </c>
      <c r="S165" s="26"/>
      <c r="T165" s="26"/>
      <c r="U165" s="26"/>
      <c r="V165" s="26"/>
      <c r="W165" s="26"/>
      <c r="X165" s="26"/>
      <c r="Y165" s="26"/>
      <c r="Z165" s="26"/>
      <c r="AA165" s="26"/>
      <c r="AB165" s="28"/>
      <c r="AC165" s="26"/>
      <c r="AD165" s="26"/>
      <c r="AE165" s="26"/>
      <c r="AF165" s="26"/>
      <c r="AG165" s="27"/>
    </row>
    <row r="166" spans="1:33" x14ac:dyDescent="0.25">
      <c r="A166" s="26" t="s">
        <v>397</v>
      </c>
      <c r="B166" s="70">
        <v>1524</v>
      </c>
      <c r="C166" s="70" t="s">
        <v>205</v>
      </c>
      <c r="D166" s="70" t="s">
        <v>205</v>
      </c>
      <c r="E166" s="70">
        <v>15.87</v>
      </c>
      <c r="F166" s="70">
        <v>4.79</v>
      </c>
      <c r="G166" s="70">
        <v>751.91</v>
      </c>
      <c r="H166" s="70">
        <v>590.25</v>
      </c>
      <c r="I166" s="77">
        <v>2137951</v>
      </c>
      <c r="J166" s="77">
        <v>2137951</v>
      </c>
      <c r="K166" s="77">
        <v>28057</v>
      </c>
      <c r="L166" s="77">
        <v>28057</v>
      </c>
      <c r="M166" s="70">
        <v>53.32</v>
      </c>
      <c r="N166" s="70">
        <v>53.32</v>
      </c>
      <c r="O166" s="77">
        <v>36104</v>
      </c>
      <c r="P166" s="77">
        <v>36104</v>
      </c>
      <c r="Q166" s="77">
        <v>4275903</v>
      </c>
      <c r="R166" s="77">
        <v>56670</v>
      </c>
      <c r="S166" s="26"/>
      <c r="T166" s="26"/>
      <c r="U166" s="26"/>
      <c r="V166" s="26"/>
      <c r="W166" s="26"/>
      <c r="X166" s="26"/>
      <c r="Y166" s="26"/>
      <c r="Z166" s="26"/>
      <c r="AA166" s="26"/>
      <c r="AB166" s="28"/>
      <c r="AC166" s="26"/>
      <c r="AD166" s="26"/>
      <c r="AE166" s="26"/>
      <c r="AF166" s="26"/>
      <c r="AG166" s="27"/>
    </row>
    <row r="167" spans="1:33" x14ac:dyDescent="0.25">
      <c r="A167" s="26" t="s">
        <v>398</v>
      </c>
      <c r="B167" s="70">
        <v>1524</v>
      </c>
      <c r="C167" s="70" t="s">
        <v>205</v>
      </c>
      <c r="D167" s="70" t="s">
        <v>205</v>
      </c>
      <c r="E167" s="70">
        <v>19.05</v>
      </c>
      <c r="F167" s="70">
        <v>4.79</v>
      </c>
      <c r="G167" s="70">
        <v>900.67</v>
      </c>
      <c r="H167" s="70">
        <v>707.03</v>
      </c>
      <c r="I167" s="77">
        <v>2550276</v>
      </c>
      <c r="J167" s="77">
        <v>2550276</v>
      </c>
      <c r="K167" s="77">
        <v>33468</v>
      </c>
      <c r="L167" s="77">
        <v>33468</v>
      </c>
      <c r="M167" s="70">
        <v>53.21</v>
      </c>
      <c r="N167" s="70">
        <v>53.21</v>
      </c>
      <c r="O167" s="77">
        <v>43157</v>
      </c>
      <c r="P167" s="77">
        <v>43157</v>
      </c>
      <c r="Q167" s="77">
        <v>5100553</v>
      </c>
      <c r="R167" s="77">
        <v>67739</v>
      </c>
      <c r="S167" s="26"/>
      <c r="T167" s="26"/>
      <c r="U167" s="26"/>
      <c r="V167" s="26"/>
      <c r="W167" s="26"/>
      <c r="X167" s="26"/>
      <c r="Y167" s="26"/>
      <c r="Z167" s="26"/>
      <c r="AA167" s="26"/>
      <c r="AB167" s="28"/>
      <c r="AC167" s="26"/>
      <c r="AD167" s="26"/>
      <c r="AE167" s="26"/>
      <c r="AF167" s="26"/>
      <c r="AG167" s="27"/>
    </row>
    <row r="168" spans="1:33" x14ac:dyDescent="0.25">
      <c r="A168" s="26" t="s">
        <v>399</v>
      </c>
      <c r="B168" s="70">
        <v>1828.8</v>
      </c>
      <c r="C168" s="70" t="s">
        <v>205</v>
      </c>
      <c r="D168" s="70" t="s">
        <v>205</v>
      </c>
      <c r="E168" s="70">
        <v>12.7</v>
      </c>
      <c r="F168" s="70">
        <v>5.75</v>
      </c>
      <c r="G168" s="70">
        <v>724.59</v>
      </c>
      <c r="H168" s="70">
        <v>568.79999999999995</v>
      </c>
      <c r="I168" s="77">
        <v>2987450</v>
      </c>
      <c r="J168" s="77">
        <v>2987450</v>
      </c>
      <c r="K168" s="77">
        <v>32671</v>
      </c>
      <c r="L168" s="77">
        <v>32671</v>
      </c>
      <c r="M168" s="70">
        <v>64.209999999999994</v>
      </c>
      <c r="N168" s="70">
        <v>64.209999999999994</v>
      </c>
      <c r="O168" s="77">
        <v>41896</v>
      </c>
      <c r="P168" s="77">
        <v>41896</v>
      </c>
      <c r="Q168" s="77">
        <v>5974901</v>
      </c>
      <c r="R168" s="77">
        <v>65763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8"/>
      <c r="AC168" s="26"/>
      <c r="AD168" s="26"/>
      <c r="AE168" s="26"/>
      <c r="AF168" s="26"/>
      <c r="AG168" s="27"/>
    </row>
    <row r="169" spans="1:33" x14ac:dyDescent="0.25">
      <c r="A169" s="26" t="s">
        <v>400</v>
      </c>
      <c r="B169" s="70">
        <v>1828.8</v>
      </c>
      <c r="C169" s="70" t="s">
        <v>205</v>
      </c>
      <c r="D169" s="70" t="s">
        <v>205</v>
      </c>
      <c r="E169" s="70">
        <v>15.87</v>
      </c>
      <c r="F169" s="70">
        <v>5.75</v>
      </c>
      <c r="G169" s="70">
        <v>903.87</v>
      </c>
      <c r="H169" s="70">
        <v>709.54</v>
      </c>
      <c r="I169" s="77">
        <v>3713725</v>
      </c>
      <c r="J169" s="77">
        <v>3713725</v>
      </c>
      <c r="K169" s="77">
        <v>40614</v>
      </c>
      <c r="L169" s="77">
        <v>40614</v>
      </c>
      <c r="M169" s="70">
        <v>64.099999999999994</v>
      </c>
      <c r="N169" s="70">
        <v>64.099999999999994</v>
      </c>
      <c r="O169" s="77">
        <v>52172</v>
      </c>
      <c r="P169" s="77">
        <v>52172</v>
      </c>
      <c r="Q169" s="77">
        <v>7427451</v>
      </c>
      <c r="R169" s="77">
        <v>81891</v>
      </c>
      <c r="S169" s="26"/>
      <c r="T169" s="26"/>
      <c r="U169" s="26"/>
      <c r="V169" s="26"/>
      <c r="W169" s="26"/>
      <c r="X169" s="26"/>
      <c r="Y169" s="26"/>
      <c r="Z169" s="26"/>
      <c r="AA169" s="26"/>
      <c r="AB169" s="28"/>
      <c r="AC169" s="26"/>
      <c r="AD169" s="26"/>
      <c r="AE169" s="26"/>
      <c r="AF169" s="26"/>
      <c r="AG169" s="27"/>
    </row>
    <row r="170" spans="1:33" x14ac:dyDescent="0.25">
      <c r="A170" s="26" t="s">
        <v>401</v>
      </c>
      <c r="B170" s="70">
        <v>1828.8</v>
      </c>
      <c r="C170" s="70" t="s">
        <v>205</v>
      </c>
      <c r="D170" s="70" t="s">
        <v>205</v>
      </c>
      <c r="E170" s="70">
        <v>19.05</v>
      </c>
      <c r="F170" s="70">
        <v>5.75</v>
      </c>
      <c r="G170" s="70">
        <v>1083.0899999999999</v>
      </c>
      <c r="H170" s="70">
        <v>850.22</v>
      </c>
      <c r="I170" s="77">
        <v>4434609</v>
      </c>
      <c r="J170" s="77">
        <v>4434609</v>
      </c>
      <c r="K170" s="77">
        <v>48497</v>
      </c>
      <c r="L170" s="77">
        <v>48497</v>
      </c>
      <c r="M170" s="70">
        <v>63.99</v>
      </c>
      <c r="N170" s="70">
        <v>63.99</v>
      </c>
      <c r="O170" s="77">
        <v>62407</v>
      </c>
      <c r="P170" s="77">
        <v>62407</v>
      </c>
      <c r="Q170" s="77">
        <v>8869218</v>
      </c>
      <c r="R170" s="77">
        <v>97956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8"/>
      <c r="AC170" s="26"/>
      <c r="AD170" s="26"/>
      <c r="AE170" s="26"/>
      <c r="AF170" s="26"/>
      <c r="AG170" s="27"/>
    </row>
    <row r="171" spans="1:33" x14ac:dyDescent="0.25">
      <c r="A171" s="26" t="s">
        <v>402</v>
      </c>
      <c r="B171" s="70" t="s">
        <v>205</v>
      </c>
      <c r="C171" s="70" t="s">
        <v>205</v>
      </c>
      <c r="D171" s="70" t="str">
        <f>MID(A171,15,2)</f>
        <v>15</v>
      </c>
      <c r="E171" s="70">
        <v>0.7</v>
      </c>
      <c r="F171" s="78">
        <v>5.8000000000000003E-2</v>
      </c>
      <c r="G171" s="78">
        <v>0.38800000000000001</v>
      </c>
      <c r="H171" s="70">
        <v>0.30399999999999999</v>
      </c>
      <c r="I171" s="77">
        <v>0.13</v>
      </c>
      <c r="J171" s="77">
        <v>0.13</v>
      </c>
      <c r="K171" s="77">
        <v>0.17299999999999999</v>
      </c>
      <c r="L171" s="77">
        <v>0.17299999999999999</v>
      </c>
      <c r="M171" s="70">
        <v>0.57899999999999996</v>
      </c>
      <c r="N171" s="70">
        <v>0.57899999999999996</v>
      </c>
      <c r="O171" s="77">
        <v>0.20599999999999999</v>
      </c>
      <c r="P171" s="77">
        <v>0.20599999999999999</v>
      </c>
      <c r="Q171" s="77">
        <v>0.20300000000000001</v>
      </c>
      <c r="R171" s="77">
        <v>0.28499999999999998</v>
      </c>
      <c r="S171" s="29"/>
      <c r="T171" s="26"/>
      <c r="U171" s="26"/>
      <c r="V171" s="26"/>
      <c r="W171" s="26"/>
      <c r="X171" s="26"/>
      <c r="Y171" s="26"/>
      <c r="Z171" s="26"/>
      <c r="AA171" s="26"/>
      <c r="AB171" s="28"/>
      <c r="AC171" s="26"/>
      <c r="AD171" s="26"/>
      <c r="AE171" s="26"/>
      <c r="AF171" s="26"/>
      <c r="AG171" s="27"/>
    </row>
    <row r="172" spans="1:33" x14ac:dyDescent="0.25">
      <c r="A172" s="26" t="s">
        <v>403</v>
      </c>
      <c r="B172" s="70" t="s">
        <v>205</v>
      </c>
      <c r="C172" s="70" t="s">
        <v>205</v>
      </c>
      <c r="D172" s="70" t="str">
        <f t="shared" ref="D172:D207" si="0">MID(A172,15,2)</f>
        <v>15</v>
      </c>
      <c r="E172" s="70">
        <v>0.9</v>
      </c>
      <c r="F172" s="78">
        <v>5.7000000000000002E-2</v>
      </c>
      <c r="G172" s="78">
        <v>0.48699999999999999</v>
      </c>
      <c r="H172" s="70">
        <v>0.38200000000000001</v>
      </c>
      <c r="I172" s="77">
        <v>0.158</v>
      </c>
      <c r="J172" s="77">
        <v>0.158</v>
      </c>
      <c r="K172" s="77">
        <v>0.21</v>
      </c>
      <c r="L172" s="77">
        <v>0.21</v>
      </c>
      <c r="M172" s="70">
        <v>0.56899999999999995</v>
      </c>
      <c r="N172" s="70">
        <v>0.56899999999999995</v>
      </c>
      <c r="O172" s="77">
        <v>0.254</v>
      </c>
      <c r="P172" s="77">
        <v>0.254</v>
      </c>
      <c r="Q172" s="77">
        <v>0.248</v>
      </c>
      <c r="R172" s="77">
        <v>0.35499999999999998</v>
      </c>
      <c r="S172" s="29"/>
      <c r="T172" s="26"/>
      <c r="U172" s="26"/>
      <c r="V172" s="26"/>
      <c r="W172" s="26"/>
      <c r="X172" s="26"/>
      <c r="Y172" s="26"/>
      <c r="Z172" s="26"/>
      <c r="AA172" s="26"/>
      <c r="AB172" s="28"/>
      <c r="AC172" s="26"/>
      <c r="AD172" s="26"/>
      <c r="AE172" s="26"/>
      <c r="AF172" s="26"/>
      <c r="AG172" s="27"/>
    </row>
    <row r="173" spans="1:33" x14ac:dyDescent="0.25">
      <c r="A173" s="26" t="s">
        <v>404</v>
      </c>
      <c r="B173" s="70" t="s">
        <v>205</v>
      </c>
      <c r="C173" s="70" t="s">
        <v>205</v>
      </c>
      <c r="D173" s="70" t="str">
        <f t="shared" si="0"/>
        <v>15</v>
      </c>
      <c r="E173" s="70">
        <v>1.25</v>
      </c>
      <c r="F173" s="78">
        <v>5.6000000000000001E-2</v>
      </c>
      <c r="G173" s="78">
        <v>0.64700000000000002</v>
      </c>
      <c r="H173" s="70">
        <v>0.50800000000000001</v>
      </c>
      <c r="I173" s="77">
        <v>0.19700000000000001</v>
      </c>
      <c r="J173" s="77">
        <v>0.19700000000000001</v>
      </c>
      <c r="K173" s="77">
        <v>0.26300000000000001</v>
      </c>
      <c r="L173" s="77">
        <v>0.26300000000000001</v>
      </c>
      <c r="M173" s="70">
        <v>0.55200000000000005</v>
      </c>
      <c r="N173" s="70">
        <v>0.55200000000000005</v>
      </c>
      <c r="O173" s="77">
        <v>0.32700000000000001</v>
      </c>
      <c r="P173" s="77">
        <v>0.32700000000000001</v>
      </c>
      <c r="Q173" s="77">
        <v>0.315</v>
      </c>
      <c r="R173" s="77">
        <v>0.46500000000000002</v>
      </c>
      <c r="S173" s="29"/>
      <c r="T173" s="26"/>
      <c r="U173" s="26"/>
      <c r="V173" s="26"/>
      <c r="W173" s="26"/>
      <c r="X173" s="26"/>
      <c r="Y173" s="26"/>
      <c r="Z173" s="26"/>
      <c r="AA173" s="26"/>
      <c r="AB173" s="28"/>
      <c r="AC173" s="26"/>
      <c r="AD173" s="26"/>
      <c r="AE173" s="26"/>
      <c r="AF173" s="26"/>
      <c r="AG173" s="27"/>
    </row>
    <row r="174" spans="1:33" x14ac:dyDescent="0.25">
      <c r="A174" s="26" t="s">
        <v>405</v>
      </c>
      <c r="B174" s="70" t="s">
        <v>205</v>
      </c>
      <c r="C174" s="70" t="s">
        <v>205</v>
      </c>
      <c r="D174" s="70" t="str">
        <f t="shared" si="0"/>
        <v>20</v>
      </c>
      <c r="E174" s="70">
        <v>0.9</v>
      </c>
      <c r="F174" s="78">
        <v>7.6999999999999999E-2</v>
      </c>
      <c r="G174" s="78">
        <v>0.66700000000000004</v>
      </c>
      <c r="H174" s="70">
        <v>0.52300000000000002</v>
      </c>
      <c r="I174" s="77">
        <v>0.39900000000000002</v>
      </c>
      <c r="J174" s="77">
        <v>0.39900000000000002</v>
      </c>
      <c r="K174" s="77">
        <v>0.39900000000000002</v>
      </c>
      <c r="L174" s="77">
        <v>0.39900000000000002</v>
      </c>
      <c r="M174" s="70">
        <v>0.77300000000000002</v>
      </c>
      <c r="N174" s="70">
        <v>0.77300000000000002</v>
      </c>
      <c r="O174" s="77">
        <v>0.47299999999999998</v>
      </c>
      <c r="P174" s="77">
        <v>0.47299999999999998</v>
      </c>
      <c r="Q174" s="77">
        <v>0.622</v>
      </c>
      <c r="R174" s="77">
        <v>0.65400000000000003</v>
      </c>
      <c r="S174" s="29"/>
      <c r="T174" s="26"/>
      <c r="U174" s="26"/>
      <c r="V174" s="26"/>
      <c r="W174" s="26"/>
      <c r="X174" s="26"/>
      <c r="Y174" s="26"/>
      <c r="Z174" s="26"/>
      <c r="AA174" s="26"/>
      <c r="AB174" s="28"/>
      <c r="AC174" s="26"/>
      <c r="AD174" s="26"/>
      <c r="AE174" s="26"/>
      <c r="AF174" s="26"/>
      <c r="AG174" s="27"/>
    </row>
    <row r="175" spans="1:33" x14ac:dyDescent="0.25">
      <c r="A175" s="26" t="s">
        <v>406</v>
      </c>
      <c r="B175" s="70" t="s">
        <v>205</v>
      </c>
      <c r="C175" s="70" t="s">
        <v>205</v>
      </c>
      <c r="D175" s="70" t="str">
        <f t="shared" si="0"/>
        <v>20</v>
      </c>
      <c r="E175" s="70">
        <v>1.25</v>
      </c>
      <c r="F175" s="78">
        <v>7.5999999999999998E-2</v>
      </c>
      <c r="G175" s="78">
        <v>0.89700000000000002</v>
      </c>
      <c r="H175" s="70">
        <v>0.70399999999999996</v>
      </c>
      <c r="I175" s="77">
        <v>0.51300000000000001</v>
      </c>
      <c r="J175" s="77">
        <v>0.51300000000000001</v>
      </c>
      <c r="K175" s="77">
        <v>0.51300000000000001</v>
      </c>
      <c r="L175" s="77">
        <v>0.51300000000000001</v>
      </c>
      <c r="M175" s="70">
        <v>0.75600000000000001</v>
      </c>
      <c r="N175" s="70">
        <v>0.75600000000000001</v>
      </c>
      <c r="O175" s="77">
        <v>0.621</v>
      </c>
      <c r="P175" s="77">
        <v>0.621</v>
      </c>
      <c r="Q175" s="77">
        <v>0.81</v>
      </c>
      <c r="R175" s="77">
        <v>0.871</v>
      </c>
      <c r="S175" s="29"/>
      <c r="T175" s="26"/>
      <c r="U175" s="26"/>
      <c r="V175" s="26"/>
      <c r="W175" s="26"/>
      <c r="X175" s="26"/>
      <c r="Y175" s="26"/>
      <c r="Z175" s="26"/>
      <c r="AA175" s="26"/>
      <c r="AB175" s="28"/>
      <c r="AC175" s="26"/>
      <c r="AD175" s="26"/>
      <c r="AE175" s="26"/>
      <c r="AF175" s="26"/>
      <c r="AG175" s="27"/>
    </row>
    <row r="176" spans="1:33" x14ac:dyDescent="0.25">
      <c r="A176" s="26" t="s">
        <v>407</v>
      </c>
      <c r="B176" s="70" t="s">
        <v>205</v>
      </c>
      <c r="C176" s="70" t="s">
        <v>205</v>
      </c>
      <c r="D176" s="70" t="str">
        <f t="shared" si="0"/>
        <v>20</v>
      </c>
      <c r="E176" s="70">
        <v>1.6</v>
      </c>
      <c r="F176" s="78">
        <v>7.4999999999999997E-2</v>
      </c>
      <c r="G176" s="78">
        <v>1.1120000000000001</v>
      </c>
      <c r="H176" s="70">
        <v>0.873</v>
      </c>
      <c r="I176" s="77">
        <v>0.60699999999999998</v>
      </c>
      <c r="J176" s="77">
        <v>0.60699999999999998</v>
      </c>
      <c r="K176" s="77">
        <v>0.60699999999999998</v>
      </c>
      <c r="L176" s="77">
        <v>0.60699999999999998</v>
      </c>
      <c r="M176" s="70">
        <v>0.73899999999999999</v>
      </c>
      <c r="N176" s="70">
        <v>0.73899999999999999</v>
      </c>
      <c r="O176" s="77">
        <v>0.752</v>
      </c>
      <c r="P176" s="77">
        <v>0.752</v>
      </c>
      <c r="Q176" s="77">
        <v>0.96799999999999997</v>
      </c>
      <c r="R176" s="77">
        <v>1.0680000000000001</v>
      </c>
      <c r="S176" s="29"/>
      <c r="T176" s="26"/>
      <c r="U176" s="26"/>
      <c r="V176" s="26"/>
      <c r="W176" s="26"/>
      <c r="X176" s="26"/>
      <c r="Y176" s="26"/>
      <c r="Z176" s="26"/>
      <c r="AA176" s="26"/>
      <c r="AB176" s="28"/>
      <c r="AC176" s="26"/>
      <c r="AD176" s="26"/>
      <c r="AE176" s="26"/>
      <c r="AF176" s="26"/>
      <c r="AG176" s="27"/>
    </row>
    <row r="177" spans="1:33" x14ac:dyDescent="0.25">
      <c r="A177" s="26" t="s">
        <v>408</v>
      </c>
      <c r="B177" s="70" t="s">
        <v>205</v>
      </c>
      <c r="C177" s="70" t="s">
        <v>205</v>
      </c>
      <c r="D177" s="70" t="str">
        <f t="shared" si="0"/>
        <v>25</v>
      </c>
      <c r="E177" s="70">
        <v>0.9</v>
      </c>
      <c r="F177" s="78">
        <v>9.7000000000000003E-2</v>
      </c>
      <c r="G177" s="78">
        <v>0.84699999999999998</v>
      </c>
      <c r="H177" s="70">
        <v>0.66500000000000004</v>
      </c>
      <c r="I177" s="77">
        <v>0.80900000000000005</v>
      </c>
      <c r="J177" s="77">
        <v>0.80900000000000005</v>
      </c>
      <c r="K177" s="77">
        <v>0.64700000000000002</v>
      </c>
      <c r="L177" s="77">
        <v>0.64700000000000002</v>
      </c>
      <c r="M177" s="70">
        <v>0.97699999999999998</v>
      </c>
      <c r="N177" s="70">
        <v>0.97699999999999998</v>
      </c>
      <c r="O177" s="77">
        <v>0.75900000000000001</v>
      </c>
      <c r="P177" s="77">
        <v>0.75900000000000001</v>
      </c>
      <c r="Q177" s="77">
        <v>1.2529999999999999</v>
      </c>
      <c r="R177" s="77">
        <v>1.0429999999999999</v>
      </c>
      <c r="S177" s="29"/>
      <c r="T177" s="26"/>
      <c r="U177" s="26"/>
      <c r="V177" s="26"/>
      <c r="W177" s="26"/>
      <c r="X177" s="26"/>
      <c r="Y177" s="26"/>
      <c r="Z177" s="26"/>
      <c r="AA177" s="26"/>
      <c r="AB177" s="28"/>
      <c r="AC177" s="26"/>
      <c r="AD177" s="26"/>
      <c r="AE177" s="26"/>
      <c r="AF177" s="26"/>
      <c r="AG177" s="27"/>
    </row>
    <row r="178" spans="1:33" x14ac:dyDescent="0.25">
      <c r="A178" s="26" t="s">
        <v>409</v>
      </c>
      <c r="B178" s="70" t="s">
        <v>205</v>
      </c>
      <c r="C178" s="70" t="s">
        <v>205</v>
      </c>
      <c r="D178" s="70" t="str">
        <f t="shared" si="0"/>
        <v>25</v>
      </c>
      <c r="E178" s="70">
        <v>1.25</v>
      </c>
      <c r="F178" s="78">
        <v>9.6000000000000002E-2</v>
      </c>
      <c r="G178" s="78">
        <v>1.147</v>
      </c>
      <c r="H178" s="70">
        <v>0.90100000000000002</v>
      </c>
      <c r="I178" s="77">
        <v>1.0580000000000001</v>
      </c>
      <c r="J178" s="77">
        <v>1.0580000000000001</v>
      </c>
      <c r="K178" s="77">
        <v>0.84699999999999998</v>
      </c>
      <c r="L178" s="77">
        <v>0.84699999999999998</v>
      </c>
      <c r="M178" s="70">
        <v>0.96</v>
      </c>
      <c r="N178" s="70">
        <v>0.96</v>
      </c>
      <c r="O178" s="77">
        <v>1.01</v>
      </c>
      <c r="P178" s="77">
        <v>1.01</v>
      </c>
      <c r="Q178" s="77">
        <v>1.657</v>
      </c>
      <c r="R178" s="77">
        <v>1.403</v>
      </c>
      <c r="S178" s="29"/>
      <c r="T178" s="26"/>
      <c r="U178" s="26"/>
      <c r="V178" s="26"/>
      <c r="W178" s="26"/>
      <c r="X178" s="26"/>
      <c r="Y178" s="26"/>
      <c r="Z178" s="26"/>
      <c r="AA178" s="26"/>
      <c r="AB178" s="28"/>
      <c r="AC178" s="26"/>
      <c r="AD178" s="26"/>
      <c r="AE178" s="26"/>
      <c r="AF178" s="26"/>
      <c r="AG178" s="27"/>
    </row>
    <row r="179" spans="1:33" x14ac:dyDescent="0.25">
      <c r="A179" s="26" t="s">
        <v>410</v>
      </c>
      <c r="B179" s="70" t="s">
        <v>205</v>
      </c>
      <c r="C179" s="70" t="s">
        <v>205</v>
      </c>
      <c r="D179" s="70" t="str">
        <f t="shared" si="0"/>
        <v>25</v>
      </c>
      <c r="E179" s="70">
        <v>1.6</v>
      </c>
      <c r="F179" s="78">
        <v>9.5000000000000001E-2</v>
      </c>
      <c r="G179" s="78">
        <v>1.4319999999999999</v>
      </c>
      <c r="H179" s="70">
        <v>1.1240000000000001</v>
      </c>
      <c r="I179" s="77">
        <v>1.274</v>
      </c>
      <c r="J179" s="77">
        <v>1.274</v>
      </c>
      <c r="K179" s="77">
        <v>1.0189999999999999</v>
      </c>
      <c r="L179" s="77">
        <v>1.0189999999999999</v>
      </c>
      <c r="M179" s="70">
        <v>0.94299999999999995</v>
      </c>
      <c r="N179" s="70">
        <v>0.94299999999999995</v>
      </c>
      <c r="O179" s="77">
        <v>1.2370000000000001</v>
      </c>
      <c r="P179" s="77">
        <v>1.2370000000000001</v>
      </c>
      <c r="Q179" s="77">
        <v>2.0129999999999999</v>
      </c>
      <c r="R179" s="77">
        <v>1.736</v>
      </c>
      <c r="S179" s="29"/>
      <c r="T179" s="26"/>
      <c r="U179" s="26"/>
      <c r="V179" s="26"/>
      <c r="W179" s="26"/>
      <c r="X179" s="26"/>
      <c r="Y179" s="26"/>
      <c r="Z179" s="26"/>
      <c r="AA179" s="26"/>
      <c r="AB179" s="28"/>
      <c r="AC179" s="26"/>
      <c r="AD179" s="26"/>
      <c r="AE179" s="26"/>
      <c r="AF179" s="26"/>
      <c r="AG179" s="27"/>
    </row>
    <row r="180" spans="1:33" x14ac:dyDescent="0.25">
      <c r="A180" s="26" t="s">
        <v>411</v>
      </c>
      <c r="B180" s="70" t="s">
        <v>205</v>
      </c>
      <c r="C180" s="70" t="s">
        <v>205</v>
      </c>
      <c r="D180" s="70" t="str">
        <f t="shared" si="0"/>
        <v>25</v>
      </c>
      <c r="E180" s="70">
        <v>2</v>
      </c>
      <c r="F180" s="78">
        <v>9.2999999999999999E-2</v>
      </c>
      <c r="G180" s="78">
        <v>1.7370000000000001</v>
      </c>
      <c r="H180" s="70">
        <v>1.3640000000000001</v>
      </c>
      <c r="I180" s="77">
        <v>1.4830000000000001</v>
      </c>
      <c r="J180" s="77">
        <v>1.4830000000000001</v>
      </c>
      <c r="K180" s="77">
        <v>1.1859999999999999</v>
      </c>
      <c r="L180" s="77">
        <v>1.1859999999999999</v>
      </c>
      <c r="M180" s="70">
        <v>0.92400000000000004</v>
      </c>
      <c r="N180" s="70">
        <v>0.92400000000000004</v>
      </c>
      <c r="O180" s="77">
        <v>1.468</v>
      </c>
      <c r="P180" s="77">
        <v>1.468</v>
      </c>
      <c r="Q180" s="77">
        <v>2.363</v>
      </c>
      <c r="R180" s="77">
        <v>2.085</v>
      </c>
      <c r="S180" s="29"/>
      <c r="T180" s="26"/>
      <c r="U180" s="26"/>
      <c r="V180" s="26"/>
      <c r="W180" s="26"/>
      <c r="X180" s="26"/>
      <c r="Y180" s="26"/>
      <c r="Z180" s="26"/>
      <c r="AA180" s="26"/>
      <c r="AB180" s="28"/>
      <c r="AC180" s="26"/>
      <c r="AD180" s="26"/>
      <c r="AE180" s="26"/>
      <c r="AF180" s="26"/>
      <c r="AG180" s="27"/>
    </row>
    <row r="181" spans="1:33" x14ac:dyDescent="0.25">
      <c r="A181" s="26" t="s">
        <v>412</v>
      </c>
      <c r="B181" s="70" t="s">
        <v>205</v>
      </c>
      <c r="C181" s="70" t="s">
        <v>205</v>
      </c>
      <c r="D181" s="70" t="str">
        <f t="shared" si="0"/>
        <v>30</v>
      </c>
      <c r="E181" s="70">
        <v>0.9</v>
      </c>
      <c r="F181" s="78">
        <v>0.11700000000000001</v>
      </c>
      <c r="G181" s="78">
        <v>1.0269999999999999</v>
      </c>
      <c r="H181" s="70">
        <v>0.80600000000000005</v>
      </c>
      <c r="I181" s="77">
        <v>1.4330000000000001</v>
      </c>
      <c r="J181" s="77">
        <v>1.4330000000000001</v>
      </c>
      <c r="K181" s="77">
        <v>0.95599999999999996</v>
      </c>
      <c r="L181" s="77">
        <v>0.95599999999999996</v>
      </c>
      <c r="M181" s="70">
        <v>1.181</v>
      </c>
      <c r="N181" s="70">
        <v>1.181</v>
      </c>
      <c r="O181" s="77">
        <v>1.113</v>
      </c>
      <c r="P181" s="77">
        <v>1.113</v>
      </c>
      <c r="Q181" s="77">
        <v>2.21</v>
      </c>
      <c r="R181" s="77">
        <v>1.5209999999999999</v>
      </c>
      <c r="S181" s="29"/>
      <c r="T181" s="26"/>
      <c r="U181" s="26"/>
      <c r="V181" s="26"/>
      <c r="W181" s="26"/>
      <c r="X181" s="26"/>
      <c r="Y181" s="26"/>
      <c r="Z181" s="26"/>
      <c r="AA181" s="26"/>
      <c r="AB181" s="28"/>
      <c r="AC181" s="26"/>
      <c r="AD181" s="26"/>
      <c r="AE181" s="26"/>
      <c r="AF181" s="26"/>
      <c r="AG181" s="27"/>
    </row>
    <row r="182" spans="1:33" x14ac:dyDescent="0.25">
      <c r="A182" s="26" t="s">
        <v>413</v>
      </c>
      <c r="B182" s="70" t="s">
        <v>205</v>
      </c>
      <c r="C182" s="70" t="s">
        <v>205</v>
      </c>
      <c r="D182" s="70" t="str">
        <f t="shared" si="0"/>
        <v>30</v>
      </c>
      <c r="E182" s="70">
        <v>1.25</v>
      </c>
      <c r="F182" s="78">
        <v>0.11600000000000001</v>
      </c>
      <c r="G182" s="78">
        <v>1.397</v>
      </c>
      <c r="H182" s="70">
        <v>1.097</v>
      </c>
      <c r="I182" s="77">
        <v>1.895</v>
      </c>
      <c r="J182" s="77">
        <v>1.895</v>
      </c>
      <c r="K182" s="77">
        <v>1.2629999999999999</v>
      </c>
      <c r="L182" s="77">
        <v>1.2629999999999999</v>
      </c>
      <c r="M182" s="70">
        <v>1.165</v>
      </c>
      <c r="N182" s="70">
        <v>1.165</v>
      </c>
      <c r="O182" s="77">
        <v>1.492</v>
      </c>
      <c r="P182" s="77">
        <v>1.492</v>
      </c>
      <c r="Q182" s="77">
        <v>2.9489999999999998</v>
      </c>
      <c r="R182" s="77">
        <v>2.0590000000000002</v>
      </c>
      <c r="S182" s="29"/>
      <c r="T182" s="26"/>
      <c r="U182" s="26"/>
      <c r="V182" s="26"/>
      <c r="W182" s="26"/>
      <c r="X182" s="26"/>
      <c r="Y182" s="26"/>
      <c r="Z182" s="26"/>
      <c r="AA182" s="26"/>
      <c r="AB182" s="28"/>
      <c r="AC182" s="26"/>
      <c r="AD182" s="26"/>
      <c r="AE182" s="26"/>
      <c r="AF182" s="26"/>
      <c r="AG182" s="27"/>
    </row>
    <row r="183" spans="1:33" x14ac:dyDescent="0.25">
      <c r="A183" s="26" t="s">
        <v>414</v>
      </c>
      <c r="B183" s="70" t="s">
        <v>205</v>
      </c>
      <c r="C183" s="70" t="s">
        <v>205</v>
      </c>
      <c r="D183" s="70" t="str">
        <f t="shared" si="0"/>
        <v>30</v>
      </c>
      <c r="E183" s="70">
        <v>1.6</v>
      </c>
      <c r="F183" s="78">
        <v>0.115</v>
      </c>
      <c r="G183" s="78">
        <v>1.752</v>
      </c>
      <c r="H183" s="70">
        <v>1.375</v>
      </c>
      <c r="I183" s="77">
        <v>2.3069999999999999</v>
      </c>
      <c r="J183" s="77">
        <v>2.3069999999999999</v>
      </c>
      <c r="K183" s="77">
        <v>1.538</v>
      </c>
      <c r="L183" s="77">
        <v>1.538</v>
      </c>
      <c r="M183" s="70">
        <v>1.1479999999999999</v>
      </c>
      <c r="N183" s="70">
        <v>1.1479999999999999</v>
      </c>
      <c r="O183" s="77">
        <v>1.8420000000000001</v>
      </c>
      <c r="P183" s="77">
        <v>1.8420000000000001</v>
      </c>
      <c r="Q183" s="77">
        <v>3.62</v>
      </c>
      <c r="R183" s="77">
        <v>2.5649999999999999</v>
      </c>
      <c r="S183" s="29"/>
      <c r="T183" s="26"/>
      <c r="U183" s="26"/>
      <c r="V183" s="26"/>
      <c r="W183" s="26"/>
      <c r="X183" s="26"/>
      <c r="Y183" s="26"/>
      <c r="Z183" s="26"/>
      <c r="AA183" s="26"/>
      <c r="AB183" s="28"/>
      <c r="AC183" s="26"/>
      <c r="AD183" s="26"/>
      <c r="AE183" s="26"/>
      <c r="AF183" s="26"/>
      <c r="AG183" s="27"/>
    </row>
    <row r="184" spans="1:33" x14ac:dyDescent="0.25">
      <c r="A184" s="26" t="s">
        <v>415</v>
      </c>
      <c r="B184" s="70" t="s">
        <v>205</v>
      </c>
      <c r="C184" s="70" t="s">
        <v>205</v>
      </c>
      <c r="D184" s="70" t="str">
        <f t="shared" si="0"/>
        <v>30</v>
      </c>
      <c r="E184" s="72">
        <v>2</v>
      </c>
      <c r="F184" s="78">
        <v>0.113</v>
      </c>
      <c r="G184" s="78">
        <v>2.137</v>
      </c>
      <c r="H184" s="70">
        <v>1.6779999999999999</v>
      </c>
      <c r="I184" s="77">
        <v>2.72</v>
      </c>
      <c r="J184" s="77">
        <v>2.72</v>
      </c>
      <c r="K184" s="77">
        <v>1.8129999999999999</v>
      </c>
      <c r="L184" s="77">
        <v>1.8129999999999999</v>
      </c>
      <c r="M184" s="70">
        <v>1.1279999999999999</v>
      </c>
      <c r="N184" s="70">
        <v>1.1279999999999999</v>
      </c>
      <c r="O184" s="77">
        <v>2.2080000000000002</v>
      </c>
      <c r="P184" s="77">
        <v>2.2080000000000002</v>
      </c>
      <c r="Q184" s="77">
        <v>4.3040000000000003</v>
      </c>
      <c r="R184" s="77">
        <v>3.105</v>
      </c>
      <c r="S184" s="29"/>
      <c r="T184" s="26"/>
      <c r="U184" s="26"/>
      <c r="V184" s="26"/>
      <c r="W184" s="26"/>
      <c r="X184" s="26"/>
      <c r="Y184" s="26"/>
      <c r="Z184" s="26"/>
      <c r="AA184" s="26"/>
      <c r="AB184" s="28"/>
      <c r="AC184" s="26"/>
      <c r="AD184" s="26"/>
      <c r="AE184" s="26"/>
      <c r="AF184" s="26"/>
      <c r="AG184" s="27"/>
    </row>
    <row r="185" spans="1:33" x14ac:dyDescent="0.25">
      <c r="A185" s="26" t="s">
        <v>416</v>
      </c>
      <c r="B185" s="70" t="s">
        <v>205</v>
      </c>
      <c r="C185" s="70" t="s">
        <v>205</v>
      </c>
      <c r="D185" s="70" t="str">
        <f t="shared" si="0"/>
        <v>40</v>
      </c>
      <c r="E185" s="70">
        <v>1.25</v>
      </c>
      <c r="F185" s="78">
        <v>0.156</v>
      </c>
      <c r="G185" s="78">
        <v>1.897</v>
      </c>
      <c r="H185" s="70">
        <v>1.4890000000000001</v>
      </c>
      <c r="I185" s="77">
        <v>4.694</v>
      </c>
      <c r="J185" s="77">
        <v>4.694</v>
      </c>
      <c r="K185" s="77">
        <v>2.347</v>
      </c>
      <c r="L185" s="77">
        <v>2.347</v>
      </c>
      <c r="M185" s="70">
        <v>1.573</v>
      </c>
      <c r="N185" s="70">
        <v>1.573</v>
      </c>
      <c r="O185" s="77">
        <v>2.7370000000000001</v>
      </c>
      <c r="P185" s="77">
        <v>2.7370000000000001</v>
      </c>
      <c r="Q185" s="77">
        <v>7.2439999999999998</v>
      </c>
      <c r="R185" s="77">
        <v>3.746</v>
      </c>
      <c r="S185" s="29"/>
      <c r="T185" s="26"/>
      <c r="U185" s="26"/>
      <c r="V185" s="26"/>
      <c r="W185" s="26"/>
      <c r="X185" s="26"/>
      <c r="Y185" s="26"/>
      <c r="Z185" s="26"/>
      <c r="AA185" s="26"/>
      <c r="AB185" s="28"/>
      <c r="AC185" s="26"/>
      <c r="AD185" s="26"/>
      <c r="AE185" s="26"/>
      <c r="AF185" s="26"/>
      <c r="AG185" s="27"/>
    </row>
    <row r="186" spans="1:33" x14ac:dyDescent="0.25">
      <c r="A186" s="26" t="s">
        <v>417</v>
      </c>
      <c r="B186" s="70" t="s">
        <v>205</v>
      </c>
      <c r="C186" s="70" t="s">
        <v>205</v>
      </c>
      <c r="D186" s="70" t="str">
        <f t="shared" si="0"/>
        <v>40</v>
      </c>
      <c r="E186" s="70">
        <v>1.6</v>
      </c>
      <c r="F186" s="78">
        <v>0.155</v>
      </c>
      <c r="G186" s="78">
        <v>2.3919999999999999</v>
      </c>
      <c r="H186" s="70">
        <v>1.877</v>
      </c>
      <c r="I186" s="77">
        <v>5.7910000000000004</v>
      </c>
      <c r="J186" s="77">
        <v>5.7910000000000004</v>
      </c>
      <c r="K186" s="77">
        <v>2.895</v>
      </c>
      <c r="L186" s="77">
        <v>2.895</v>
      </c>
      <c r="M186" s="70">
        <v>1.556</v>
      </c>
      <c r="N186" s="70">
        <v>1.556</v>
      </c>
      <c r="O186" s="77">
        <v>3.4119999999999999</v>
      </c>
      <c r="P186" s="77">
        <v>3.4119999999999999</v>
      </c>
      <c r="Q186" s="77">
        <v>8.9990000000000006</v>
      </c>
      <c r="R186" s="77">
        <v>4.7030000000000003</v>
      </c>
      <c r="S186" s="29"/>
      <c r="T186" s="26"/>
      <c r="U186" s="26"/>
      <c r="V186" s="26"/>
      <c r="W186" s="26"/>
      <c r="X186" s="26"/>
      <c r="Y186" s="26"/>
      <c r="Z186" s="26"/>
      <c r="AA186" s="26"/>
      <c r="AB186" s="28"/>
      <c r="AC186" s="26"/>
      <c r="AD186" s="26"/>
      <c r="AE186" s="26"/>
      <c r="AF186" s="26"/>
      <c r="AG186" s="27"/>
    </row>
    <row r="187" spans="1:33" x14ac:dyDescent="0.25">
      <c r="A187" s="26" t="s">
        <v>418</v>
      </c>
      <c r="B187" s="70" t="s">
        <v>205</v>
      </c>
      <c r="C187" s="70" t="s">
        <v>205</v>
      </c>
      <c r="D187" s="70" t="str">
        <f t="shared" si="0"/>
        <v>40</v>
      </c>
      <c r="E187" s="70">
        <v>2</v>
      </c>
      <c r="F187" s="78">
        <v>0.153</v>
      </c>
      <c r="G187" s="78">
        <v>2.9369999999999998</v>
      </c>
      <c r="H187" s="70">
        <v>2.306</v>
      </c>
      <c r="I187" s="77">
        <v>6.9349999999999996</v>
      </c>
      <c r="J187" s="77">
        <v>6.9349999999999996</v>
      </c>
      <c r="K187" s="77">
        <v>3.468</v>
      </c>
      <c r="L187" s="77">
        <v>3.468</v>
      </c>
      <c r="M187" s="70">
        <v>1.5369999999999999</v>
      </c>
      <c r="N187" s="70">
        <v>1.5369999999999999</v>
      </c>
      <c r="O187" s="77">
        <v>4.1360000000000001</v>
      </c>
      <c r="P187" s="77">
        <v>4.1360000000000001</v>
      </c>
      <c r="Q187" s="77">
        <v>10.856999999999999</v>
      </c>
      <c r="R187" s="77">
        <v>5.7450000000000001</v>
      </c>
      <c r="S187" s="29"/>
      <c r="T187" s="26"/>
      <c r="U187" s="26"/>
      <c r="V187" s="26"/>
      <c r="W187" s="26"/>
      <c r="X187" s="26"/>
      <c r="Y187" s="26"/>
      <c r="Z187" s="26"/>
      <c r="AA187" s="26"/>
      <c r="AB187" s="28"/>
      <c r="AC187" s="26"/>
      <c r="AD187" s="26"/>
      <c r="AE187" s="26"/>
      <c r="AF187" s="26"/>
      <c r="AG187" s="27"/>
    </row>
    <row r="188" spans="1:33" x14ac:dyDescent="0.25">
      <c r="A188" s="26" t="s">
        <v>419</v>
      </c>
      <c r="B188" s="70" t="s">
        <v>205</v>
      </c>
      <c r="C188" s="70" t="s">
        <v>205</v>
      </c>
      <c r="D188" s="70" t="str">
        <f t="shared" si="0"/>
        <v>40</v>
      </c>
      <c r="E188" s="70">
        <v>2.5</v>
      </c>
      <c r="F188" s="78">
        <v>0.151</v>
      </c>
      <c r="G188" s="78">
        <v>3.589</v>
      </c>
      <c r="H188" s="70">
        <v>2.8170000000000002</v>
      </c>
      <c r="I188" s="77">
        <v>8.2089999999999996</v>
      </c>
      <c r="J188" s="77">
        <v>8.2089999999999996</v>
      </c>
      <c r="K188" s="77">
        <v>4.1040000000000001</v>
      </c>
      <c r="L188" s="77">
        <v>4.1040000000000001</v>
      </c>
      <c r="M188" s="70">
        <v>1.512</v>
      </c>
      <c r="N188" s="70">
        <v>1.512</v>
      </c>
      <c r="O188" s="77">
        <v>4.9710000000000001</v>
      </c>
      <c r="P188" s="77">
        <v>4.9710000000000001</v>
      </c>
      <c r="Q188" s="77">
        <v>12.958</v>
      </c>
      <c r="R188" s="77">
        <v>6.9710000000000001</v>
      </c>
      <c r="S188" s="29"/>
      <c r="T188" s="26"/>
      <c r="U188" s="26"/>
      <c r="V188" s="26"/>
      <c r="W188" s="26"/>
      <c r="X188" s="26"/>
      <c r="Y188" s="26"/>
      <c r="Z188" s="26"/>
      <c r="AA188" s="26"/>
      <c r="AB188" s="28"/>
      <c r="AC188" s="26"/>
      <c r="AD188" s="26"/>
      <c r="AE188" s="26"/>
      <c r="AF188" s="26"/>
      <c r="AG188" s="27"/>
    </row>
    <row r="189" spans="1:33" x14ac:dyDescent="0.25">
      <c r="A189" s="26" t="s">
        <v>420</v>
      </c>
      <c r="B189" s="70" t="s">
        <v>205</v>
      </c>
      <c r="C189" s="70" t="s">
        <v>205</v>
      </c>
      <c r="D189" s="70" t="str">
        <f t="shared" si="0"/>
        <v>50</v>
      </c>
      <c r="E189" s="70">
        <v>1.6</v>
      </c>
      <c r="F189" s="78">
        <v>0.19500000000000001</v>
      </c>
      <c r="G189" s="78">
        <v>3.032</v>
      </c>
      <c r="H189" s="70">
        <v>2.38</v>
      </c>
      <c r="I189" s="77">
        <v>11.698</v>
      </c>
      <c r="J189" s="77">
        <v>11.698</v>
      </c>
      <c r="K189" s="77">
        <v>4.6790000000000003</v>
      </c>
      <c r="L189" s="77">
        <v>4.6790000000000003</v>
      </c>
      <c r="M189" s="70">
        <v>1.964</v>
      </c>
      <c r="N189" s="70">
        <v>1.964</v>
      </c>
      <c r="O189" s="77">
        <v>5.4619999999999997</v>
      </c>
      <c r="P189" s="77">
        <v>5.4619999999999997</v>
      </c>
      <c r="Q189" s="77">
        <v>18.064</v>
      </c>
      <c r="R189" s="77">
        <v>7.48</v>
      </c>
      <c r="S189" s="29"/>
      <c r="T189" s="26"/>
      <c r="U189" s="26"/>
      <c r="V189" s="26"/>
      <c r="W189" s="26"/>
      <c r="X189" s="26"/>
      <c r="Y189" s="26"/>
      <c r="Z189" s="26"/>
      <c r="AA189" s="26"/>
      <c r="AB189" s="28"/>
      <c r="AC189" s="26"/>
      <c r="AD189" s="26"/>
      <c r="AE189" s="26"/>
      <c r="AF189" s="26"/>
      <c r="AG189" s="27"/>
    </row>
    <row r="190" spans="1:33" x14ac:dyDescent="0.25">
      <c r="A190" s="26" t="s">
        <v>421</v>
      </c>
      <c r="B190" s="70" t="s">
        <v>205</v>
      </c>
      <c r="C190" s="70" t="s">
        <v>205</v>
      </c>
      <c r="D190" s="70" t="str">
        <f t="shared" si="0"/>
        <v>50</v>
      </c>
      <c r="E190" s="70">
        <v>2</v>
      </c>
      <c r="F190" s="78">
        <v>0.193</v>
      </c>
      <c r="G190" s="78">
        <v>3.7370000000000001</v>
      </c>
      <c r="H190" s="70">
        <v>2.9340000000000002</v>
      </c>
      <c r="I190" s="77">
        <v>14.137</v>
      </c>
      <c r="J190" s="77">
        <v>14.137</v>
      </c>
      <c r="K190" s="77">
        <v>5.6550000000000002</v>
      </c>
      <c r="L190" s="77">
        <v>5.6550000000000002</v>
      </c>
      <c r="M190" s="70">
        <v>1.9450000000000001</v>
      </c>
      <c r="N190" s="70">
        <v>1.9450000000000001</v>
      </c>
      <c r="O190" s="77">
        <v>6.6639999999999997</v>
      </c>
      <c r="P190" s="77">
        <v>6.6639999999999997</v>
      </c>
      <c r="Q190" s="77">
        <v>21.97</v>
      </c>
      <c r="R190" s="77">
        <v>9.1850000000000005</v>
      </c>
      <c r="S190" s="29"/>
      <c r="T190" s="26"/>
      <c r="U190" s="26"/>
      <c r="V190" s="26"/>
      <c r="W190" s="26"/>
      <c r="X190" s="26"/>
      <c r="Y190" s="26"/>
      <c r="Z190" s="26"/>
      <c r="AA190" s="26"/>
      <c r="AB190" s="28"/>
      <c r="AC190" s="26"/>
      <c r="AD190" s="26"/>
      <c r="AE190" s="26"/>
      <c r="AF190" s="26"/>
      <c r="AG190" s="27"/>
    </row>
    <row r="191" spans="1:33" x14ac:dyDescent="0.25">
      <c r="A191" s="26" t="s">
        <v>422</v>
      </c>
      <c r="B191" s="70" t="s">
        <v>205</v>
      </c>
      <c r="C191" s="70" t="s">
        <v>205</v>
      </c>
      <c r="D191" s="70" t="str">
        <f t="shared" si="0"/>
        <v>50</v>
      </c>
      <c r="E191" s="70">
        <v>2.5</v>
      </c>
      <c r="F191" s="78">
        <v>0.191</v>
      </c>
      <c r="G191" s="78">
        <v>4.5890000000000004</v>
      </c>
      <c r="H191" s="70">
        <v>3.6019999999999999</v>
      </c>
      <c r="I191" s="77">
        <v>16.931000000000001</v>
      </c>
      <c r="J191" s="77">
        <v>16.931000000000001</v>
      </c>
      <c r="K191" s="77">
        <v>6.7729999999999997</v>
      </c>
      <c r="L191" s="77">
        <v>6.7729999999999997</v>
      </c>
      <c r="M191" s="70">
        <v>1.921</v>
      </c>
      <c r="N191" s="70">
        <v>1.921</v>
      </c>
      <c r="O191" s="77">
        <v>8.0779999999999994</v>
      </c>
      <c r="P191" s="77">
        <v>8.0779999999999994</v>
      </c>
      <c r="Q191" s="77">
        <v>26.507000000000001</v>
      </c>
      <c r="R191" s="77">
        <v>11.221</v>
      </c>
      <c r="S191" s="29"/>
      <c r="T191" s="26"/>
      <c r="U191" s="26"/>
      <c r="V191" s="26"/>
      <c r="W191" s="26"/>
      <c r="X191" s="26"/>
      <c r="Y191" s="26"/>
      <c r="Z191" s="26"/>
      <c r="AA191" s="26"/>
      <c r="AB191" s="28"/>
      <c r="AC191" s="26"/>
      <c r="AD191" s="26"/>
      <c r="AE191" s="26"/>
      <c r="AF191" s="26"/>
      <c r="AG191" s="27"/>
    </row>
    <row r="192" spans="1:33" x14ac:dyDescent="0.25">
      <c r="A192" s="26" t="s">
        <v>423</v>
      </c>
      <c r="B192" s="70" t="s">
        <v>205</v>
      </c>
      <c r="C192" s="70" t="s">
        <v>205</v>
      </c>
      <c r="D192" s="70" t="str">
        <f t="shared" si="0"/>
        <v>50</v>
      </c>
      <c r="E192" s="70">
        <v>3.2</v>
      </c>
      <c r="F192" s="78">
        <v>0.189</v>
      </c>
      <c r="G192" s="78">
        <v>5.7270000000000003</v>
      </c>
      <c r="H192" s="70">
        <v>4.4950000000000001</v>
      </c>
      <c r="I192" s="77">
        <v>20.387</v>
      </c>
      <c r="J192" s="77">
        <v>20.387</v>
      </c>
      <c r="K192" s="77">
        <v>8.1549999999999994</v>
      </c>
      <c r="L192" s="77">
        <v>8.1549999999999994</v>
      </c>
      <c r="M192" s="70">
        <v>1.887</v>
      </c>
      <c r="N192" s="70">
        <v>1.887</v>
      </c>
      <c r="O192" s="77">
        <v>9.8949999999999996</v>
      </c>
      <c r="P192" s="77">
        <v>9.8949999999999996</v>
      </c>
      <c r="Q192" s="77">
        <v>32.210999999999999</v>
      </c>
      <c r="R192" s="77">
        <v>13.891</v>
      </c>
      <c r="S192" s="29"/>
      <c r="T192" s="26"/>
      <c r="U192" s="26"/>
      <c r="V192" s="26"/>
      <c r="W192" s="26"/>
      <c r="X192" s="26"/>
      <c r="Y192" s="26"/>
      <c r="Z192" s="26"/>
      <c r="AA192" s="26"/>
      <c r="AB192" s="28"/>
      <c r="AC192" s="26"/>
      <c r="AD192" s="26"/>
      <c r="AE192" s="26"/>
      <c r="AF192" s="26"/>
      <c r="AG192" s="27"/>
    </row>
    <row r="193" spans="1:33" x14ac:dyDescent="0.25">
      <c r="A193" s="26" t="s">
        <v>424</v>
      </c>
      <c r="B193" s="70" t="s">
        <v>205</v>
      </c>
      <c r="C193" s="70" t="s">
        <v>205</v>
      </c>
      <c r="D193" s="70" t="str">
        <f t="shared" si="0"/>
        <v>60</v>
      </c>
      <c r="E193" s="70">
        <v>1.6</v>
      </c>
      <c r="F193" s="78">
        <v>0.23</v>
      </c>
      <c r="G193" s="78">
        <v>3.67</v>
      </c>
      <c r="H193" s="70">
        <v>2.88</v>
      </c>
      <c r="I193" s="77">
        <v>20.67</v>
      </c>
      <c r="J193" s="77">
        <v>20.67</v>
      </c>
      <c r="K193" s="77">
        <v>6.89</v>
      </c>
      <c r="L193" s="77">
        <v>6.89</v>
      </c>
      <c r="M193" s="70">
        <v>2.37</v>
      </c>
      <c r="N193" s="70">
        <v>2.37</v>
      </c>
      <c r="O193" s="77">
        <v>7.99</v>
      </c>
      <c r="P193" s="77">
        <v>7.99</v>
      </c>
      <c r="Q193" s="77">
        <v>31.78</v>
      </c>
      <c r="R193" s="77">
        <v>10.9</v>
      </c>
      <c r="S193" s="29"/>
      <c r="T193" s="26"/>
      <c r="U193" s="26"/>
      <c r="V193" s="26"/>
      <c r="W193" s="26"/>
      <c r="X193" s="26"/>
      <c r="Y193" s="26"/>
      <c r="Z193" s="26"/>
      <c r="AA193" s="26"/>
      <c r="AB193" s="28"/>
      <c r="AC193" s="26"/>
      <c r="AD193" s="26"/>
      <c r="AE193" s="26"/>
      <c r="AF193" s="26"/>
      <c r="AG193" s="27"/>
    </row>
    <row r="194" spans="1:33" x14ac:dyDescent="0.25">
      <c r="A194" s="26" t="s">
        <v>425</v>
      </c>
      <c r="B194" s="70" t="s">
        <v>205</v>
      </c>
      <c r="C194" s="70" t="s">
        <v>205</v>
      </c>
      <c r="D194" s="70" t="str">
        <f t="shared" si="0"/>
        <v>60</v>
      </c>
      <c r="E194" s="70">
        <v>2</v>
      </c>
      <c r="F194" s="78">
        <v>0.23</v>
      </c>
      <c r="G194" s="78">
        <v>4.54</v>
      </c>
      <c r="H194" s="70">
        <v>3.56</v>
      </c>
      <c r="I194" s="77">
        <v>25.13</v>
      </c>
      <c r="J194" s="77">
        <v>25.13</v>
      </c>
      <c r="K194" s="77">
        <v>8.3800000000000008</v>
      </c>
      <c r="L194" s="77">
        <v>8.3800000000000008</v>
      </c>
      <c r="M194" s="70">
        <v>2.35</v>
      </c>
      <c r="N194" s="70">
        <v>2.35</v>
      </c>
      <c r="O194" s="77">
        <v>9.7899999999999991</v>
      </c>
      <c r="P194" s="77">
        <v>9.7899999999999991</v>
      </c>
      <c r="Q194" s="77">
        <v>38.840000000000003</v>
      </c>
      <c r="R194" s="77">
        <v>13.43</v>
      </c>
      <c r="S194" s="29"/>
      <c r="T194" s="26"/>
      <c r="U194" s="26"/>
      <c r="V194" s="26"/>
      <c r="W194" s="26"/>
      <c r="X194" s="26"/>
      <c r="Y194" s="26"/>
      <c r="Z194" s="26"/>
      <c r="AA194" s="26"/>
      <c r="AB194" s="28"/>
      <c r="AC194" s="26"/>
      <c r="AD194" s="26"/>
      <c r="AE194" s="26"/>
      <c r="AF194" s="26"/>
      <c r="AG194" s="27"/>
    </row>
    <row r="195" spans="1:33" x14ac:dyDescent="0.25">
      <c r="A195" s="26" t="s">
        <v>426</v>
      </c>
      <c r="B195" s="70" t="s">
        <v>205</v>
      </c>
      <c r="C195" s="70" t="s">
        <v>205</v>
      </c>
      <c r="D195" s="70" t="str">
        <f t="shared" si="0"/>
        <v>60</v>
      </c>
      <c r="E195" s="70">
        <v>2.5</v>
      </c>
      <c r="F195" s="78">
        <v>0.23</v>
      </c>
      <c r="G195" s="78">
        <v>5.59</v>
      </c>
      <c r="H195" s="70">
        <v>4.3899999999999997</v>
      </c>
      <c r="I195" s="77">
        <v>30.32</v>
      </c>
      <c r="J195" s="77">
        <v>30.32</v>
      </c>
      <c r="K195" s="77">
        <v>10.11</v>
      </c>
      <c r="L195" s="77">
        <v>10.11</v>
      </c>
      <c r="M195" s="70">
        <v>2.33</v>
      </c>
      <c r="N195" s="70">
        <v>2.33</v>
      </c>
      <c r="O195" s="77">
        <v>11.93</v>
      </c>
      <c r="P195" s="77">
        <v>11.93</v>
      </c>
      <c r="Q195" s="77">
        <v>47.18</v>
      </c>
      <c r="R195" s="77">
        <v>16.47</v>
      </c>
      <c r="S195" s="29"/>
      <c r="T195" s="26"/>
      <c r="U195" s="26"/>
      <c r="V195" s="26"/>
      <c r="W195" s="26"/>
      <c r="X195" s="26"/>
      <c r="Y195" s="26"/>
      <c r="Z195" s="26"/>
      <c r="AA195" s="26"/>
      <c r="AB195" s="28"/>
      <c r="AC195" s="26"/>
      <c r="AD195" s="26"/>
      <c r="AE195" s="26"/>
      <c r="AF195" s="26"/>
      <c r="AG195" s="27"/>
    </row>
    <row r="196" spans="1:33" x14ac:dyDescent="0.25">
      <c r="A196" s="26" t="s">
        <v>427</v>
      </c>
      <c r="B196" s="70" t="s">
        <v>205</v>
      </c>
      <c r="C196" s="70" t="s">
        <v>205</v>
      </c>
      <c r="D196" s="70" t="str">
        <f t="shared" si="0"/>
        <v>60</v>
      </c>
      <c r="E196" s="70">
        <v>3.2</v>
      </c>
      <c r="F196" s="78">
        <v>0.23</v>
      </c>
      <c r="G196" s="78">
        <v>7.01</v>
      </c>
      <c r="H196" s="70">
        <v>5.5</v>
      </c>
      <c r="I196" s="77">
        <v>36.909999999999997</v>
      </c>
      <c r="J196" s="77">
        <v>36.909999999999997</v>
      </c>
      <c r="K196" s="77">
        <v>12.3</v>
      </c>
      <c r="L196" s="77">
        <v>12.3</v>
      </c>
      <c r="M196" s="70">
        <v>2.2999999999999998</v>
      </c>
      <c r="N196" s="70">
        <v>2.2999999999999998</v>
      </c>
      <c r="O196" s="77">
        <v>14.74</v>
      </c>
      <c r="P196" s="77">
        <v>14.74</v>
      </c>
      <c r="Q196" s="77">
        <v>57.92</v>
      </c>
      <c r="R196" s="77">
        <v>20.52</v>
      </c>
      <c r="S196" s="29"/>
      <c r="T196" s="26"/>
      <c r="U196" s="26"/>
      <c r="V196" s="26"/>
      <c r="W196" s="26"/>
      <c r="X196" s="26"/>
      <c r="Y196" s="26"/>
      <c r="Z196" s="26"/>
      <c r="AA196" s="26"/>
      <c r="AB196" s="28"/>
      <c r="AC196" s="26"/>
      <c r="AD196" s="26"/>
      <c r="AE196" s="26"/>
      <c r="AF196" s="26"/>
      <c r="AG196" s="27"/>
    </row>
    <row r="197" spans="1:33" x14ac:dyDescent="0.25">
      <c r="A197" s="26" t="s">
        <v>428</v>
      </c>
      <c r="B197" s="70" t="s">
        <v>205</v>
      </c>
      <c r="C197" s="70" t="s">
        <v>205</v>
      </c>
      <c r="D197" s="70" t="str">
        <f t="shared" si="0"/>
        <v>60</v>
      </c>
      <c r="E197" s="70">
        <v>4</v>
      </c>
      <c r="F197" s="78">
        <v>0.23</v>
      </c>
      <c r="G197" s="78">
        <v>8.5500000000000007</v>
      </c>
      <c r="H197" s="70">
        <v>6.71</v>
      </c>
      <c r="I197" s="77">
        <v>43.52</v>
      </c>
      <c r="J197" s="77">
        <v>43.52</v>
      </c>
      <c r="K197" s="77">
        <v>14.51</v>
      </c>
      <c r="L197" s="77">
        <v>14.51</v>
      </c>
      <c r="M197" s="70">
        <v>2.2599999999999998</v>
      </c>
      <c r="N197" s="70">
        <v>2.2599999999999998</v>
      </c>
      <c r="O197" s="77">
        <v>17.66</v>
      </c>
      <c r="P197" s="77">
        <v>17.66</v>
      </c>
      <c r="Q197" s="77">
        <v>68.87</v>
      </c>
      <c r="R197" s="77">
        <v>24.84</v>
      </c>
      <c r="S197" s="29"/>
      <c r="T197" s="26"/>
      <c r="U197" s="26"/>
      <c r="V197" s="26"/>
      <c r="W197" s="26"/>
      <c r="X197" s="26"/>
      <c r="Y197" s="26"/>
      <c r="Z197" s="26"/>
      <c r="AA197" s="26"/>
      <c r="AB197" s="28"/>
      <c r="AC197" s="26"/>
      <c r="AD197" s="26"/>
      <c r="AE197" s="26"/>
      <c r="AF197" s="26"/>
      <c r="AG197" s="27"/>
    </row>
    <row r="198" spans="1:33" x14ac:dyDescent="0.25">
      <c r="A198" s="26" t="s">
        <v>429</v>
      </c>
      <c r="B198" s="70" t="s">
        <v>205</v>
      </c>
      <c r="C198" s="70" t="s">
        <v>205</v>
      </c>
      <c r="D198" s="70" t="str">
        <f t="shared" si="0"/>
        <v>80</v>
      </c>
      <c r="E198" s="70">
        <v>2</v>
      </c>
      <c r="F198" s="78">
        <v>0.31</v>
      </c>
      <c r="G198" s="78">
        <v>6.14</v>
      </c>
      <c r="H198" s="70">
        <v>4.82</v>
      </c>
      <c r="I198" s="77">
        <v>61.67</v>
      </c>
      <c r="J198" s="77">
        <v>61.67</v>
      </c>
      <c r="K198" s="77">
        <v>15.42</v>
      </c>
      <c r="L198" s="77">
        <v>15.42</v>
      </c>
      <c r="M198" s="70">
        <v>3.17</v>
      </c>
      <c r="N198" s="70">
        <v>3.17</v>
      </c>
      <c r="O198" s="77">
        <v>17.850000000000001</v>
      </c>
      <c r="P198" s="77">
        <v>17.850000000000001</v>
      </c>
      <c r="Q198" s="77">
        <v>94.67</v>
      </c>
      <c r="R198" s="77">
        <v>24.31</v>
      </c>
      <c r="S198" s="29"/>
      <c r="T198" s="26"/>
      <c r="U198" s="26"/>
      <c r="V198" s="26"/>
      <c r="W198" s="26"/>
      <c r="X198" s="26"/>
      <c r="Y198" s="26"/>
      <c r="Z198" s="26"/>
      <c r="AA198" s="26"/>
      <c r="AB198" s="28"/>
      <c r="AC198" s="26"/>
      <c r="AD198" s="26"/>
      <c r="AE198" s="26"/>
      <c r="AF198" s="26"/>
      <c r="AG198" s="27"/>
    </row>
    <row r="199" spans="1:33" x14ac:dyDescent="0.25">
      <c r="A199" s="26" t="s">
        <v>430</v>
      </c>
      <c r="B199" s="70" t="s">
        <v>205</v>
      </c>
      <c r="C199" s="70" t="s">
        <v>205</v>
      </c>
      <c r="D199" s="70" t="str">
        <f t="shared" si="0"/>
        <v>80</v>
      </c>
      <c r="E199" s="70">
        <v>2.5</v>
      </c>
      <c r="F199" s="78">
        <v>0.31</v>
      </c>
      <c r="G199" s="78">
        <v>7.59</v>
      </c>
      <c r="H199" s="70">
        <v>5.96</v>
      </c>
      <c r="I199" s="77">
        <v>75.099999999999994</v>
      </c>
      <c r="J199" s="77">
        <v>75.099999999999994</v>
      </c>
      <c r="K199" s="77">
        <v>18.78</v>
      </c>
      <c r="L199" s="77">
        <v>18.78</v>
      </c>
      <c r="M199" s="70">
        <v>3.15</v>
      </c>
      <c r="N199" s="70">
        <v>3.15</v>
      </c>
      <c r="O199" s="77">
        <v>21.9</v>
      </c>
      <c r="P199" s="77">
        <v>21.9</v>
      </c>
      <c r="Q199" s="77">
        <v>115.9</v>
      </c>
      <c r="R199" s="77">
        <v>29.97</v>
      </c>
      <c r="S199" s="29"/>
      <c r="T199" s="26"/>
      <c r="U199" s="26"/>
      <c r="V199" s="26"/>
      <c r="W199" s="26"/>
      <c r="X199" s="26"/>
      <c r="Y199" s="26"/>
      <c r="Z199" s="26"/>
      <c r="AA199" s="26"/>
      <c r="AB199" s="28"/>
      <c r="AC199" s="26"/>
      <c r="AD199" s="26"/>
      <c r="AE199" s="26"/>
      <c r="AF199" s="26"/>
      <c r="AG199" s="27"/>
    </row>
    <row r="200" spans="1:33" x14ac:dyDescent="0.25">
      <c r="A200" s="26" t="s">
        <v>431</v>
      </c>
      <c r="B200" s="70" t="s">
        <v>205</v>
      </c>
      <c r="C200" s="70" t="s">
        <v>205</v>
      </c>
      <c r="D200" s="70" t="str">
        <f t="shared" si="0"/>
        <v>80</v>
      </c>
      <c r="E200" s="70">
        <v>3.2</v>
      </c>
      <c r="F200" s="78">
        <v>0.31</v>
      </c>
      <c r="G200" s="78">
        <v>9.57</v>
      </c>
      <c r="H200" s="70">
        <v>7.51</v>
      </c>
      <c r="I200" s="77">
        <v>92.65</v>
      </c>
      <c r="J200" s="77">
        <v>92.65</v>
      </c>
      <c r="K200" s="77">
        <v>23.16</v>
      </c>
      <c r="L200" s="77">
        <v>23.16</v>
      </c>
      <c r="M200" s="70">
        <v>3.11</v>
      </c>
      <c r="N200" s="70">
        <v>3.11</v>
      </c>
      <c r="O200" s="77">
        <v>27.3</v>
      </c>
      <c r="P200" s="77">
        <v>27.3</v>
      </c>
      <c r="Q200" s="77">
        <v>143.97999999999999</v>
      </c>
      <c r="R200" s="77">
        <v>37.619999999999997</v>
      </c>
      <c r="S200" s="29"/>
      <c r="T200" s="26"/>
      <c r="U200" s="26"/>
      <c r="V200" s="26"/>
      <c r="W200" s="26"/>
      <c r="X200" s="26"/>
      <c r="Y200" s="26"/>
      <c r="Z200" s="26"/>
      <c r="AA200" s="26"/>
      <c r="AB200" s="28"/>
      <c r="AC200" s="26"/>
      <c r="AD200" s="26"/>
      <c r="AE200" s="26"/>
      <c r="AF200" s="26"/>
      <c r="AG200" s="27"/>
    </row>
    <row r="201" spans="1:33" x14ac:dyDescent="0.25">
      <c r="A201" s="26" t="s">
        <v>432</v>
      </c>
      <c r="B201" s="70" t="s">
        <v>205</v>
      </c>
      <c r="C201" s="70" t="s">
        <v>205</v>
      </c>
      <c r="D201" s="70" t="str">
        <f t="shared" si="0"/>
        <v>80</v>
      </c>
      <c r="E201" s="70">
        <v>4</v>
      </c>
      <c r="F201" s="78">
        <v>0.31</v>
      </c>
      <c r="G201" s="78">
        <v>11.75</v>
      </c>
      <c r="H201" s="70">
        <v>9.2200000000000006</v>
      </c>
      <c r="I201" s="77">
        <v>110.96</v>
      </c>
      <c r="J201" s="77">
        <v>110.96</v>
      </c>
      <c r="K201" s="77">
        <v>27.74</v>
      </c>
      <c r="L201" s="77">
        <v>27.74</v>
      </c>
      <c r="M201" s="70">
        <v>3.07</v>
      </c>
      <c r="N201" s="70">
        <v>3.07</v>
      </c>
      <c r="O201" s="77">
        <v>33.090000000000003</v>
      </c>
      <c r="P201" s="77">
        <v>33.090000000000003</v>
      </c>
      <c r="Q201" s="77">
        <v>173.72</v>
      </c>
      <c r="R201" s="77">
        <v>45.96</v>
      </c>
      <c r="S201" s="29"/>
      <c r="T201" s="26"/>
      <c r="U201" s="26"/>
      <c r="V201" s="26"/>
      <c r="W201" s="26"/>
      <c r="X201" s="26"/>
      <c r="Y201" s="26"/>
      <c r="Z201" s="26"/>
      <c r="AA201" s="26"/>
      <c r="AB201" s="28"/>
      <c r="AC201" s="26"/>
      <c r="AD201" s="26"/>
      <c r="AE201" s="26"/>
      <c r="AF201" s="26"/>
      <c r="AG201" s="27"/>
    </row>
    <row r="202" spans="1:33" x14ac:dyDescent="0.25">
      <c r="A202" s="26" t="s">
        <v>433</v>
      </c>
      <c r="B202" s="70" t="s">
        <v>205</v>
      </c>
      <c r="C202" s="70" t="s">
        <v>205</v>
      </c>
      <c r="D202" s="70" t="str">
        <f t="shared" si="0"/>
        <v>80</v>
      </c>
      <c r="E202" s="70">
        <v>4.76</v>
      </c>
      <c r="F202" s="78">
        <v>0.3</v>
      </c>
      <c r="G202" s="78">
        <v>13.74</v>
      </c>
      <c r="H202" s="70">
        <v>10.79</v>
      </c>
      <c r="I202" s="77">
        <v>126.7</v>
      </c>
      <c r="J202" s="77">
        <v>126.7</v>
      </c>
      <c r="K202" s="77">
        <v>31.67</v>
      </c>
      <c r="L202" s="77">
        <v>31.67</v>
      </c>
      <c r="M202" s="70">
        <v>3.04</v>
      </c>
      <c r="N202" s="70">
        <v>3.04</v>
      </c>
      <c r="O202" s="77">
        <v>38.22</v>
      </c>
      <c r="P202" s="77">
        <v>38.22</v>
      </c>
      <c r="Q202" s="77">
        <v>199.62</v>
      </c>
      <c r="R202" s="77">
        <v>53.48</v>
      </c>
      <c r="S202" s="29"/>
      <c r="T202" s="26"/>
      <c r="U202" s="26"/>
      <c r="V202" s="26"/>
      <c r="W202" s="26"/>
      <c r="X202" s="26"/>
      <c r="Y202" s="26"/>
      <c r="Z202" s="26"/>
      <c r="AA202" s="26"/>
      <c r="AB202" s="28"/>
      <c r="AC202" s="26"/>
      <c r="AD202" s="26"/>
      <c r="AE202" s="26"/>
      <c r="AF202" s="26"/>
      <c r="AG202" s="27"/>
    </row>
    <row r="203" spans="1:33" x14ac:dyDescent="0.25">
      <c r="A203" s="26" t="s">
        <v>434</v>
      </c>
      <c r="B203" s="70" t="s">
        <v>205</v>
      </c>
      <c r="C203" s="70" t="s">
        <v>205</v>
      </c>
      <c r="D203" s="70" t="str">
        <f t="shared" si="0"/>
        <v>90</v>
      </c>
      <c r="E203" s="70">
        <v>2.5</v>
      </c>
      <c r="F203" s="78">
        <v>0.35</v>
      </c>
      <c r="G203" s="78">
        <v>8.59</v>
      </c>
      <c r="H203" s="70">
        <v>6.74</v>
      </c>
      <c r="I203" s="77">
        <v>108.5</v>
      </c>
      <c r="J203" s="77">
        <v>108.5</v>
      </c>
      <c r="K203" s="77">
        <v>24.11</v>
      </c>
      <c r="L203" s="77">
        <v>24.11</v>
      </c>
      <c r="M203" s="70">
        <v>3.55</v>
      </c>
      <c r="N203" s="70">
        <v>3.55</v>
      </c>
      <c r="O203" s="77">
        <v>28.01</v>
      </c>
      <c r="P203" s="77">
        <v>28.01</v>
      </c>
      <c r="Q203" s="77">
        <v>166.95</v>
      </c>
      <c r="R203" s="77">
        <v>38.22</v>
      </c>
      <c r="S203" s="29"/>
      <c r="T203" s="26"/>
      <c r="U203" s="26"/>
      <c r="V203" s="26"/>
      <c r="W203" s="26"/>
      <c r="X203" s="26"/>
      <c r="Y203" s="26"/>
      <c r="Z203" s="26"/>
      <c r="AA203" s="26"/>
      <c r="AB203" s="28"/>
      <c r="AC203" s="26"/>
      <c r="AD203" s="26"/>
      <c r="AE203" s="26"/>
      <c r="AF203" s="26"/>
      <c r="AG203" s="27"/>
    </row>
    <row r="204" spans="1:33" x14ac:dyDescent="0.25">
      <c r="A204" s="26" t="s">
        <v>435</v>
      </c>
      <c r="B204" s="70" t="s">
        <v>205</v>
      </c>
      <c r="C204" s="70" t="s">
        <v>205</v>
      </c>
      <c r="D204" s="70" t="str">
        <f t="shared" si="0"/>
        <v>90</v>
      </c>
      <c r="E204" s="70">
        <v>3.2</v>
      </c>
      <c r="F204" s="78">
        <v>0.35</v>
      </c>
      <c r="G204" s="78">
        <v>10.85</v>
      </c>
      <c r="H204" s="70">
        <v>8.51</v>
      </c>
      <c r="I204" s="77">
        <v>134.41999999999999</v>
      </c>
      <c r="J204" s="77">
        <v>134.41999999999999</v>
      </c>
      <c r="K204" s="77">
        <v>29.87</v>
      </c>
      <c r="L204" s="77">
        <v>29.87</v>
      </c>
      <c r="M204" s="70">
        <v>3.52</v>
      </c>
      <c r="N204" s="70">
        <v>3.52</v>
      </c>
      <c r="O204" s="77">
        <v>35.020000000000003</v>
      </c>
      <c r="P204" s="77">
        <v>35.020000000000003</v>
      </c>
      <c r="Q204" s="77">
        <v>208.17</v>
      </c>
      <c r="R204" s="77">
        <v>48.09</v>
      </c>
      <c r="S204" s="29"/>
      <c r="T204" s="26"/>
      <c r="U204" s="26"/>
      <c r="V204" s="26"/>
      <c r="W204" s="26"/>
      <c r="X204" s="26"/>
      <c r="Y204" s="26"/>
      <c r="Z204" s="26"/>
      <c r="AA204" s="26"/>
      <c r="AB204" s="28"/>
      <c r="AC204" s="26"/>
      <c r="AD204" s="26"/>
      <c r="AE204" s="26"/>
      <c r="AF204" s="26"/>
      <c r="AG204" s="27"/>
    </row>
    <row r="205" spans="1:33" x14ac:dyDescent="0.25">
      <c r="A205" s="26" t="s">
        <v>436</v>
      </c>
      <c r="B205" s="70" t="s">
        <v>205</v>
      </c>
      <c r="C205" s="70" t="s">
        <v>205</v>
      </c>
      <c r="D205" s="70" t="str">
        <f t="shared" si="0"/>
        <v>90</v>
      </c>
      <c r="E205" s="70">
        <v>4</v>
      </c>
      <c r="F205" s="78">
        <v>0.35</v>
      </c>
      <c r="G205" s="78">
        <v>13.35</v>
      </c>
      <c r="H205" s="70">
        <v>10.48</v>
      </c>
      <c r="I205" s="77">
        <v>161.80000000000001</v>
      </c>
      <c r="J205" s="77">
        <v>161.80000000000001</v>
      </c>
      <c r="K205" s="77">
        <v>35.96</v>
      </c>
      <c r="L205" s="77">
        <v>35.96</v>
      </c>
      <c r="M205" s="70">
        <v>3.48</v>
      </c>
      <c r="N205" s="70">
        <v>3.48</v>
      </c>
      <c r="O205" s="77">
        <v>42.6</v>
      </c>
      <c r="P205" s="77">
        <v>42.6</v>
      </c>
      <c r="Q205" s="77">
        <v>252.3</v>
      </c>
      <c r="R205" s="77">
        <v>58.92</v>
      </c>
      <c r="S205" s="29"/>
      <c r="T205" s="26"/>
      <c r="U205" s="26"/>
      <c r="V205" s="26"/>
      <c r="W205" s="26"/>
      <c r="X205" s="26"/>
      <c r="Y205" s="26"/>
      <c r="Z205" s="26"/>
      <c r="AA205" s="26"/>
      <c r="AB205" s="28"/>
      <c r="AC205" s="26"/>
      <c r="AD205" s="26"/>
      <c r="AE205" s="26"/>
      <c r="AF205" s="26"/>
      <c r="AG205" s="27"/>
    </row>
    <row r="206" spans="1:33" x14ac:dyDescent="0.25">
      <c r="A206" s="26" t="s">
        <v>437</v>
      </c>
      <c r="B206" s="70" t="s">
        <v>205</v>
      </c>
      <c r="C206" s="70" t="s">
        <v>205</v>
      </c>
      <c r="D206" s="70" t="str">
        <f t="shared" si="0"/>
        <v>90</v>
      </c>
      <c r="E206" s="70">
        <v>4.76</v>
      </c>
      <c r="F206" s="78">
        <v>0.34</v>
      </c>
      <c r="G206" s="78">
        <v>15.65</v>
      </c>
      <c r="H206" s="70">
        <v>12.28</v>
      </c>
      <c r="I206" s="77">
        <v>185.67</v>
      </c>
      <c r="J206" s="77">
        <v>185.67</v>
      </c>
      <c r="K206" s="77">
        <v>41.26</v>
      </c>
      <c r="L206" s="77">
        <v>41.26</v>
      </c>
      <c r="M206" s="70">
        <v>3.44</v>
      </c>
      <c r="N206" s="70">
        <v>3.44</v>
      </c>
      <c r="O206" s="77">
        <v>49.39</v>
      </c>
      <c r="P206" s="77">
        <v>49.39</v>
      </c>
      <c r="Q206" s="77">
        <v>291.27</v>
      </c>
      <c r="R206" s="77">
        <v>68.75</v>
      </c>
      <c r="S206" s="29"/>
      <c r="T206" s="26"/>
      <c r="U206" s="26"/>
      <c r="V206" s="26"/>
      <c r="W206" s="26"/>
      <c r="X206" s="26"/>
      <c r="Y206" s="26"/>
      <c r="Z206" s="26"/>
      <c r="AA206" s="26"/>
      <c r="AB206" s="28"/>
      <c r="AC206" s="26"/>
      <c r="AD206" s="26"/>
      <c r="AE206" s="26"/>
      <c r="AF206" s="26"/>
      <c r="AG206" s="27"/>
    </row>
    <row r="207" spans="1:33" x14ac:dyDescent="0.25">
      <c r="A207" s="26" t="s">
        <v>438</v>
      </c>
      <c r="B207" s="70" t="s">
        <v>205</v>
      </c>
      <c r="C207" s="70" t="s">
        <v>205</v>
      </c>
      <c r="D207" s="70" t="str">
        <f t="shared" si="0"/>
        <v>90</v>
      </c>
      <c r="E207" s="70">
        <v>6.35</v>
      </c>
      <c r="F207" s="78">
        <v>0.34</v>
      </c>
      <c r="G207" s="78">
        <v>20.21</v>
      </c>
      <c r="H207" s="70">
        <v>15.86</v>
      </c>
      <c r="I207" s="77">
        <v>229.17</v>
      </c>
      <c r="J207" s="77">
        <v>229.17</v>
      </c>
      <c r="K207" s="77">
        <v>50.93</v>
      </c>
      <c r="L207" s="77">
        <v>50.93</v>
      </c>
      <c r="M207" s="70">
        <v>3.37</v>
      </c>
      <c r="N207" s="70">
        <v>3.37</v>
      </c>
      <c r="O207" s="77">
        <v>62.3</v>
      </c>
      <c r="P207" s="77">
        <v>62.3</v>
      </c>
      <c r="Q207" s="77">
        <v>363.45</v>
      </c>
      <c r="R207" s="77">
        <v>87.88</v>
      </c>
      <c r="S207" s="29"/>
      <c r="T207" s="26"/>
      <c r="U207" s="26"/>
      <c r="V207" s="26"/>
      <c r="W207" s="26"/>
      <c r="X207" s="26"/>
      <c r="Y207" s="26"/>
      <c r="Z207" s="26"/>
      <c r="AA207" s="26"/>
      <c r="AB207" s="28"/>
      <c r="AC207" s="26"/>
      <c r="AD207" s="26"/>
      <c r="AE207" s="26"/>
      <c r="AF207" s="26"/>
      <c r="AG207" s="27"/>
    </row>
    <row r="208" spans="1:33" x14ac:dyDescent="0.25">
      <c r="A208" s="26" t="s">
        <v>439</v>
      </c>
      <c r="B208" s="70" t="s">
        <v>205</v>
      </c>
      <c r="C208" s="70" t="s">
        <v>205</v>
      </c>
      <c r="D208" s="70" t="str">
        <f>MID(A208,15,3)</f>
        <v>100</v>
      </c>
      <c r="E208" s="70">
        <v>3.2</v>
      </c>
      <c r="F208" s="78">
        <v>0.39</v>
      </c>
      <c r="G208" s="78">
        <v>12.13</v>
      </c>
      <c r="H208" s="70">
        <v>9.52</v>
      </c>
      <c r="I208" s="77">
        <v>187.17</v>
      </c>
      <c r="J208" s="77">
        <v>187.17</v>
      </c>
      <c r="K208" s="77">
        <v>37.43</v>
      </c>
      <c r="L208" s="77">
        <v>37.43</v>
      </c>
      <c r="M208" s="70">
        <v>3.93</v>
      </c>
      <c r="N208" s="70">
        <v>3.93</v>
      </c>
      <c r="O208" s="77">
        <v>43.7</v>
      </c>
      <c r="P208" s="77">
        <v>43.7</v>
      </c>
      <c r="Q208" s="77">
        <v>289.02999999999997</v>
      </c>
      <c r="R208" s="77">
        <v>59.84</v>
      </c>
      <c r="S208" s="29"/>
      <c r="T208" s="26"/>
      <c r="U208" s="26"/>
      <c r="V208" s="26"/>
      <c r="W208" s="26"/>
      <c r="X208" s="26"/>
      <c r="Y208" s="26"/>
      <c r="Z208" s="26"/>
      <c r="AA208" s="26"/>
      <c r="AB208" s="28"/>
      <c r="AC208" s="26"/>
      <c r="AD208" s="26"/>
      <c r="AE208" s="26"/>
      <c r="AF208" s="26"/>
      <c r="AG208" s="27"/>
    </row>
    <row r="209" spans="1:33" x14ac:dyDescent="0.25">
      <c r="A209" s="26" t="s">
        <v>440</v>
      </c>
      <c r="B209" s="70" t="s">
        <v>205</v>
      </c>
      <c r="C209" s="70" t="s">
        <v>205</v>
      </c>
      <c r="D209" s="70" t="str">
        <f t="shared" ref="D209:D259" si="1">MID(A209,15,3)</f>
        <v>100</v>
      </c>
      <c r="E209" s="70">
        <v>4</v>
      </c>
      <c r="F209" s="78">
        <v>0.39</v>
      </c>
      <c r="G209" s="78">
        <v>14.95</v>
      </c>
      <c r="H209" s="70">
        <v>11.73</v>
      </c>
      <c r="I209" s="77">
        <v>226.2</v>
      </c>
      <c r="J209" s="77">
        <v>226.2</v>
      </c>
      <c r="K209" s="77">
        <v>45.24</v>
      </c>
      <c r="L209" s="77">
        <v>45.24</v>
      </c>
      <c r="M209" s="70">
        <v>3.89</v>
      </c>
      <c r="N209" s="70">
        <v>3.89</v>
      </c>
      <c r="O209" s="77">
        <v>53.31</v>
      </c>
      <c r="P209" s="77">
        <v>53.31</v>
      </c>
      <c r="Q209" s="77">
        <v>351.52</v>
      </c>
      <c r="R209" s="77">
        <v>73.48</v>
      </c>
      <c r="S209" s="29"/>
      <c r="T209" s="26"/>
      <c r="U209" s="26"/>
      <c r="V209" s="26"/>
      <c r="W209" s="26"/>
      <c r="X209" s="26"/>
      <c r="Y209" s="26"/>
      <c r="Z209" s="26"/>
      <c r="AA209" s="26"/>
      <c r="AB209" s="28"/>
      <c r="AC209" s="26"/>
      <c r="AD209" s="26"/>
      <c r="AE209" s="26"/>
      <c r="AF209" s="26"/>
      <c r="AG209" s="27"/>
    </row>
    <row r="210" spans="1:33" x14ac:dyDescent="0.25">
      <c r="A210" s="26" t="s">
        <v>441</v>
      </c>
      <c r="B210" s="70" t="s">
        <v>205</v>
      </c>
      <c r="C210" s="70" t="s">
        <v>205</v>
      </c>
      <c r="D210" s="70" t="str">
        <f t="shared" si="1"/>
        <v>100</v>
      </c>
      <c r="E210" s="72">
        <v>4.76</v>
      </c>
      <c r="F210" s="78">
        <v>0.38</v>
      </c>
      <c r="G210" s="78">
        <v>17.55</v>
      </c>
      <c r="H210" s="70">
        <v>13.78</v>
      </c>
      <c r="I210" s="77">
        <v>260.58</v>
      </c>
      <c r="J210" s="77">
        <v>260.58</v>
      </c>
      <c r="K210" s="77">
        <v>52.12</v>
      </c>
      <c r="L210" s="77">
        <v>52.12</v>
      </c>
      <c r="M210" s="70">
        <v>3.85</v>
      </c>
      <c r="N210" s="70">
        <v>3.85</v>
      </c>
      <c r="O210" s="77">
        <v>61.98</v>
      </c>
      <c r="P210" s="77">
        <v>61.98</v>
      </c>
      <c r="Q210" s="77">
        <v>407.25</v>
      </c>
      <c r="R210" s="77">
        <v>85.94</v>
      </c>
      <c r="S210" s="29"/>
      <c r="T210" s="26"/>
      <c r="U210" s="26"/>
      <c r="V210" s="26"/>
      <c r="W210" s="26"/>
      <c r="X210" s="26"/>
      <c r="Y210" s="26"/>
      <c r="Z210" s="26"/>
      <c r="AA210" s="26"/>
      <c r="AB210" s="28"/>
      <c r="AC210" s="26"/>
      <c r="AD210" s="26"/>
      <c r="AE210" s="26"/>
      <c r="AF210" s="26"/>
      <c r="AG210" s="27"/>
    </row>
    <row r="211" spans="1:33" x14ac:dyDescent="0.25">
      <c r="A211" s="26" t="s">
        <v>442</v>
      </c>
      <c r="B211" s="70" t="s">
        <v>205</v>
      </c>
      <c r="C211" s="70" t="s">
        <v>205</v>
      </c>
      <c r="D211" s="70" t="str">
        <f t="shared" si="1"/>
        <v>100</v>
      </c>
      <c r="E211" s="70">
        <v>6.35</v>
      </c>
      <c r="F211" s="78">
        <v>0.38</v>
      </c>
      <c r="G211" s="78">
        <v>22.75</v>
      </c>
      <c r="H211" s="70">
        <v>17.86</v>
      </c>
      <c r="I211" s="77">
        <v>324.36</v>
      </c>
      <c r="J211" s="77">
        <v>324.36</v>
      </c>
      <c r="K211" s="77">
        <v>64.87</v>
      </c>
      <c r="L211" s="77">
        <v>64.87</v>
      </c>
      <c r="M211" s="70">
        <v>3.78</v>
      </c>
      <c r="N211" s="70">
        <v>3.78</v>
      </c>
      <c r="O211" s="77">
        <v>78.67</v>
      </c>
      <c r="P211" s="77">
        <v>78.67</v>
      </c>
      <c r="Q211" s="77">
        <v>512.33000000000004</v>
      </c>
      <c r="R211" s="77">
        <v>110.39</v>
      </c>
      <c r="S211" s="29"/>
      <c r="T211" s="26"/>
      <c r="U211" s="26"/>
      <c r="V211" s="26"/>
      <c r="W211" s="26"/>
      <c r="X211" s="26"/>
      <c r="Y211" s="26"/>
      <c r="Z211" s="26"/>
      <c r="AA211" s="26"/>
      <c r="AB211" s="28"/>
      <c r="AC211" s="26"/>
      <c r="AD211" s="26"/>
      <c r="AE211" s="26"/>
      <c r="AF211" s="26"/>
      <c r="AG211" s="27"/>
    </row>
    <row r="212" spans="1:33" x14ac:dyDescent="0.25">
      <c r="A212" s="26" t="s">
        <v>443</v>
      </c>
      <c r="B212" s="70" t="s">
        <v>205</v>
      </c>
      <c r="C212" s="70" t="s">
        <v>205</v>
      </c>
      <c r="D212" s="70" t="str">
        <f t="shared" si="1"/>
        <v>110</v>
      </c>
      <c r="E212" s="70">
        <v>3.2</v>
      </c>
      <c r="F212" s="78">
        <v>0.43</v>
      </c>
      <c r="G212" s="78">
        <v>13.41</v>
      </c>
      <c r="H212" s="70">
        <v>10.52</v>
      </c>
      <c r="I212" s="77">
        <v>252.17</v>
      </c>
      <c r="J212" s="77">
        <v>252.17</v>
      </c>
      <c r="K212" s="77">
        <v>45.85</v>
      </c>
      <c r="L212" s="77">
        <v>45.85</v>
      </c>
      <c r="M212" s="70">
        <v>4.34</v>
      </c>
      <c r="N212" s="70">
        <v>4.34</v>
      </c>
      <c r="O212" s="77">
        <v>53.34</v>
      </c>
      <c r="P212" s="77">
        <v>53.34</v>
      </c>
      <c r="Q212" s="77">
        <v>388.47</v>
      </c>
      <c r="R212" s="77">
        <v>72.87</v>
      </c>
      <c r="S212" s="29"/>
      <c r="T212" s="26"/>
      <c r="U212" s="26"/>
      <c r="V212" s="26"/>
      <c r="W212" s="26"/>
      <c r="X212" s="26"/>
      <c r="Y212" s="26"/>
      <c r="Z212" s="26"/>
      <c r="AA212" s="26"/>
      <c r="AB212" s="28"/>
      <c r="AC212" s="26"/>
      <c r="AD212" s="26"/>
      <c r="AE212" s="26"/>
      <c r="AF212" s="26"/>
      <c r="AG212" s="27"/>
    </row>
    <row r="213" spans="1:33" x14ac:dyDescent="0.25">
      <c r="A213" s="26" t="s">
        <v>444</v>
      </c>
      <c r="B213" s="70" t="s">
        <v>205</v>
      </c>
      <c r="C213" s="70" t="s">
        <v>205</v>
      </c>
      <c r="D213" s="70" t="str">
        <f t="shared" si="1"/>
        <v>110</v>
      </c>
      <c r="E213" s="70">
        <v>4</v>
      </c>
      <c r="F213" s="78">
        <v>0.43</v>
      </c>
      <c r="G213" s="78">
        <v>16.55</v>
      </c>
      <c r="H213" s="70">
        <v>12.99</v>
      </c>
      <c r="I213" s="77">
        <v>305.74</v>
      </c>
      <c r="J213" s="77">
        <v>305.74</v>
      </c>
      <c r="K213" s="77">
        <v>55.59</v>
      </c>
      <c r="L213" s="77">
        <v>55.59</v>
      </c>
      <c r="M213" s="70">
        <v>4.3</v>
      </c>
      <c r="N213" s="70">
        <v>4.3</v>
      </c>
      <c r="O213" s="77">
        <v>65.23</v>
      </c>
      <c r="P213" s="77">
        <v>65.23</v>
      </c>
      <c r="Q213" s="77">
        <v>473.79</v>
      </c>
      <c r="R213" s="77">
        <v>89.64</v>
      </c>
      <c r="S213" s="29"/>
      <c r="T213" s="26"/>
      <c r="U213" s="26"/>
      <c r="V213" s="26"/>
      <c r="W213" s="26"/>
      <c r="X213" s="26"/>
      <c r="Y213" s="26"/>
      <c r="Z213" s="26"/>
      <c r="AA213" s="26"/>
      <c r="AB213" s="28"/>
      <c r="AC213" s="26"/>
      <c r="AD213" s="26"/>
      <c r="AE213" s="26"/>
      <c r="AF213" s="26"/>
      <c r="AG213" s="27"/>
    </row>
    <row r="214" spans="1:33" x14ac:dyDescent="0.25">
      <c r="A214" s="26" t="s">
        <v>445</v>
      </c>
      <c r="B214" s="70" t="s">
        <v>205</v>
      </c>
      <c r="C214" s="70" t="s">
        <v>205</v>
      </c>
      <c r="D214" s="70" t="str">
        <f t="shared" si="1"/>
        <v>110</v>
      </c>
      <c r="E214" s="70">
        <v>4.76</v>
      </c>
      <c r="F214" s="78">
        <v>0.42</v>
      </c>
      <c r="G214" s="78">
        <v>19.45</v>
      </c>
      <c r="H214" s="70">
        <v>15.27</v>
      </c>
      <c r="I214" s="77">
        <v>353.32</v>
      </c>
      <c r="J214" s="77">
        <v>353.32</v>
      </c>
      <c r="K214" s="77">
        <v>64.239999999999995</v>
      </c>
      <c r="L214" s="77">
        <v>64.239999999999995</v>
      </c>
      <c r="M214" s="70">
        <v>4.26</v>
      </c>
      <c r="N214" s="70">
        <v>4.26</v>
      </c>
      <c r="O214" s="77">
        <v>76</v>
      </c>
      <c r="P214" s="77">
        <v>76</v>
      </c>
      <c r="Q214" s="77">
        <v>550.44000000000005</v>
      </c>
      <c r="R214" s="77">
        <v>105.02</v>
      </c>
      <c r="S214" s="29"/>
      <c r="T214" s="26"/>
      <c r="U214" s="26"/>
      <c r="V214" s="26"/>
      <c r="W214" s="26"/>
      <c r="X214" s="26"/>
      <c r="Y214" s="26"/>
      <c r="Z214" s="26"/>
      <c r="AA214" s="26"/>
      <c r="AB214" s="28"/>
      <c r="AC214" s="26"/>
      <c r="AD214" s="26"/>
      <c r="AE214" s="26"/>
      <c r="AF214" s="26"/>
      <c r="AG214" s="27"/>
    </row>
    <row r="215" spans="1:33" x14ac:dyDescent="0.25">
      <c r="A215" s="26" t="s">
        <v>446</v>
      </c>
      <c r="B215" s="70" t="s">
        <v>205</v>
      </c>
      <c r="C215" s="70" t="s">
        <v>205</v>
      </c>
      <c r="D215" s="70" t="str">
        <f t="shared" si="1"/>
        <v>110</v>
      </c>
      <c r="E215" s="70">
        <v>6.35</v>
      </c>
      <c r="F215" s="78">
        <v>0.42</v>
      </c>
      <c r="G215" s="78">
        <v>25.29</v>
      </c>
      <c r="H215" s="70">
        <v>19.850000000000001</v>
      </c>
      <c r="I215" s="77">
        <v>442.81</v>
      </c>
      <c r="J215" s="77">
        <v>442.81</v>
      </c>
      <c r="K215" s="77">
        <v>80.510000000000005</v>
      </c>
      <c r="L215" s="77">
        <v>80.510000000000005</v>
      </c>
      <c r="M215" s="70">
        <v>4.18</v>
      </c>
      <c r="N215" s="70">
        <v>4.18</v>
      </c>
      <c r="O215" s="77">
        <v>96.94</v>
      </c>
      <c r="P215" s="77">
        <v>96.94</v>
      </c>
      <c r="Q215" s="77">
        <v>696.88</v>
      </c>
      <c r="R215" s="77">
        <v>135.44999999999999</v>
      </c>
      <c r="S215" s="29"/>
      <c r="T215" s="26"/>
      <c r="U215" s="26"/>
      <c r="V215" s="26"/>
      <c r="W215" s="26"/>
      <c r="X215" s="26"/>
      <c r="Y215" s="26"/>
      <c r="Z215" s="26"/>
      <c r="AA215" s="26"/>
      <c r="AB215" s="28"/>
      <c r="AC215" s="26"/>
      <c r="AD215" s="26"/>
      <c r="AE215" s="26"/>
      <c r="AF215" s="26"/>
      <c r="AG215" s="27"/>
    </row>
    <row r="216" spans="1:33" x14ac:dyDescent="0.25">
      <c r="A216" s="26" t="s">
        <v>447</v>
      </c>
      <c r="B216" s="70" t="s">
        <v>205</v>
      </c>
      <c r="C216" s="70" t="s">
        <v>205</v>
      </c>
      <c r="D216" s="70" t="str">
        <f t="shared" si="1"/>
        <v>120</v>
      </c>
      <c r="E216" s="70">
        <v>4</v>
      </c>
      <c r="F216" s="78">
        <v>0.47</v>
      </c>
      <c r="G216" s="78">
        <v>18.149999999999999</v>
      </c>
      <c r="H216" s="70">
        <v>14.25</v>
      </c>
      <c r="I216" s="77">
        <v>402.03</v>
      </c>
      <c r="J216" s="77">
        <v>402.03</v>
      </c>
      <c r="K216" s="77">
        <v>67</v>
      </c>
      <c r="L216" s="77">
        <v>67</v>
      </c>
      <c r="M216" s="70">
        <v>4.71</v>
      </c>
      <c r="N216" s="70">
        <v>4.71</v>
      </c>
      <c r="O216" s="77">
        <v>78.34</v>
      </c>
      <c r="P216" s="77">
        <v>78.34</v>
      </c>
      <c r="Q216" s="77">
        <v>621.49</v>
      </c>
      <c r="R216" s="77">
        <v>107.4</v>
      </c>
      <c r="S216" s="29"/>
      <c r="T216" s="26"/>
      <c r="U216" s="26"/>
      <c r="V216" s="26"/>
      <c r="W216" s="26"/>
      <c r="X216" s="26"/>
      <c r="Y216" s="26"/>
      <c r="Z216" s="26"/>
      <c r="AA216" s="26"/>
      <c r="AB216" s="28"/>
      <c r="AC216" s="26"/>
      <c r="AD216" s="26"/>
      <c r="AE216" s="26"/>
      <c r="AF216" s="26"/>
      <c r="AG216" s="27"/>
    </row>
    <row r="217" spans="1:33" x14ac:dyDescent="0.25">
      <c r="A217" s="26" t="s">
        <v>448</v>
      </c>
      <c r="B217" s="70" t="s">
        <v>205</v>
      </c>
      <c r="C217" s="70" t="s">
        <v>205</v>
      </c>
      <c r="D217" s="70" t="str">
        <f t="shared" si="1"/>
        <v>120</v>
      </c>
      <c r="E217" s="70">
        <v>5</v>
      </c>
      <c r="F217" s="78">
        <v>0.46</v>
      </c>
      <c r="G217" s="78">
        <v>22.36</v>
      </c>
      <c r="H217" s="70">
        <v>17.55</v>
      </c>
      <c r="I217" s="77">
        <v>485.14</v>
      </c>
      <c r="J217" s="77">
        <v>485.14</v>
      </c>
      <c r="K217" s="77">
        <v>80.86</v>
      </c>
      <c r="L217" s="77">
        <v>80.86</v>
      </c>
      <c r="M217" s="70">
        <v>4.66</v>
      </c>
      <c r="N217" s="70">
        <v>4.66</v>
      </c>
      <c r="O217" s="77">
        <v>95.48</v>
      </c>
      <c r="P217" s="77">
        <v>95.48</v>
      </c>
      <c r="Q217" s="77">
        <v>754.89</v>
      </c>
      <c r="R217" s="77">
        <v>131.77000000000001</v>
      </c>
      <c r="S217" s="29"/>
      <c r="T217" s="26"/>
      <c r="U217" s="26"/>
      <c r="V217" s="26"/>
      <c r="W217" s="26"/>
      <c r="X217" s="26"/>
      <c r="Y217" s="26"/>
      <c r="Z217" s="26"/>
      <c r="AA217" s="26"/>
      <c r="AB217" s="28"/>
      <c r="AC217" s="26"/>
      <c r="AD217" s="26"/>
      <c r="AE217" s="26"/>
      <c r="AF217" s="26"/>
      <c r="AG217" s="27"/>
    </row>
    <row r="218" spans="1:33" x14ac:dyDescent="0.25">
      <c r="A218" s="26" t="s">
        <v>449</v>
      </c>
      <c r="B218" s="70" t="s">
        <v>205</v>
      </c>
      <c r="C218" s="70" t="s">
        <v>205</v>
      </c>
      <c r="D218" s="70" t="str">
        <f t="shared" si="1"/>
        <v>120</v>
      </c>
      <c r="E218" s="70">
        <v>6</v>
      </c>
      <c r="F218" s="78">
        <v>0.46</v>
      </c>
      <c r="G218" s="78">
        <v>26.43</v>
      </c>
      <c r="H218" s="70">
        <v>20.75</v>
      </c>
      <c r="I218" s="77">
        <v>561.74</v>
      </c>
      <c r="J218" s="77">
        <v>561.74</v>
      </c>
      <c r="K218" s="77">
        <v>93.62</v>
      </c>
      <c r="L218" s="77">
        <v>93.62</v>
      </c>
      <c r="M218" s="70">
        <v>4.6100000000000003</v>
      </c>
      <c r="N218" s="70">
        <v>4.6100000000000003</v>
      </c>
      <c r="O218" s="77">
        <v>111.67</v>
      </c>
      <c r="P218" s="77">
        <v>111.67</v>
      </c>
      <c r="Q218" s="77">
        <v>879.44</v>
      </c>
      <c r="R218" s="77">
        <v>155.12</v>
      </c>
      <c r="S218" s="29"/>
      <c r="T218" s="26"/>
      <c r="U218" s="26"/>
      <c r="V218" s="26"/>
      <c r="W218" s="26"/>
      <c r="X218" s="26"/>
      <c r="Y218" s="26"/>
      <c r="Z218" s="26"/>
      <c r="AA218" s="26"/>
      <c r="AB218" s="28"/>
      <c r="AC218" s="26"/>
      <c r="AD218" s="26"/>
      <c r="AE218" s="26"/>
      <c r="AF218" s="26"/>
      <c r="AG218" s="27"/>
    </row>
    <row r="219" spans="1:33" x14ac:dyDescent="0.25">
      <c r="A219" s="26" t="s">
        <v>450</v>
      </c>
      <c r="B219" s="70" t="s">
        <v>205</v>
      </c>
      <c r="C219" s="70" t="s">
        <v>205</v>
      </c>
      <c r="D219" s="70" t="str">
        <f t="shared" si="1"/>
        <v>120</v>
      </c>
      <c r="E219" s="70">
        <v>8</v>
      </c>
      <c r="F219" s="78">
        <v>0.45</v>
      </c>
      <c r="G219" s="78">
        <v>34.19</v>
      </c>
      <c r="H219" s="70">
        <v>26.84</v>
      </c>
      <c r="I219" s="77">
        <v>696.31</v>
      </c>
      <c r="J219" s="77">
        <v>696.31</v>
      </c>
      <c r="K219" s="77">
        <v>116.05</v>
      </c>
      <c r="L219" s="77">
        <v>116.05</v>
      </c>
      <c r="M219" s="70">
        <v>4.51</v>
      </c>
      <c r="N219" s="70">
        <v>4.51</v>
      </c>
      <c r="O219" s="77">
        <v>141.28</v>
      </c>
      <c r="P219" s="77">
        <v>141.28</v>
      </c>
      <c r="Q219" s="77">
        <v>1101.8900000000001</v>
      </c>
      <c r="R219" s="77">
        <v>198.73</v>
      </c>
      <c r="S219" s="29"/>
      <c r="T219" s="26"/>
      <c r="U219" s="26"/>
      <c r="V219" s="26"/>
      <c r="W219" s="26"/>
      <c r="X219" s="26"/>
      <c r="Y219" s="26"/>
      <c r="Z219" s="26"/>
      <c r="AA219" s="26"/>
      <c r="AB219" s="28"/>
      <c r="AC219" s="26"/>
      <c r="AD219" s="26"/>
      <c r="AE219" s="26"/>
      <c r="AF219" s="26"/>
      <c r="AG219" s="27"/>
    </row>
    <row r="220" spans="1:33" x14ac:dyDescent="0.25">
      <c r="A220" s="26" t="s">
        <v>451</v>
      </c>
      <c r="B220" s="70" t="s">
        <v>205</v>
      </c>
      <c r="C220" s="70" t="s">
        <v>205</v>
      </c>
      <c r="D220" s="70" t="str">
        <f t="shared" si="1"/>
        <v>120</v>
      </c>
      <c r="E220" s="70">
        <v>10</v>
      </c>
      <c r="F220" s="78">
        <v>0.45</v>
      </c>
      <c r="G220" s="78">
        <v>41.42</v>
      </c>
      <c r="H220" s="70">
        <v>32.520000000000003</v>
      </c>
      <c r="I220" s="77">
        <v>807.47</v>
      </c>
      <c r="J220" s="77">
        <v>807.47</v>
      </c>
      <c r="K220" s="77">
        <v>134.58000000000001</v>
      </c>
      <c r="L220" s="77">
        <v>134.58000000000001</v>
      </c>
      <c r="M220" s="70">
        <v>4.42</v>
      </c>
      <c r="N220" s="70">
        <v>4.42</v>
      </c>
      <c r="O220" s="77">
        <v>167.31</v>
      </c>
      <c r="P220" s="77">
        <v>167.31</v>
      </c>
      <c r="Q220" s="77">
        <v>1288.8399999999999</v>
      </c>
      <c r="R220" s="77">
        <v>238.14</v>
      </c>
      <c r="S220" s="29"/>
      <c r="T220" s="26"/>
      <c r="U220" s="26"/>
      <c r="V220" s="26"/>
      <c r="W220" s="26"/>
      <c r="X220" s="26"/>
      <c r="Y220" s="26"/>
      <c r="Z220" s="26"/>
      <c r="AA220" s="26"/>
      <c r="AB220" s="28"/>
      <c r="AC220" s="26"/>
      <c r="AD220" s="26"/>
      <c r="AE220" s="26"/>
      <c r="AF220" s="26"/>
      <c r="AG220" s="27"/>
    </row>
    <row r="221" spans="1:33" x14ac:dyDescent="0.25">
      <c r="A221" s="26" t="s">
        <v>452</v>
      </c>
      <c r="B221" s="70" t="s">
        <v>205</v>
      </c>
      <c r="C221" s="70" t="s">
        <v>205</v>
      </c>
      <c r="D221" s="70" t="str">
        <f t="shared" si="1"/>
        <v>120</v>
      </c>
      <c r="E221" s="70">
        <v>12</v>
      </c>
      <c r="F221" s="78">
        <v>0.44</v>
      </c>
      <c r="G221" s="78">
        <v>48.13</v>
      </c>
      <c r="H221" s="70">
        <v>37.78</v>
      </c>
      <c r="I221" s="77">
        <v>896.91</v>
      </c>
      <c r="J221" s="77">
        <v>896.91</v>
      </c>
      <c r="K221" s="77">
        <v>149.49</v>
      </c>
      <c r="L221" s="77">
        <v>149.49</v>
      </c>
      <c r="M221" s="70">
        <v>4.32</v>
      </c>
      <c r="N221" s="70">
        <v>4.32</v>
      </c>
      <c r="O221" s="77">
        <v>189.89</v>
      </c>
      <c r="P221" s="77">
        <v>189.89</v>
      </c>
      <c r="Q221" s="77">
        <v>1440.4</v>
      </c>
      <c r="R221" s="77">
        <v>273.26</v>
      </c>
      <c r="S221" s="29"/>
      <c r="T221" s="26"/>
      <c r="U221" s="26"/>
      <c r="V221" s="26"/>
      <c r="W221" s="26"/>
      <c r="X221" s="26"/>
      <c r="Y221" s="26"/>
      <c r="Z221" s="26"/>
      <c r="AA221" s="26"/>
      <c r="AB221" s="28"/>
      <c r="AC221" s="26"/>
      <c r="AD221" s="26"/>
      <c r="AE221" s="26"/>
      <c r="AF221" s="26"/>
      <c r="AG221" s="27"/>
    </row>
    <row r="222" spans="1:33" x14ac:dyDescent="0.25">
      <c r="A222" s="26" t="s">
        <v>453</v>
      </c>
      <c r="B222" s="70" t="s">
        <v>205</v>
      </c>
      <c r="C222" s="70" t="s">
        <v>205</v>
      </c>
      <c r="D222" s="70" t="str">
        <f t="shared" si="1"/>
        <v>140</v>
      </c>
      <c r="E222" s="70">
        <v>4</v>
      </c>
      <c r="F222" s="78">
        <v>0.55000000000000004</v>
      </c>
      <c r="G222" s="78">
        <v>21.35</v>
      </c>
      <c r="H222" s="70">
        <v>16.760000000000002</v>
      </c>
      <c r="I222" s="77">
        <v>651.26</v>
      </c>
      <c r="J222" s="77">
        <v>651.26</v>
      </c>
      <c r="K222" s="77">
        <v>93.04</v>
      </c>
      <c r="L222" s="77">
        <v>93.04</v>
      </c>
      <c r="M222" s="70">
        <v>5.52</v>
      </c>
      <c r="N222" s="70">
        <v>5.52</v>
      </c>
      <c r="O222" s="77">
        <v>108.17</v>
      </c>
      <c r="P222" s="77">
        <v>108.17</v>
      </c>
      <c r="Q222" s="77">
        <v>1002.82</v>
      </c>
      <c r="R222" s="77">
        <v>147.72</v>
      </c>
      <c r="S222" s="29"/>
      <c r="T222" s="26"/>
      <c r="U222" s="26"/>
      <c r="V222" s="26"/>
      <c r="W222" s="26"/>
      <c r="X222" s="26"/>
      <c r="Y222" s="26"/>
      <c r="Z222" s="26"/>
      <c r="AA222" s="26"/>
      <c r="AB222" s="28"/>
      <c r="AC222" s="26"/>
      <c r="AD222" s="26"/>
      <c r="AE222" s="26"/>
      <c r="AF222" s="26"/>
      <c r="AG222" s="27"/>
    </row>
    <row r="223" spans="1:33" x14ac:dyDescent="0.25">
      <c r="A223" s="26" t="s">
        <v>454</v>
      </c>
      <c r="B223" s="70" t="s">
        <v>205</v>
      </c>
      <c r="C223" s="70" t="s">
        <v>205</v>
      </c>
      <c r="D223" s="70" t="str">
        <f t="shared" si="1"/>
        <v>140</v>
      </c>
      <c r="E223" s="70">
        <v>5</v>
      </c>
      <c r="F223" s="78">
        <v>0.54</v>
      </c>
      <c r="G223" s="78">
        <v>26.36</v>
      </c>
      <c r="H223" s="70">
        <v>20.69</v>
      </c>
      <c r="I223" s="77">
        <v>790.05</v>
      </c>
      <c r="J223" s="77">
        <v>790.05</v>
      </c>
      <c r="K223" s="77">
        <v>112.86</v>
      </c>
      <c r="L223" s="77">
        <v>112.86</v>
      </c>
      <c r="M223" s="70">
        <v>5.48</v>
      </c>
      <c r="N223" s="70">
        <v>5.48</v>
      </c>
      <c r="O223" s="77">
        <v>132.33000000000001</v>
      </c>
      <c r="P223" s="77">
        <v>132.33000000000001</v>
      </c>
      <c r="Q223" s="77">
        <v>1223.68</v>
      </c>
      <c r="R223" s="77">
        <v>181.77</v>
      </c>
      <c r="S223" s="29"/>
      <c r="T223" s="26"/>
      <c r="U223" s="26"/>
      <c r="V223" s="26"/>
      <c r="W223" s="26"/>
      <c r="X223" s="26"/>
      <c r="Y223" s="26"/>
      <c r="Z223" s="26"/>
      <c r="AA223" s="26"/>
      <c r="AB223" s="28"/>
      <c r="AC223" s="26"/>
      <c r="AD223" s="26"/>
      <c r="AE223" s="26"/>
      <c r="AF223" s="26"/>
      <c r="AG223" s="27"/>
    </row>
    <row r="224" spans="1:33" x14ac:dyDescent="0.25">
      <c r="A224" s="26" t="s">
        <v>455</v>
      </c>
      <c r="B224" s="70" t="s">
        <v>205</v>
      </c>
      <c r="C224" s="70" t="s">
        <v>205</v>
      </c>
      <c r="D224" s="70" t="str">
        <f t="shared" si="1"/>
        <v>140</v>
      </c>
      <c r="E224" s="70">
        <v>6</v>
      </c>
      <c r="F224" s="78">
        <v>0.54</v>
      </c>
      <c r="G224" s="78">
        <v>31.23</v>
      </c>
      <c r="H224" s="70">
        <v>24.52</v>
      </c>
      <c r="I224" s="77">
        <v>919.78</v>
      </c>
      <c r="J224" s="77">
        <v>919.78</v>
      </c>
      <c r="K224" s="77">
        <v>131.4</v>
      </c>
      <c r="L224" s="77">
        <v>131.4</v>
      </c>
      <c r="M224" s="70">
        <v>5.43</v>
      </c>
      <c r="N224" s="70">
        <v>5.43</v>
      </c>
      <c r="O224" s="77">
        <v>155.38</v>
      </c>
      <c r="P224" s="77">
        <v>155.38</v>
      </c>
      <c r="Q224" s="77">
        <v>1432.5</v>
      </c>
      <c r="R224" s="77">
        <v>214.64</v>
      </c>
      <c r="S224" s="29"/>
      <c r="T224" s="26"/>
      <c r="U224" s="26"/>
      <c r="V224" s="26"/>
      <c r="W224" s="26"/>
      <c r="X224" s="26"/>
      <c r="Y224" s="26"/>
      <c r="Z224" s="26"/>
      <c r="AA224" s="26"/>
      <c r="AB224" s="28"/>
      <c r="AC224" s="26"/>
      <c r="AD224" s="26"/>
      <c r="AE224" s="26"/>
      <c r="AF224" s="26"/>
      <c r="AG224" s="27"/>
    </row>
    <row r="225" spans="1:33" x14ac:dyDescent="0.25">
      <c r="A225" s="26" t="s">
        <v>456</v>
      </c>
      <c r="B225" s="70" t="s">
        <v>205</v>
      </c>
      <c r="C225" s="70" t="s">
        <v>205</v>
      </c>
      <c r="D225" s="70" t="str">
        <f t="shared" si="1"/>
        <v>140</v>
      </c>
      <c r="E225" s="70">
        <v>8</v>
      </c>
      <c r="F225" s="78">
        <v>0.53</v>
      </c>
      <c r="G225" s="78">
        <v>40.590000000000003</v>
      </c>
      <c r="H225" s="70">
        <v>31.86</v>
      </c>
      <c r="I225" s="77">
        <v>1153.05</v>
      </c>
      <c r="J225" s="77">
        <v>1153.05</v>
      </c>
      <c r="K225" s="77">
        <v>164.72</v>
      </c>
      <c r="L225" s="77">
        <v>164.72</v>
      </c>
      <c r="M225" s="70">
        <v>5.33</v>
      </c>
      <c r="N225" s="70">
        <v>5.33</v>
      </c>
      <c r="O225" s="77">
        <v>198.19</v>
      </c>
      <c r="P225" s="77">
        <v>198.19</v>
      </c>
      <c r="Q225" s="77">
        <v>1813.95</v>
      </c>
      <c r="R225" s="77">
        <v>276.81</v>
      </c>
      <c r="S225" s="29"/>
      <c r="T225" s="26"/>
      <c r="U225" s="26"/>
      <c r="V225" s="26"/>
      <c r="W225" s="26"/>
      <c r="X225" s="26"/>
      <c r="Y225" s="26"/>
      <c r="Z225" s="26"/>
      <c r="AA225" s="26"/>
      <c r="AB225" s="28"/>
      <c r="AC225" s="26"/>
      <c r="AD225" s="26"/>
      <c r="AE225" s="26"/>
      <c r="AF225" s="26"/>
      <c r="AG225" s="27"/>
    </row>
    <row r="226" spans="1:33" x14ac:dyDescent="0.25">
      <c r="A226" s="26" t="s">
        <v>457</v>
      </c>
      <c r="B226" s="70" t="s">
        <v>205</v>
      </c>
      <c r="C226" s="70" t="s">
        <v>205</v>
      </c>
      <c r="D226" s="70" t="str">
        <f t="shared" si="1"/>
        <v>140</v>
      </c>
      <c r="E226" s="70">
        <v>10</v>
      </c>
      <c r="F226" s="78">
        <v>0.53</v>
      </c>
      <c r="G226" s="78">
        <v>49.42</v>
      </c>
      <c r="H226" s="70">
        <v>38.799999999999997</v>
      </c>
      <c r="I226" s="77">
        <v>1353.13</v>
      </c>
      <c r="J226" s="77">
        <v>1353.13</v>
      </c>
      <c r="K226" s="77">
        <v>193.3</v>
      </c>
      <c r="L226" s="77">
        <v>193.3</v>
      </c>
      <c r="M226" s="70">
        <v>5.23</v>
      </c>
      <c r="N226" s="70">
        <v>5.23</v>
      </c>
      <c r="O226" s="77">
        <v>236.73</v>
      </c>
      <c r="P226" s="77">
        <v>236.73</v>
      </c>
      <c r="Q226" s="77">
        <v>2147.06</v>
      </c>
      <c r="R226" s="77">
        <v>334.14</v>
      </c>
      <c r="S226" s="29"/>
      <c r="T226" s="26"/>
      <c r="U226" s="26"/>
      <c r="V226" s="26"/>
      <c r="W226" s="26"/>
      <c r="X226" s="26"/>
      <c r="Y226" s="26"/>
      <c r="Z226" s="26"/>
      <c r="AA226" s="26"/>
      <c r="AB226" s="28"/>
      <c r="AC226" s="26"/>
      <c r="AD226" s="26"/>
      <c r="AE226" s="26"/>
      <c r="AF226" s="26"/>
      <c r="AG226" s="27"/>
    </row>
    <row r="227" spans="1:33" x14ac:dyDescent="0.25">
      <c r="A227" s="26" t="s">
        <v>458</v>
      </c>
      <c r="B227" s="70" t="s">
        <v>205</v>
      </c>
      <c r="C227" s="70" t="s">
        <v>205</v>
      </c>
      <c r="D227" s="70" t="str">
        <f t="shared" si="1"/>
        <v>140</v>
      </c>
      <c r="E227" s="70">
        <v>12</v>
      </c>
      <c r="F227" s="78">
        <v>0.52</v>
      </c>
      <c r="G227" s="78">
        <v>57.73</v>
      </c>
      <c r="H227" s="70">
        <v>45.32</v>
      </c>
      <c r="I227" s="77">
        <v>1522.01</v>
      </c>
      <c r="J227" s="77">
        <v>1522.01</v>
      </c>
      <c r="K227" s="77">
        <v>217.43</v>
      </c>
      <c r="L227" s="77">
        <v>217.43</v>
      </c>
      <c r="M227" s="70">
        <v>5.13</v>
      </c>
      <c r="N227" s="70">
        <v>5.13</v>
      </c>
      <c r="O227" s="77">
        <v>271.13</v>
      </c>
      <c r="P227" s="77">
        <v>271.13</v>
      </c>
      <c r="Q227" s="77">
        <v>2431.84</v>
      </c>
      <c r="R227" s="77">
        <v>386.54</v>
      </c>
      <c r="S227" s="29"/>
      <c r="T227" s="26"/>
      <c r="U227" s="26"/>
      <c r="V227" s="26"/>
      <c r="W227" s="26"/>
      <c r="X227" s="26"/>
      <c r="Y227" s="26"/>
      <c r="Z227" s="26"/>
      <c r="AA227" s="26"/>
      <c r="AB227" s="28"/>
      <c r="AC227" s="26"/>
      <c r="AD227" s="26"/>
      <c r="AE227" s="26"/>
      <c r="AF227" s="26"/>
      <c r="AG227" s="27"/>
    </row>
    <row r="228" spans="1:33" x14ac:dyDescent="0.25">
      <c r="A228" s="26" t="s">
        <v>459</v>
      </c>
      <c r="B228" s="70" t="s">
        <v>205</v>
      </c>
      <c r="C228" s="70" t="s">
        <v>205</v>
      </c>
      <c r="D228" s="70" t="str">
        <f t="shared" si="1"/>
        <v>150</v>
      </c>
      <c r="E228" s="70">
        <v>4</v>
      </c>
      <c r="F228" s="78">
        <v>0.59</v>
      </c>
      <c r="G228" s="78">
        <v>22.95</v>
      </c>
      <c r="H228" s="70">
        <v>18.010000000000002</v>
      </c>
      <c r="I228" s="77">
        <v>807.39</v>
      </c>
      <c r="J228" s="77">
        <v>807.39</v>
      </c>
      <c r="K228" s="77">
        <v>107.65</v>
      </c>
      <c r="L228" s="77">
        <v>107.65</v>
      </c>
      <c r="M228" s="70">
        <v>5.93</v>
      </c>
      <c r="N228" s="70">
        <v>5.93</v>
      </c>
      <c r="O228" s="77">
        <v>124.88</v>
      </c>
      <c r="P228" s="77">
        <v>124.88</v>
      </c>
      <c r="Q228" s="77">
        <v>1241.25</v>
      </c>
      <c r="R228" s="77">
        <v>170.28</v>
      </c>
      <c r="S228" s="29"/>
      <c r="T228" s="26"/>
      <c r="U228" s="26"/>
      <c r="V228" s="26"/>
      <c r="W228" s="26"/>
      <c r="X228" s="26"/>
      <c r="Y228" s="26"/>
      <c r="Z228" s="26"/>
      <c r="AA228" s="26"/>
      <c r="AB228" s="28"/>
      <c r="AC228" s="26"/>
      <c r="AD228" s="26"/>
      <c r="AE228" s="26"/>
      <c r="AF228" s="26"/>
      <c r="AG228" s="27"/>
    </row>
    <row r="229" spans="1:33" x14ac:dyDescent="0.25">
      <c r="A229" s="26" t="s">
        <v>460</v>
      </c>
      <c r="B229" s="70" t="s">
        <v>205</v>
      </c>
      <c r="C229" s="70" t="s">
        <v>205</v>
      </c>
      <c r="D229" s="70" t="str">
        <f t="shared" si="1"/>
        <v>150</v>
      </c>
      <c r="E229" s="70">
        <v>5</v>
      </c>
      <c r="F229" s="78">
        <v>0.57999999999999996</v>
      </c>
      <c r="G229" s="78">
        <v>28.36</v>
      </c>
      <c r="H229" s="70">
        <v>22.26</v>
      </c>
      <c r="I229" s="77">
        <v>981.52</v>
      </c>
      <c r="J229" s="77">
        <v>981.52</v>
      </c>
      <c r="K229" s="77">
        <v>130.87</v>
      </c>
      <c r="L229" s="77">
        <v>130.87</v>
      </c>
      <c r="M229" s="70">
        <v>5.88</v>
      </c>
      <c r="N229" s="70">
        <v>5.88</v>
      </c>
      <c r="O229" s="77">
        <v>153.01</v>
      </c>
      <c r="P229" s="77">
        <v>153.01</v>
      </c>
      <c r="Q229" s="77">
        <v>1517.32</v>
      </c>
      <c r="R229" s="77">
        <v>209.77</v>
      </c>
      <c r="S229" s="29"/>
      <c r="T229" s="26"/>
      <c r="U229" s="26"/>
      <c r="V229" s="26"/>
      <c r="W229" s="26"/>
      <c r="X229" s="26"/>
      <c r="Y229" s="26"/>
      <c r="Z229" s="26"/>
      <c r="AA229" s="26"/>
      <c r="AB229" s="28"/>
      <c r="AC229" s="26"/>
      <c r="AD229" s="26"/>
      <c r="AE229" s="26"/>
      <c r="AF229" s="26"/>
      <c r="AG229" s="27"/>
    </row>
    <row r="230" spans="1:33" x14ac:dyDescent="0.25">
      <c r="A230" s="26" t="s">
        <v>461</v>
      </c>
      <c r="B230" s="70" t="s">
        <v>205</v>
      </c>
      <c r="C230" s="70" t="s">
        <v>205</v>
      </c>
      <c r="D230" s="70" t="str">
        <f t="shared" si="1"/>
        <v>150</v>
      </c>
      <c r="E230" s="70">
        <v>6</v>
      </c>
      <c r="F230" s="78">
        <v>0.57999999999999996</v>
      </c>
      <c r="G230" s="78">
        <v>33.630000000000003</v>
      </c>
      <c r="H230" s="70">
        <v>26.4</v>
      </c>
      <c r="I230" s="77">
        <v>1145.1199999999999</v>
      </c>
      <c r="J230" s="77">
        <v>1145.1199999999999</v>
      </c>
      <c r="K230" s="77">
        <v>152.68</v>
      </c>
      <c r="L230" s="77">
        <v>152.68</v>
      </c>
      <c r="M230" s="70">
        <v>5.84</v>
      </c>
      <c r="N230" s="70">
        <v>5.84</v>
      </c>
      <c r="O230" s="77">
        <v>179.94</v>
      </c>
      <c r="P230" s="77">
        <v>179.94</v>
      </c>
      <c r="Q230" s="77">
        <v>1779.59</v>
      </c>
      <c r="R230" s="77">
        <v>248</v>
      </c>
      <c r="S230" s="29"/>
      <c r="T230" s="26"/>
      <c r="U230" s="26"/>
      <c r="V230" s="26"/>
      <c r="W230" s="26"/>
      <c r="X230" s="26"/>
      <c r="Y230" s="26"/>
      <c r="Z230" s="26"/>
      <c r="AA230" s="26"/>
      <c r="AB230" s="28"/>
      <c r="AC230" s="26"/>
      <c r="AD230" s="26"/>
      <c r="AE230" s="26"/>
      <c r="AF230" s="26"/>
      <c r="AG230" s="27"/>
    </row>
    <row r="231" spans="1:33" x14ac:dyDescent="0.25">
      <c r="A231" s="26" t="s">
        <v>462</v>
      </c>
      <c r="B231" s="70" t="s">
        <v>205</v>
      </c>
      <c r="C231" s="70" t="s">
        <v>205</v>
      </c>
      <c r="D231" s="70" t="str">
        <f t="shared" si="1"/>
        <v>150</v>
      </c>
      <c r="E231" s="70">
        <v>8</v>
      </c>
      <c r="F231" s="78">
        <v>0.56999999999999995</v>
      </c>
      <c r="G231" s="78">
        <v>43.79</v>
      </c>
      <c r="H231" s="70">
        <v>34.380000000000003</v>
      </c>
      <c r="I231" s="77">
        <v>1441.91</v>
      </c>
      <c r="J231" s="77">
        <v>1441.91</v>
      </c>
      <c r="K231" s="77">
        <v>192.26</v>
      </c>
      <c r="L231" s="77">
        <v>192.26</v>
      </c>
      <c r="M231" s="70">
        <v>5.74</v>
      </c>
      <c r="N231" s="70">
        <v>5.74</v>
      </c>
      <c r="O231" s="77">
        <v>230.24</v>
      </c>
      <c r="P231" s="77">
        <v>230.24</v>
      </c>
      <c r="Q231" s="77">
        <v>2262.62</v>
      </c>
      <c r="R231" s="77">
        <v>320.64999999999998</v>
      </c>
      <c r="S231" s="29"/>
      <c r="T231" s="26"/>
      <c r="U231" s="26"/>
      <c r="V231" s="26"/>
      <c r="W231" s="26"/>
      <c r="X231" s="26"/>
      <c r="Y231" s="26"/>
      <c r="Z231" s="26"/>
      <c r="AA231" s="26"/>
      <c r="AB231" s="28"/>
      <c r="AC231" s="26"/>
      <c r="AD231" s="26"/>
      <c r="AE231" s="26"/>
      <c r="AF231" s="26"/>
      <c r="AG231" s="27"/>
    </row>
    <row r="232" spans="1:33" x14ac:dyDescent="0.25">
      <c r="A232" s="26" t="s">
        <v>463</v>
      </c>
      <c r="B232" s="70" t="s">
        <v>205</v>
      </c>
      <c r="C232" s="70" t="s">
        <v>205</v>
      </c>
      <c r="D232" s="70" t="str">
        <f t="shared" si="1"/>
        <v>150</v>
      </c>
      <c r="E232" s="70">
        <v>10</v>
      </c>
      <c r="F232" s="78">
        <v>0.56999999999999995</v>
      </c>
      <c r="G232" s="78">
        <v>53.42</v>
      </c>
      <c r="H232" s="70">
        <v>41.94</v>
      </c>
      <c r="I232" s="77">
        <v>1699.97</v>
      </c>
      <c r="J232" s="77">
        <v>1699.97</v>
      </c>
      <c r="K232" s="77">
        <v>226.66</v>
      </c>
      <c r="L232" s="77">
        <v>226.66</v>
      </c>
      <c r="M232" s="70">
        <v>5.64</v>
      </c>
      <c r="N232" s="70">
        <v>5.64</v>
      </c>
      <c r="O232" s="77">
        <v>275.94</v>
      </c>
      <c r="P232" s="77">
        <v>275.94</v>
      </c>
      <c r="Q232" s="77">
        <v>2690.17</v>
      </c>
      <c r="R232" s="77">
        <v>388.14</v>
      </c>
      <c r="S232" s="29"/>
      <c r="T232" s="26"/>
      <c r="U232" s="26"/>
      <c r="V232" s="26"/>
      <c r="W232" s="26"/>
      <c r="X232" s="26"/>
      <c r="Y232" s="26"/>
      <c r="Z232" s="26"/>
      <c r="AA232" s="26"/>
      <c r="AB232" s="28"/>
      <c r="AC232" s="26"/>
      <c r="AD232" s="26"/>
      <c r="AE232" s="26"/>
      <c r="AF232" s="26"/>
      <c r="AG232" s="27"/>
    </row>
    <row r="233" spans="1:33" x14ac:dyDescent="0.25">
      <c r="A233" s="26" t="s">
        <v>464</v>
      </c>
      <c r="B233" s="70" t="s">
        <v>205</v>
      </c>
      <c r="C233" s="70" t="s">
        <v>205</v>
      </c>
      <c r="D233" s="70" t="str">
        <f t="shared" si="1"/>
        <v>150</v>
      </c>
      <c r="E233" s="70">
        <v>12</v>
      </c>
      <c r="F233" s="78">
        <v>0.56000000000000005</v>
      </c>
      <c r="G233" s="78">
        <v>62.53</v>
      </c>
      <c r="H233" s="70">
        <v>49.09</v>
      </c>
      <c r="I233" s="77">
        <v>1921.46</v>
      </c>
      <c r="J233" s="77">
        <v>1921.46</v>
      </c>
      <c r="K233" s="77">
        <v>256.2</v>
      </c>
      <c r="L233" s="77">
        <v>256.2</v>
      </c>
      <c r="M233" s="70">
        <v>5.54</v>
      </c>
      <c r="N233" s="70">
        <v>5.54</v>
      </c>
      <c r="O233" s="77">
        <v>317.16000000000003</v>
      </c>
      <c r="P233" s="77">
        <v>317.16000000000003</v>
      </c>
      <c r="Q233" s="77">
        <v>3062.22</v>
      </c>
      <c r="R233" s="77">
        <v>450.38</v>
      </c>
      <c r="S233" s="29"/>
      <c r="T233" s="26"/>
      <c r="U233" s="26"/>
      <c r="V233" s="26"/>
      <c r="W233" s="26"/>
      <c r="X233" s="26"/>
      <c r="Y233" s="26"/>
      <c r="Z233" s="26"/>
      <c r="AA233" s="26"/>
      <c r="AB233" s="28"/>
      <c r="AC233" s="26"/>
      <c r="AD233" s="26"/>
      <c r="AE233" s="26"/>
      <c r="AF233" s="26"/>
      <c r="AG233" s="27"/>
    </row>
    <row r="234" spans="1:33" x14ac:dyDescent="0.25">
      <c r="A234" s="26" t="s">
        <v>465</v>
      </c>
      <c r="B234" s="70" t="s">
        <v>205</v>
      </c>
      <c r="C234" s="70" t="s">
        <v>205</v>
      </c>
      <c r="D234" s="70" t="str">
        <f t="shared" si="1"/>
        <v>180</v>
      </c>
      <c r="E234" s="70">
        <v>5</v>
      </c>
      <c r="F234" s="78">
        <v>0.7</v>
      </c>
      <c r="G234" s="78">
        <v>34.36</v>
      </c>
      <c r="H234" s="70">
        <v>26.97</v>
      </c>
      <c r="I234" s="77">
        <v>1735.93</v>
      </c>
      <c r="J234" s="77">
        <v>1735.93</v>
      </c>
      <c r="K234" s="77">
        <v>192.88</v>
      </c>
      <c r="L234" s="77">
        <v>192.88</v>
      </c>
      <c r="M234" s="70">
        <v>7.11</v>
      </c>
      <c r="N234" s="70">
        <v>7.11</v>
      </c>
      <c r="O234" s="77">
        <v>224.04</v>
      </c>
      <c r="P234" s="77">
        <v>224.04</v>
      </c>
      <c r="Q234" s="77">
        <v>2671.24</v>
      </c>
      <c r="R234" s="77">
        <v>305.77</v>
      </c>
      <c r="S234" s="29"/>
      <c r="T234" s="26"/>
      <c r="U234" s="26"/>
      <c r="V234" s="26"/>
      <c r="W234" s="26"/>
      <c r="X234" s="26"/>
      <c r="Y234" s="26"/>
      <c r="Z234" s="26"/>
      <c r="AA234" s="26"/>
      <c r="AB234" s="28"/>
      <c r="AC234" s="26"/>
      <c r="AD234" s="26"/>
      <c r="AE234" s="26"/>
      <c r="AF234" s="26"/>
      <c r="AG234" s="27"/>
    </row>
    <row r="235" spans="1:33" x14ac:dyDescent="0.25">
      <c r="A235" s="26" t="s">
        <v>466</v>
      </c>
      <c r="B235" s="70" t="s">
        <v>205</v>
      </c>
      <c r="C235" s="70" t="s">
        <v>205</v>
      </c>
      <c r="D235" s="70" t="str">
        <f t="shared" si="1"/>
        <v>180</v>
      </c>
      <c r="E235" s="70">
        <v>6</v>
      </c>
      <c r="F235" s="78">
        <v>0.7</v>
      </c>
      <c r="G235" s="78">
        <v>40.83</v>
      </c>
      <c r="H235" s="70">
        <v>32.049999999999997</v>
      </c>
      <c r="I235" s="77">
        <v>2035.27</v>
      </c>
      <c r="J235" s="77">
        <v>2035.27</v>
      </c>
      <c r="K235" s="77">
        <v>226.14</v>
      </c>
      <c r="L235" s="77">
        <v>226.14</v>
      </c>
      <c r="M235" s="70">
        <v>7.06</v>
      </c>
      <c r="N235" s="70">
        <v>7.06</v>
      </c>
      <c r="O235" s="77">
        <v>264.39999999999998</v>
      </c>
      <c r="P235" s="77">
        <v>264.39999999999998</v>
      </c>
      <c r="Q235" s="77">
        <v>3146.31</v>
      </c>
      <c r="R235" s="77">
        <v>362.48</v>
      </c>
      <c r="S235" s="29"/>
      <c r="T235" s="26"/>
      <c r="U235" s="26"/>
      <c r="V235" s="26"/>
      <c r="W235" s="26"/>
      <c r="X235" s="26"/>
      <c r="Y235" s="26"/>
      <c r="Z235" s="26"/>
      <c r="AA235" s="26"/>
      <c r="AB235" s="28"/>
      <c r="AC235" s="26"/>
      <c r="AD235" s="26"/>
      <c r="AE235" s="26"/>
      <c r="AF235" s="26"/>
      <c r="AG235" s="27"/>
    </row>
    <row r="236" spans="1:33" x14ac:dyDescent="0.25">
      <c r="A236" s="26" t="s">
        <v>467</v>
      </c>
      <c r="B236" s="70" t="s">
        <v>205</v>
      </c>
      <c r="C236" s="70" t="s">
        <v>205</v>
      </c>
      <c r="D236" s="70" t="str">
        <f t="shared" si="1"/>
        <v>180</v>
      </c>
      <c r="E236" s="72">
        <v>8</v>
      </c>
      <c r="F236" s="78">
        <v>0.69</v>
      </c>
      <c r="G236" s="78">
        <v>53.39</v>
      </c>
      <c r="H236" s="70">
        <v>41.91</v>
      </c>
      <c r="I236" s="77">
        <v>2588.88</v>
      </c>
      <c r="J236" s="77">
        <v>2588.88</v>
      </c>
      <c r="K236" s="77">
        <v>287.64999999999998</v>
      </c>
      <c r="L236" s="77">
        <v>287.64999999999998</v>
      </c>
      <c r="M236" s="70">
        <v>6.96</v>
      </c>
      <c r="N236" s="70">
        <v>6.96</v>
      </c>
      <c r="O236" s="77">
        <v>340.81</v>
      </c>
      <c r="P236" s="77">
        <v>340.81</v>
      </c>
      <c r="Q236" s="77">
        <v>4036.8</v>
      </c>
      <c r="R236" s="77">
        <v>471.37</v>
      </c>
      <c r="S236" s="29"/>
      <c r="T236" s="26"/>
      <c r="U236" s="26"/>
      <c r="V236" s="26"/>
      <c r="W236" s="26"/>
      <c r="X236" s="26"/>
      <c r="Y236" s="26"/>
      <c r="Z236" s="26"/>
      <c r="AA236" s="26"/>
      <c r="AB236" s="28"/>
      <c r="AC236" s="26"/>
      <c r="AD236" s="26"/>
      <c r="AE236" s="26"/>
      <c r="AF236" s="26"/>
      <c r="AG236" s="27"/>
    </row>
    <row r="237" spans="1:33" x14ac:dyDescent="0.25">
      <c r="A237" s="26" t="s">
        <v>468</v>
      </c>
      <c r="B237" s="70" t="s">
        <v>205</v>
      </c>
      <c r="C237" s="70" t="s">
        <v>205</v>
      </c>
      <c r="D237" s="70" t="str">
        <f t="shared" si="1"/>
        <v>180</v>
      </c>
      <c r="E237" s="70">
        <v>10</v>
      </c>
      <c r="F237" s="78">
        <v>0.69</v>
      </c>
      <c r="G237" s="78">
        <v>65.42</v>
      </c>
      <c r="H237" s="70">
        <v>51.36</v>
      </c>
      <c r="I237" s="77">
        <v>3084.59</v>
      </c>
      <c r="J237" s="77">
        <v>3084.59</v>
      </c>
      <c r="K237" s="77">
        <v>342.73</v>
      </c>
      <c r="L237" s="77">
        <v>342.73</v>
      </c>
      <c r="M237" s="70">
        <v>6.87</v>
      </c>
      <c r="N237" s="70">
        <v>6.87</v>
      </c>
      <c r="O237" s="77">
        <v>411.57</v>
      </c>
      <c r="P237" s="77">
        <v>411.57</v>
      </c>
      <c r="Q237" s="77">
        <v>4847.53</v>
      </c>
      <c r="R237" s="77">
        <v>574.14</v>
      </c>
      <c r="S237" s="29"/>
      <c r="T237" s="26"/>
      <c r="U237" s="26"/>
      <c r="V237" s="26"/>
      <c r="W237" s="26"/>
      <c r="X237" s="26"/>
      <c r="Y237" s="26"/>
      <c r="Z237" s="26"/>
      <c r="AA237" s="26"/>
      <c r="AB237" s="28"/>
      <c r="AC237" s="26"/>
      <c r="AD237" s="26"/>
      <c r="AE237" s="26"/>
      <c r="AF237" s="26"/>
      <c r="AG237" s="27"/>
    </row>
    <row r="238" spans="1:33" x14ac:dyDescent="0.25">
      <c r="A238" s="26" t="s">
        <v>469</v>
      </c>
      <c r="B238" s="70" t="s">
        <v>205</v>
      </c>
      <c r="C238" s="70" t="s">
        <v>205</v>
      </c>
      <c r="D238" s="70" t="str">
        <f t="shared" si="1"/>
        <v>180</v>
      </c>
      <c r="E238" s="70">
        <v>12</v>
      </c>
      <c r="F238" s="78">
        <v>0.68</v>
      </c>
      <c r="G238" s="78">
        <v>76.930000000000007</v>
      </c>
      <c r="H238" s="70">
        <v>60.39</v>
      </c>
      <c r="I238" s="77">
        <v>3525.06</v>
      </c>
      <c r="J238" s="77">
        <v>3525.06</v>
      </c>
      <c r="K238" s="77">
        <v>391.67</v>
      </c>
      <c r="L238" s="77">
        <v>391.67</v>
      </c>
      <c r="M238" s="70">
        <v>6.77</v>
      </c>
      <c r="N238" s="70">
        <v>6.77</v>
      </c>
      <c r="O238" s="77">
        <v>476.82</v>
      </c>
      <c r="P238" s="77">
        <v>476.82</v>
      </c>
      <c r="Q238" s="77">
        <v>5578.34</v>
      </c>
      <c r="R238" s="77">
        <v>670.7</v>
      </c>
      <c r="S238" s="29"/>
      <c r="T238" s="26"/>
      <c r="U238" s="26"/>
      <c r="V238" s="26"/>
      <c r="W238" s="26"/>
      <c r="X238" s="26"/>
      <c r="Y238" s="26"/>
      <c r="Z238" s="26"/>
      <c r="AA238" s="26"/>
      <c r="AB238" s="28"/>
      <c r="AC238" s="26"/>
      <c r="AD238" s="26"/>
      <c r="AE238" s="26"/>
      <c r="AF238" s="26"/>
      <c r="AG238" s="27"/>
    </row>
    <row r="239" spans="1:33" x14ac:dyDescent="0.25">
      <c r="A239" s="26" t="s">
        <v>470</v>
      </c>
      <c r="B239" s="70" t="s">
        <v>205</v>
      </c>
      <c r="C239" s="70" t="s">
        <v>205</v>
      </c>
      <c r="D239" s="70" t="str">
        <f t="shared" si="1"/>
        <v>200</v>
      </c>
      <c r="E239" s="70">
        <v>5</v>
      </c>
      <c r="F239" s="78">
        <v>0.78</v>
      </c>
      <c r="G239" s="78">
        <v>38.36</v>
      </c>
      <c r="H239" s="70">
        <v>30.11</v>
      </c>
      <c r="I239" s="77">
        <v>2408.88</v>
      </c>
      <c r="J239" s="77">
        <v>2408.88</v>
      </c>
      <c r="K239" s="77">
        <v>240.89</v>
      </c>
      <c r="L239" s="77">
        <v>240.89</v>
      </c>
      <c r="M239" s="70">
        <v>7.92</v>
      </c>
      <c r="N239" s="70">
        <v>7.92</v>
      </c>
      <c r="O239" s="77">
        <v>278.89999999999998</v>
      </c>
      <c r="P239" s="77">
        <v>278.89999999999998</v>
      </c>
      <c r="Q239" s="77">
        <v>3698.02</v>
      </c>
      <c r="R239" s="77">
        <v>379.77</v>
      </c>
      <c r="S239" s="29"/>
      <c r="T239" s="26"/>
      <c r="U239" s="26"/>
      <c r="V239" s="26"/>
      <c r="W239" s="26"/>
      <c r="X239" s="26"/>
      <c r="Y239" s="26"/>
      <c r="Z239" s="26"/>
      <c r="AA239" s="26"/>
      <c r="AB239" s="28"/>
      <c r="AC239" s="26"/>
      <c r="AD239" s="26"/>
      <c r="AE239" s="26"/>
      <c r="AF239" s="26"/>
      <c r="AG239" s="27"/>
    </row>
    <row r="240" spans="1:33" x14ac:dyDescent="0.25">
      <c r="A240" s="26" t="s">
        <v>471</v>
      </c>
      <c r="B240" s="70" t="s">
        <v>205</v>
      </c>
      <c r="C240" s="70" t="s">
        <v>205</v>
      </c>
      <c r="D240" s="70" t="str">
        <f t="shared" si="1"/>
        <v>200</v>
      </c>
      <c r="E240" s="70">
        <v>6</v>
      </c>
      <c r="F240" s="78">
        <v>0.78</v>
      </c>
      <c r="G240" s="78">
        <v>45.63</v>
      </c>
      <c r="H240" s="70">
        <v>35.82</v>
      </c>
      <c r="I240" s="77">
        <v>2831.13</v>
      </c>
      <c r="J240" s="77">
        <v>2831.13</v>
      </c>
      <c r="K240" s="77">
        <v>283.11</v>
      </c>
      <c r="L240" s="77">
        <v>283.11</v>
      </c>
      <c r="M240" s="70">
        <v>7.88</v>
      </c>
      <c r="N240" s="70">
        <v>7.88</v>
      </c>
      <c r="O240" s="77">
        <v>329.71</v>
      </c>
      <c r="P240" s="77">
        <v>329.71</v>
      </c>
      <c r="Q240" s="77">
        <v>4364.6499999999996</v>
      </c>
      <c r="R240" s="77">
        <v>450.8</v>
      </c>
      <c r="S240" s="29"/>
      <c r="T240" s="26"/>
      <c r="U240" s="26"/>
      <c r="V240" s="26"/>
      <c r="W240" s="26"/>
      <c r="X240" s="26"/>
      <c r="Y240" s="26"/>
      <c r="Z240" s="26"/>
      <c r="AA240" s="26"/>
      <c r="AB240" s="28"/>
      <c r="AC240" s="26"/>
      <c r="AD240" s="26"/>
      <c r="AE240" s="26"/>
      <c r="AF240" s="26"/>
      <c r="AG240" s="27"/>
    </row>
    <row r="241" spans="1:33" x14ac:dyDescent="0.25">
      <c r="A241" s="26" t="s">
        <v>472</v>
      </c>
      <c r="B241" s="70" t="s">
        <v>205</v>
      </c>
      <c r="C241" s="70" t="s">
        <v>205</v>
      </c>
      <c r="D241" s="70" t="str">
        <f t="shared" si="1"/>
        <v>200</v>
      </c>
      <c r="E241" s="70">
        <v>8</v>
      </c>
      <c r="F241" s="78">
        <v>0.77</v>
      </c>
      <c r="G241" s="78">
        <v>59.79</v>
      </c>
      <c r="H241" s="70">
        <v>46.94</v>
      </c>
      <c r="I241" s="77">
        <v>3619.16</v>
      </c>
      <c r="J241" s="77">
        <v>3619.16</v>
      </c>
      <c r="K241" s="77">
        <v>361.92</v>
      </c>
      <c r="L241" s="77">
        <v>361.92</v>
      </c>
      <c r="M241" s="70">
        <v>7.78</v>
      </c>
      <c r="N241" s="70">
        <v>7.78</v>
      </c>
      <c r="O241" s="77">
        <v>426.52</v>
      </c>
      <c r="P241" s="77">
        <v>426.52</v>
      </c>
      <c r="Q241" s="77">
        <v>5624.39</v>
      </c>
      <c r="R241" s="77">
        <v>587.85</v>
      </c>
      <c r="S241" s="29"/>
      <c r="T241" s="26"/>
      <c r="U241" s="26"/>
      <c r="V241" s="26"/>
      <c r="W241" s="26"/>
      <c r="X241" s="26"/>
      <c r="Y241" s="26"/>
      <c r="Z241" s="26"/>
      <c r="AA241" s="26"/>
      <c r="AB241" s="28"/>
      <c r="AC241" s="26"/>
      <c r="AD241" s="26"/>
      <c r="AE241" s="26"/>
      <c r="AF241" s="26"/>
      <c r="AG241" s="27"/>
    </row>
    <row r="242" spans="1:33" x14ac:dyDescent="0.25">
      <c r="A242" s="26" t="s">
        <v>473</v>
      </c>
      <c r="B242" s="70" t="s">
        <v>205</v>
      </c>
      <c r="C242" s="70" t="s">
        <v>205</v>
      </c>
      <c r="D242" s="70" t="str">
        <f t="shared" si="1"/>
        <v>200</v>
      </c>
      <c r="E242" s="70">
        <v>10</v>
      </c>
      <c r="F242" s="78">
        <v>0.77</v>
      </c>
      <c r="G242" s="78">
        <v>73.42</v>
      </c>
      <c r="H242" s="70">
        <v>57.64</v>
      </c>
      <c r="I242" s="77">
        <v>4334.41</v>
      </c>
      <c r="J242" s="77">
        <v>4334.41</v>
      </c>
      <c r="K242" s="77">
        <v>433.44</v>
      </c>
      <c r="L242" s="77">
        <v>433.44</v>
      </c>
      <c r="M242" s="70">
        <v>7.68</v>
      </c>
      <c r="N242" s="70">
        <v>7.68</v>
      </c>
      <c r="O242" s="77">
        <v>516.99</v>
      </c>
      <c r="P242" s="77">
        <v>516.99</v>
      </c>
      <c r="Q242" s="77">
        <v>6785.78</v>
      </c>
      <c r="R242" s="77">
        <v>718.14</v>
      </c>
      <c r="S242" s="29"/>
      <c r="T242" s="26"/>
      <c r="U242" s="26"/>
      <c r="V242" s="26"/>
      <c r="W242" s="26"/>
      <c r="X242" s="26"/>
      <c r="Y242" s="26"/>
      <c r="Z242" s="26"/>
      <c r="AA242" s="26"/>
      <c r="AB242" s="28"/>
      <c r="AC242" s="26"/>
      <c r="AD242" s="26"/>
      <c r="AE242" s="26"/>
      <c r="AF242" s="26"/>
      <c r="AG242" s="27"/>
    </row>
    <row r="243" spans="1:33" x14ac:dyDescent="0.25">
      <c r="A243" s="26" t="s">
        <v>474</v>
      </c>
      <c r="B243" s="70" t="s">
        <v>205</v>
      </c>
      <c r="C243" s="70" t="s">
        <v>205</v>
      </c>
      <c r="D243" s="70" t="str">
        <f t="shared" si="1"/>
        <v>200</v>
      </c>
      <c r="E243" s="70">
        <v>12</v>
      </c>
      <c r="F243" s="78">
        <v>0.76</v>
      </c>
      <c r="G243" s="78">
        <v>86.53</v>
      </c>
      <c r="H243" s="70">
        <v>67.930000000000007</v>
      </c>
      <c r="I243" s="77">
        <v>4979.83</v>
      </c>
      <c r="J243" s="77">
        <v>4979.83</v>
      </c>
      <c r="K243" s="77">
        <v>497.98</v>
      </c>
      <c r="L243" s="77">
        <v>497.98</v>
      </c>
      <c r="M243" s="70">
        <v>7.59</v>
      </c>
      <c r="N243" s="70">
        <v>7.59</v>
      </c>
      <c r="O243" s="77">
        <v>601.27</v>
      </c>
      <c r="P243" s="77">
        <v>601.27</v>
      </c>
      <c r="Q243" s="77">
        <v>7848.57</v>
      </c>
      <c r="R243" s="77">
        <v>841.58</v>
      </c>
      <c r="S243" s="29"/>
      <c r="T243" s="26"/>
      <c r="U243" s="26"/>
      <c r="V243" s="26"/>
      <c r="W243" s="26"/>
      <c r="X243" s="26"/>
      <c r="Y243" s="26"/>
      <c r="Z243" s="26"/>
      <c r="AA243" s="26"/>
      <c r="AB243" s="28"/>
      <c r="AC243" s="26"/>
      <c r="AD243" s="26"/>
      <c r="AE243" s="26"/>
      <c r="AF243" s="26"/>
      <c r="AG243" s="27"/>
    </row>
    <row r="244" spans="1:33" x14ac:dyDescent="0.25">
      <c r="A244" s="26" t="s">
        <v>475</v>
      </c>
      <c r="B244" s="70" t="s">
        <v>205</v>
      </c>
      <c r="C244" s="70" t="s">
        <v>205</v>
      </c>
      <c r="D244" s="70" t="str">
        <f t="shared" si="1"/>
        <v>250</v>
      </c>
      <c r="E244" s="70">
        <v>6</v>
      </c>
      <c r="F244" s="78">
        <v>0.98</v>
      </c>
      <c r="G244" s="78">
        <v>57.63</v>
      </c>
      <c r="H244" s="70">
        <v>45.24</v>
      </c>
      <c r="I244" s="77">
        <v>5669.3</v>
      </c>
      <c r="J244" s="77">
        <v>5669.3</v>
      </c>
      <c r="K244" s="77">
        <v>453.5</v>
      </c>
      <c r="L244" s="77">
        <v>453.5</v>
      </c>
      <c r="M244" s="70">
        <v>9.92</v>
      </c>
      <c r="N244" s="70">
        <v>9.92</v>
      </c>
      <c r="O244" s="77">
        <v>524.5</v>
      </c>
      <c r="P244" s="77">
        <v>524.5</v>
      </c>
      <c r="Q244" s="77">
        <v>8695.7000000000007</v>
      </c>
      <c r="R244" s="77">
        <v>713.6</v>
      </c>
      <c r="S244" s="29"/>
      <c r="T244" s="26"/>
      <c r="U244" s="26"/>
      <c r="V244" s="26"/>
      <c r="W244" s="26"/>
      <c r="X244" s="26"/>
      <c r="Y244" s="26"/>
      <c r="Z244" s="26"/>
      <c r="AA244" s="26"/>
      <c r="AB244" s="28"/>
      <c r="AC244" s="26"/>
      <c r="AD244" s="26"/>
      <c r="AE244" s="26"/>
      <c r="AF244" s="26"/>
      <c r="AG244" s="27"/>
    </row>
    <row r="245" spans="1:33" x14ac:dyDescent="0.25">
      <c r="A245" s="26" t="s">
        <v>476</v>
      </c>
      <c r="B245" s="70" t="s">
        <v>205</v>
      </c>
      <c r="C245" s="70" t="s">
        <v>205</v>
      </c>
      <c r="D245" s="70" t="str">
        <f t="shared" si="1"/>
        <v>250</v>
      </c>
      <c r="E245" s="70">
        <v>8</v>
      </c>
      <c r="F245" s="78">
        <v>0.97</v>
      </c>
      <c r="G245" s="78">
        <v>75.790000000000006</v>
      </c>
      <c r="H245" s="70">
        <v>59.5</v>
      </c>
      <c r="I245" s="77">
        <v>7311.3</v>
      </c>
      <c r="J245" s="77">
        <v>7311.3</v>
      </c>
      <c r="K245" s="77">
        <v>584.9</v>
      </c>
      <c r="L245" s="77">
        <v>584.9</v>
      </c>
      <c r="M245" s="70">
        <v>9.82</v>
      </c>
      <c r="N245" s="70">
        <v>9.82</v>
      </c>
      <c r="O245" s="77">
        <v>682.8</v>
      </c>
      <c r="P245" s="77">
        <v>682.8</v>
      </c>
      <c r="Q245" s="77">
        <v>11290.2</v>
      </c>
      <c r="R245" s="77">
        <v>935</v>
      </c>
      <c r="S245" s="29"/>
      <c r="T245" s="26"/>
      <c r="U245" s="26"/>
      <c r="V245" s="26"/>
      <c r="W245" s="26"/>
      <c r="X245" s="26"/>
      <c r="Y245" s="26"/>
      <c r="Z245" s="26"/>
      <c r="AA245" s="26"/>
      <c r="AB245" s="28"/>
      <c r="AC245" s="26"/>
      <c r="AD245" s="26"/>
      <c r="AE245" s="26"/>
      <c r="AF245" s="26"/>
      <c r="AG245" s="27"/>
    </row>
    <row r="246" spans="1:33" x14ac:dyDescent="0.25">
      <c r="A246" s="26" t="s">
        <v>477</v>
      </c>
      <c r="B246" s="70" t="s">
        <v>205</v>
      </c>
      <c r="C246" s="70" t="s">
        <v>205</v>
      </c>
      <c r="D246" s="70" t="str">
        <f t="shared" si="1"/>
        <v>250</v>
      </c>
      <c r="E246" s="70">
        <v>10</v>
      </c>
      <c r="F246" s="78">
        <v>0.97</v>
      </c>
      <c r="G246" s="78">
        <v>93.42</v>
      </c>
      <c r="H246" s="70">
        <v>73.34</v>
      </c>
      <c r="I246" s="77">
        <v>8835.7999999999993</v>
      </c>
      <c r="J246" s="77">
        <v>8835.7999999999993</v>
      </c>
      <c r="K246" s="77">
        <v>706.9</v>
      </c>
      <c r="L246" s="77">
        <v>706.9</v>
      </c>
      <c r="M246" s="70">
        <v>9.73</v>
      </c>
      <c r="N246" s="70">
        <v>9.73</v>
      </c>
      <c r="O246" s="77">
        <v>833</v>
      </c>
      <c r="P246" s="77">
        <v>833</v>
      </c>
      <c r="Q246" s="77">
        <v>13731.4</v>
      </c>
      <c r="R246" s="77">
        <v>1148.0999999999999</v>
      </c>
      <c r="S246" s="29"/>
      <c r="T246" s="26"/>
      <c r="U246" s="26"/>
      <c r="V246" s="26"/>
      <c r="W246" s="26"/>
      <c r="X246" s="26"/>
      <c r="Y246" s="26"/>
      <c r="Z246" s="26"/>
      <c r="AA246" s="26"/>
      <c r="AB246" s="28"/>
      <c r="AC246" s="26"/>
      <c r="AD246" s="26"/>
      <c r="AE246" s="26"/>
      <c r="AF246" s="26"/>
      <c r="AG246" s="27"/>
    </row>
    <row r="247" spans="1:33" x14ac:dyDescent="0.25">
      <c r="A247" s="26" t="s">
        <v>478</v>
      </c>
      <c r="B247" s="70" t="s">
        <v>205</v>
      </c>
      <c r="C247" s="70" t="s">
        <v>205</v>
      </c>
      <c r="D247" s="70" t="str">
        <f t="shared" si="1"/>
        <v>250</v>
      </c>
      <c r="E247" s="70">
        <v>12</v>
      </c>
      <c r="F247" s="78">
        <v>0.96</v>
      </c>
      <c r="G247" s="78">
        <v>110.53</v>
      </c>
      <c r="H247" s="70">
        <v>86.77</v>
      </c>
      <c r="I247" s="77">
        <v>10246.700000000001</v>
      </c>
      <c r="J247" s="77">
        <v>10246.700000000001</v>
      </c>
      <c r="K247" s="77">
        <v>819.7</v>
      </c>
      <c r="L247" s="77">
        <v>819.7</v>
      </c>
      <c r="M247" s="70">
        <v>9.6300000000000008</v>
      </c>
      <c r="N247" s="70">
        <v>9.6300000000000008</v>
      </c>
      <c r="O247" s="77">
        <v>975.4</v>
      </c>
      <c r="P247" s="77">
        <v>975.4</v>
      </c>
      <c r="Q247" s="77">
        <v>16019</v>
      </c>
      <c r="R247" s="77">
        <v>1352.8</v>
      </c>
      <c r="S247" s="29"/>
      <c r="T247" s="26"/>
      <c r="U247" s="26"/>
      <c r="V247" s="26"/>
      <c r="W247" s="26"/>
      <c r="X247" s="26"/>
      <c r="Y247" s="26"/>
      <c r="Z247" s="26"/>
      <c r="AA247" s="26"/>
      <c r="AB247" s="28"/>
      <c r="AC247" s="26"/>
      <c r="AD247" s="26"/>
      <c r="AE247" s="26"/>
      <c r="AF247" s="26"/>
      <c r="AG247" s="27"/>
    </row>
    <row r="248" spans="1:33" x14ac:dyDescent="0.25">
      <c r="A248" s="26" t="s">
        <v>479</v>
      </c>
      <c r="B248" s="70" t="s">
        <v>205</v>
      </c>
      <c r="C248" s="70" t="s">
        <v>205</v>
      </c>
      <c r="D248" s="70" t="str">
        <f t="shared" si="1"/>
        <v>300</v>
      </c>
      <c r="E248" s="70">
        <v>6</v>
      </c>
      <c r="F248" s="78">
        <v>1.18</v>
      </c>
      <c r="G248" s="78">
        <v>69.63</v>
      </c>
      <c r="H248" s="70">
        <v>54.66</v>
      </c>
      <c r="I248" s="77">
        <v>9959.5</v>
      </c>
      <c r="J248" s="77">
        <v>9959.5</v>
      </c>
      <c r="K248" s="77">
        <v>664</v>
      </c>
      <c r="L248" s="77">
        <v>664</v>
      </c>
      <c r="M248" s="70">
        <v>11.96</v>
      </c>
      <c r="N248" s="70">
        <v>11.96</v>
      </c>
      <c r="O248" s="77">
        <v>764.3</v>
      </c>
      <c r="P248" s="77">
        <v>764.3</v>
      </c>
      <c r="Q248" s="77">
        <v>15222.8</v>
      </c>
      <c r="R248" s="77">
        <v>1036.4000000000001</v>
      </c>
      <c r="S248" s="29"/>
      <c r="T248" s="26"/>
      <c r="U248" s="26"/>
      <c r="V248" s="26"/>
      <c r="W248" s="26"/>
      <c r="X248" s="26"/>
      <c r="Y248" s="26"/>
      <c r="Z248" s="26"/>
      <c r="AA248" s="26"/>
      <c r="AB248" s="28"/>
      <c r="AC248" s="26"/>
      <c r="AD248" s="26"/>
      <c r="AE248" s="26"/>
      <c r="AF248" s="26"/>
      <c r="AG248" s="27"/>
    </row>
    <row r="249" spans="1:33" x14ac:dyDescent="0.25">
      <c r="A249" s="26" t="s">
        <v>480</v>
      </c>
      <c r="B249" s="70" t="s">
        <v>205</v>
      </c>
      <c r="C249" s="70" t="s">
        <v>205</v>
      </c>
      <c r="D249" s="70" t="str">
        <f t="shared" si="1"/>
        <v>300</v>
      </c>
      <c r="E249" s="70">
        <v>8</v>
      </c>
      <c r="F249" s="78">
        <v>1.17</v>
      </c>
      <c r="G249" s="78">
        <v>91.79</v>
      </c>
      <c r="H249" s="70">
        <v>72.06</v>
      </c>
      <c r="I249" s="77">
        <v>12918.3</v>
      </c>
      <c r="J249" s="77">
        <v>12918.3</v>
      </c>
      <c r="K249" s="77">
        <v>861.2</v>
      </c>
      <c r="L249" s="77">
        <v>861.2</v>
      </c>
      <c r="M249" s="70">
        <v>11.86</v>
      </c>
      <c r="N249" s="70">
        <v>11.86</v>
      </c>
      <c r="O249" s="77">
        <v>999.1</v>
      </c>
      <c r="P249" s="77">
        <v>999.1</v>
      </c>
      <c r="Q249" s="77">
        <v>19859.900000000001</v>
      </c>
      <c r="R249" s="77">
        <v>1362.2</v>
      </c>
      <c r="S249" s="29"/>
      <c r="T249" s="26"/>
      <c r="U249" s="26"/>
      <c r="V249" s="26"/>
      <c r="W249" s="26"/>
      <c r="X249" s="26"/>
      <c r="Y249" s="26"/>
      <c r="Z249" s="26"/>
      <c r="AA249" s="26"/>
      <c r="AB249" s="28"/>
      <c r="AC249" s="26"/>
      <c r="AD249" s="26"/>
      <c r="AE249" s="26"/>
      <c r="AF249" s="26"/>
      <c r="AG249" s="27"/>
    </row>
    <row r="250" spans="1:33" x14ac:dyDescent="0.25">
      <c r="A250" s="26" t="s">
        <v>481</v>
      </c>
      <c r="B250" s="70" t="s">
        <v>205</v>
      </c>
      <c r="C250" s="70" t="s">
        <v>205</v>
      </c>
      <c r="D250" s="70" t="str">
        <f t="shared" si="1"/>
        <v>300</v>
      </c>
      <c r="E250" s="70">
        <v>10</v>
      </c>
      <c r="F250" s="78">
        <v>1.17</v>
      </c>
      <c r="G250" s="78">
        <v>113.42</v>
      </c>
      <c r="H250" s="70">
        <v>89.04</v>
      </c>
      <c r="I250" s="77">
        <v>15704.3</v>
      </c>
      <c r="J250" s="77">
        <v>15704.3</v>
      </c>
      <c r="K250" s="77">
        <v>1047</v>
      </c>
      <c r="L250" s="77">
        <v>1047</v>
      </c>
      <c r="M250" s="70">
        <v>11.77</v>
      </c>
      <c r="N250" s="70">
        <v>11.77</v>
      </c>
      <c r="O250" s="77">
        <v>1224.0999999999999</v>
      </c>
      <c r="P250" s="77">
        <v>1224.0999999999999</v>
      </c>
      <c r="Q250" s="77">
        <v>24277.1</v>
      </c>
      <c r="R250" s="77">
        <v>1678.1</v>
      </c>
      <c r="S250" s="29"/>
      <c r="T250" s="26"/>
      <c r="U250" s="26"/>
      <c r="V250" s="26"/>
      <c r="W250" s="26"/>
      <c r="X250" s="26"/>
      <c r="Y250" s="26"/>
      <c r="Z250" s="26"/>
      <c r="AA250" s="26"/>
      <c r="AB250" s="28"/>
      <c r="AC250" s="26"/>
      <c r="AD250" s="26"/>
      <c r="AE250" s="26"/>
      <c r="AF250" s="26"/>
      <c r="AG250" s="27"/>
    </row>
    <row r="251" spans="1:33" x14ac:dyDescent="0.25">
      <c r="A251" s="26" t="s">
        <v>482</v>
      </c>
      <c r="B251" s="70" t="s">
        <v>205</v>
      </c>
      <c r="C251" s="70" t="s">
        <v>205</v>
      </c>
      <c r="D251" s="70" t="str">
        <f t="shared" si="1"/>
        <v>300</v>
      </c>
      <c r="E251" s="70">
        <v>12</v>
      </c>
      <c r="F251" s="78">
        <v>1.1599999999999999</v>
      </c>
      <c r="G251" s="78">
        <v>134.53</v>
      </c>
      <c r="H251" s="70">
        <v>105.61</v>
      </c>
      <c r="I251" s="77">
        <v>18322</v>
      </c>
      <c r="J251" s="77">
        <v>18322</v>
      </c>
      <c r="K251" s="77">
        <v>1221.5</v>
      </c>
      <c r="L251" s="77">
        <v>1221.5</v>
      </c>
      <c r="M251" s="70">
        <v>11.67</v>
      </c>
      <c r="N251" s="70">
        <v>11.67</v>
      </c>
      <c r="O251" s="77">
        <v>1439.5</v>
      </c>
      <c r="P251" s="77">
        <v>1439.5</v>
      </c>
      <c r="Q251" s="77">
        <v>28473.5</v>
      </c>
      <c r="R251" s="77">
        <v>1984</v>
      </c>
      <c r="S251" s="29"/>
      <c r="T251" s="26"/>
      <c r="U251" s="26"/>
      <c r="V251" s="26"/>
      <c r="W251" s="26"/>
      <c r="X251" s="26"/>
      <c r="Y251" s="26"/>
      <c r="Z251" s="26"/>
      <c r="AA251" s="26"/>
      <c r="AB251" s="28"/>
      <c r="AC251" s="26"/>
      <c r="AD251" s="26"/>
      <c r="AE251" s="26"/>
      <c r="AF251" s="26"/>
      <c r="AG251" s="27"/>
    </row>
    <row r="252" spans="1:33" x14ac:dyDescent="0.25">
      <c r="A252" s="26" t="s">
        <v>483</v>
      </c>
      <c r="B252" s="70" t="s">
        <v>205</v>
      </c>
      <c r="C252" s="70" t="s">
        <v>205</v>
      </c>
      <c r="D252" s="70" t="str">
        <f t="shared" si="1"/>
        <v>350</v>
      </c>
      <c r="E252" s="70">
        <v>6</v>
      </c>
      <c r="F252" s="78">
        <v>1.38</v>
      </c>
      <c r="G252" s="78">
        <v>81.63</v>
      </c>
      <c r="H252" s="70">
        <v>64.08</v>
      </c>
      <c r="I252" s="77">
        <v>16001.9</v>
      </c>
      <c r="J252" s="77">
        <v>16001.9</v>
      </c>
      <c r="K252" s="77">
        <v>914.4</v>
      </c>
      <c r="L252" s="77">
        <v>914.4</v>
      </c>
      <c r="M252" s="70">
        <v>14</v>
      </c>
      <c r="N252" s="70">
        <v>14</v>
      </c>
      <c r="O252" s="77">
        <v>1049</v>
      </c>
      <c r="P252" s="77">
        <v>1049</v>
      </c>
      <c r="Q252" s="77">
        <v>24395.8</v>
      </c>
      <c r="R252" s="77">
        <v>1419.2</v>
      </c>
      <c r="S252" s="29"/>
      <c r="T252" s="26"/>
      <c r="U252" s="26"/>
      <c r="V252" s="26"/>
      <c r="W252" s="26"/>
      <c r="X252" s="26"/>
      <c r="Y252" s="26"/>
      <c r="Z252" s="26"/>
      <c r="AA252" s="26"/>
      <c r="AB252" s="28"/>
      <c r="AC252" s="26"/>
      <c r="AD252" s="26"/>
      <c r="AE252" s="26"/>
      <c r="AF252" s="26"/>
      <c r="AG252" s="27"/>
    </row>
    <row r="253" spans="1:33" x14ac:dyDescent="0.25">
      <c r="A253" s="26" t="s">
        <v>484</v>
      </c>
      <c r="B253" s="70" t="s">
        <v>205</v>
      </c>
      <c r="C253" s="70" t="s">
        <v>205</v>
      </c>
      <c r="D253" s="70" t="str">
        <f t="shared" si="1"/>
        <v>350</v>
      </c>
      <c r="E253" s="70">
        <v>8</v>
      </c>
      <c r="F253" s="78">
        <v>1.37</v>
      </c>
      <c r="G253" s="78">
        <v>107.79</v>
      </c>
      <c r="H253" s="70">
        <v>84.62</v>
      </c>
      <c r="I253" s="77">
        <v>20840.2</v>
      </c>
      <c r="J253" s="77">
        <v>20840.2</v>
      </c>
      <c r="K253" s="77">
        <v>1190.9000000000001</v>
      </c>
      <c r="L253" s="77">
        <v>1190.9000000000001</v>
      </c>
      <c r="M253" s="70">
        <v>13.9</v>
      </c>
      <c r="N253" s="70">
        <v>13.9</v>
      </c>
      <c r="O253" s="77">
        <v>1375.3</v>
      </c>
      <c r="P253" s="77">
        <v>1375.3</v>
      </c>
      <c r="Q253" s="77">
        <v>31933.7</v>
      </c>
      <c r="R253" s="77">
        <v>1869.4</v>
      </c>
      <c r="S253" s="29"/>
      <c r="T253" s="26"/>
      <c r="U253" s="26"/>
      <c r="V253" s="26"/>
      <c r="W253" s="26"/>
      <c r="X253" s="26"/>
      <c r="Y253" s="26"/>
      <c r="Z253" s="26"/>
      <c r="AA253" s="26"/>
      <c r="AB253" s="28"/>
      <c r="AC253" s="26"/>
      <c r="AD253" s="26"/>
      <c r="AE253" s="26"/>
      <c r="AF253" s="26"/>
      <c r="AG253" s="27"/>
    </row>
    <row r="254" spans="1:33" x14ac:dyDescent="0.25">
      <c r="A254" s="26" t="s">
        <v>485</v>
      </c>
      <c r="B254" s="70" t="s">
        <v>205</v>
      </c>
      <c r="C254" s="70" t="s">
        <v>205</v>
      </c>
      <c r="D254" s="70" t="str">
        <f t="shared" si="1"/>
        <v>350</v>
      </c>
      <c r="E254" s="70">
        <v>10</v>
      </c>
      <c r="F254" s="78">
        <v>1.37</v>
      </c>
      <c r="G254" s="78">
        <v>133.41999999999999</v>
      </c>
      <c r="H254" s="70">
        <v>104.74</v>
      </c>
      <c r="I254" s="77">
        <v>25439.7</v>
      </c>
      <c r="J254" s="77">
        <v>25439.7</v>
      </c>
      <c r="K254" s="77">
        <v>1453.7</v>
      </c>
      <c r="L254" s="77">
        <v>1453.7</v>
      </c>
      <c r="M254" s="70">
        <v>13.81</v>
      </c>
      <c r="N254" s="70">
        <v>13.81</v>
      </c>
      <c r="O254" s="77">
        <v>1690.1</v>
      </c>
      <c r="P254" s="77">
        <v>1690.1</v>
      </c>
      <c r="Q254" s="77">
        <v>39172.699999999997</v>
      </c>
      <c r="R254" s="77">
        <v>2308.1</v>
      </c>
      <c r="S254" s="29"/>
      <c r="T254" s="26"/>
      <c r="U254" s="26"/>
      <c r="V254" s="26"/>
      <c r="W254" s="26"/>
      <c r="X254" s="26"/>
      <c r="Y254" s="26"/>
      <c r="Z254" s="26"/>
      <c r="AA254" s="26"/>
      <c r="AB254" s="28"/>
      <c r="AC254" s="26"/>
      <c r="AD254" s="26"/>
      <c r="AE254" s="26"/>
      <c r="AF254" s="26"/>
      <c r="AG254" s="27"/>
    </row>
    <row r="255" spans="1:33" x14ac:dyDescent="0.25">
      <c r="A255" s="26" t="s">
        <v>486</v>
      </c>
      <c r="B255" s="70" t="s">
        <v>205</v>
      </c>
      <c r="C255" s="70" t="s">
        <v>205</v>
      </c>
      <c r="D255" s="70" t="str">
        <f t="shared" si="1"/>
        <v>350</v>
      </c>
      <c r="E255" s="70">
        <v>12</v>
      </c>
      <c r="F255" s="78">
        <v>1.36</v>
      </c>
      <c r="G255" s="78">
        <v>158.53</v>
      </c>
      <c r="H255" s="70">
        <v>124.45</v>
      </c>
      <c r="I255" s="77">
        <v>29805.8</v>
      </c>
      <c r="J255" s="77">
        <v>29805.8</v>
      </c>
      <c r="K255" s="77">
        <v>1703.2</v>
      </c>
      <c r="L255" s="77">
        <v>1703.2</v>
      </c>
      <c r="M255" s="70">
        <v>13.71</v>
      </c>
      <c r="N255" s="70">
        <v>13.71</v>
      </c>
      <c r="O255" s="77">
        <v>1993.6</v>
      </c>
      <c r="P255" s="77">
        <v>1993.6</v>
      </c>
      <c r="Q255" s="77">
        <v>46112</v>
      </c>
      <c r="R255" s="77">
        <v>2735.2</v>
      </c>
      <c r="S255" s="29"/>
      <c r="T255" s="26"/>
      <c r="U255" s="26"/>
      <c r="V255" s="26"/>
      <c r="W255" s="26"/>
      <c r="X255" s="26"/>
      <c r="Y255" s="26"/>
      <c r="Z255" s="26"/>
      <c r="AA255" s="26"/>
      <c r="AB255" s="28"/>
      <c r="AC255" s="26"/>
      <c r="AD255" s="26"/>
      <c r="AE255" s="26"/>
      <c r="AF255" s="26"/>
      <c r="AG255" s="27"/>
    </row>
    <row r="256" spans="1:33" x14ac:dyDescent="0.25">
      <c r="A256" s="26" t="s">
        <v>487</v>
      </c>
      <c r="B256" s="70" t="s">
        <v>205</v>
      </c>
      <c r="C256" s="70" t="s">
        <v>205</v>
      </c>
      <c r="D256" s="70" t="str">
        <f t="shared" si="1"/>
        <v>400</v>
      </c>
      <c r="E256" s="70">
        <v>8</v>
      </c>
      <c r="F256" s="78">
        <v>1.57</v>
      </c>
      <c r="G256" s="78">
        <v>123.79</v>
      </c>
      <c r="H256" s="70">
        <v>97.18</v>
      </c>
      <c r="I256" s="77">
        <v>31476.9</v>
      </c>
      <c r="J256" s="77">
        <v>31476.9</v>
      </c>
      <c r="K256" s="77">
        <v>1573.8</v>
      </c>
      <c r="L256" s="77">
        <v>1573.8</v>
      </c>
      <c r="M256" s="70">
        <v>15.95</v>
      </c>
      <c r="N256" s="70">
        <v>15.95</v>
      </c>
      <c r="O256" s="77">
        <v>1811.6</v>
      </c>
      <c r="P256" s="77">
        <v>1811.6</v>
      </c>
      <c r="Q256" s="77">
        <v>48111.5</v>
      </c>
      <c r="R256" s="77">
        <v>2456.6</v>
      </c>
      <c r="S256" s="29"/>
      <c r="T256" s="26"/>
      <c r="U256" s="26"/>
      <c r="V256" s="26"/>
      <c r="W256" s="26"/>
      <c r="X256" s="26"/>
      <c r="Y256" s="26"/>
      <c r="Z256" s="26"/>
      <c r="AA256" s="26"/>
      <c r="AB256" s="28"/>
      <c r="AC256" s="26"/>
      <c r="AD256" s="26"/>
      <c r="AE256" s="26"/>
      <c r="AF256" s="26"/>
      <c r="AG256" s="27"/>
    </row>
    <row r="257" spans="1:33" x14ac:dyDescent="0.25">
      <c r="A257" s="26" t="s">
        <v>488</v>
      </c>
      <c r="B257" s="70" t="s">
        <v>205</v>
      </c>
      <c r="C257" s="70" t="s">
        <v>205</v>
      </c>
      <c r="D257" s="70" t="str">
        <f t="shared" si="1"/>
        <v>400</v>
      </c>
      <c r="E257" s="70">
        <v>10</v>
      </c>
      <c r="F257" s="78">
        <v>1.57</v>
      </c>
      <c r="G257" s="78">
        <v>153.41999999999999</v>
      </c>
      <c r="H257" s="70">
        <v>120.44</v>
      </c>
      <c r="I257" s="77">
        <v>38542.1</v>
      </c>
      <c r="J257" s="77">
        <v>38542.1</v>
      </c>
      <c r="K257" s="77">
        <v>1927.1</v>
      </c>
      <c r="L257" s="77">
        <v>1927.1</v>
      </c>
      <c r="M257" s="70">
        <v>15.85</v>
      </c>
      <c r="N257" s="70">
        <v>15.85</v>
      </c>
      <c r="O257" s="77">
        <v>2231.1999999999998</v>
      </c>
      <c r="P257" s="77">
        <v>2231.1999999999998</v>
      </c>
      <c r="Q257" s="77">
        <v>59168.4</v>
      </c>
      <c r="R257" s="77">
        <v>3038.1</v>
      </c>
      <c r="S257" s="29"/>
      <c r="T257" s="26"/>
      <c r="U257" s="26"/>
      <c r="V257" s="26"/>
      <c r="W257" s="26"/>
      <c r="X257" s="26"/>
      <c r="Y257" s="26"/>
      <c r="Z257" s="26"/>
      <c r="AA257" s="26"/>
      <c r="AB257" s="28"/>
      <c r="AC257" s="26"/>
      <c r="AD257" s="26"/>
      <c r="AE257" s="26"/>
      <c r="AF257" s="26"/>
      <c r="AG257" s="27"/>
    </row>
    <row r="258" spans="1:33" x14ac:dyDescent="0.25">
      <c r="A258" s="26" t="s">
        <v>489</v>
      </c>
      <c r="B258" s="70" t="s">
        <v>205</v>
      </c>
      <c r="C258" s="70" t="s">
        <v>205</v>
      </c>
      <c r="D258" s="70" t="str">
        <f t="shared" si="1"/>
        <v>400</v>
      </c>
      <c r="E258" s="70">
        <v>12</v>
      </c>
      <c r="F258" s="78">
        <v>1.56</v>
      </c>
      <c r="G258" s="78">
        <v>182.53</v>
      </c>
      <c r="H258" s="70">
        <v>143.29</v>
      </c>
      <c r="I258" s="77">
        <v>45298.1</v>
      </c>
      <c r="J258" s="77">
        <v>45298.1</v>
      </c>
      <c r="K258" s="77">
        <v>2264.9</v>
      </c>
      <c r="L258" s="77">
        <v>2264.9</v>
      </c>
      <c r="M258" s="70">
        <v>15.75</v>
      </c>
      <c r="N258" s="70">
        <v>15.75</v>
      </c>
      <c r="O258" s="77">
        <v>2637.7</v>
      </c>
      <c r="P258" s="77">
        <v>2637.7</v>
      </c>
      <c r="Q258" s="77">
        <v>69834.5</v>
      </c>
      <c r="R258" s="77">
        <v>3606.4</v>
      </c>
      <c r="S258" s="29"/>
      <c r="T258" s="26"/>
      <c r="U258" s="26"/>
      <c r="V258" s="26"/>
      <c r="W258" s="26"/>
      <c r="X258" s="26"/>
      <c r="Y258" s="26"/>
      <c r="Z258" s="26"/>
      <c r="AA258" s="26"/>
      <c r="AB258" s="28"/>
      <c r="AC258" s="26"/>
      <c r="AD258" s="26"/>
      <c r="AE258" s="26"/>
      <c r="AF258" s="26"/>
      <c r="AG258" s="27"/>
    </row>
    <row r="259" spans="1:33" x14ac:dyDescent="0.25">
      <c r="A259" s="26" t="s">
        <v>490</v>
      </c>
      <c r="B259" s="70" t="s">
        <v>205</v>
      </c>
      <c r="C259" s="70" t="s">
        <v>205</v>
      </c>
      <c r="D259" s="70" t="str">
        <f t="shared" si="1"/>
        <v>400</v>
      </c>
      <c r="E259" s="70">
        <v>14</v>
      </c>
      <c r="F259" s="78">
        <v>1.55</v>
      </c>
      <c r="G259" s="78">
        <v>211.11</v>
      </c>
      <c r="H259" s="70">
        <v>165.72</v>
      </c>
      <c r="I259" s="77">
        <v>51750.9</v>
      </c>
      <c r="J259" s="77">
        <v>51750.9</v>
      </c>
      <c r="K259" s="77">
        <v>2587.5</v>
      </c>
      <c r="L259" s="77">
        <v>2587.5</v>
      </c>
      <c r="M259" s="70">
        <v>15.66</v>
      </c>
      <c r="N259" s="70">
        <v>15.66</v>
      </c>
      <c r="O259" s="77">
        <v>3031.3</v>
      </c>
      <c r="P259" s="77">
        <v>3031.3</v>
      </c>
      <c r="Q259" s="77">
        <v>80108.7</v>
      </c>
      <c r="R259" s="77">
        <v>4161.3</v>
      </c>
      <c r="S259" s="29"/>
      <c r="T259" s="26"/>
      <c r="U259" s="26"/>
      <c r="V259" s="26"/>
      <c r="W259" s="26"/>
      <c r="X259" s="26"/>
      <c r="Y259" s="26"/>
      <c r="Z259" s="26"/>
      <c r="AA259" s="26"/>
      <c r="AB259" s="28"/>
      <c r="AC259" s="26"/>
      <c r="AD259" s="26"/>
      <c r="AE259" s="26"/>
      <c r="AF259" s="26"/>
      <c r="AG259" s="27"/>
    </row>
    <row r="260" spans="1:33" x14ac:dyDescent="0.25">
      <c r="A260" s="26" t="s">
        <v>491</v>
      </c>
      <c r="B260" s="70" t="s">
        <v>205</v>
      </c>
      <c r="C260" s="70" t="str">
        <f>MID(A260,26,2)</f>
        <v>20</v>
      </c>
      <c r="D260" s="70" t="str">
        <f>MID(A260,18,2)</f>
        <v>10</v>
      </c>
      <c r="E260" s="70">
        <v>0.7</v>
      </c>
      <c r="F260" s="78">
        <v>5.8000000000000003E-2</v>
      </c>
      <c r="G260" s="78">
        <v>0.38800000000000001</v>
      </c>
      <c r="H260" s="70">
        <v>0.30399999999999999</v>
      </c>
      <c r="I260" s="77">
        <v>0.193</v>
      </c>
      <c r="J260" s="77">
        <v>6.5000000000000002E-2</v>
      </c>
      <c r="K260" s="77">
        <v>0.193</v>
      </c>
      <c r="L260" s="77">
        <v>0.13</v>
      </c>
      <c r="M260" s="70">
        <v>0.70599999999999996</v>
      </c>
      <c r="N260" s="70">
        <v>0.40899999999999997</v>
      </c>
      <c r="O260" s="77">
        <v>0.24399999999999999</v>
      </c>
      <c r="P260" s="77">
        <v>0.15</v>
      </c>
      <c r="Q260" s="77">
        <v>0.156</v>
      </c>
      <c r="R260" s="77">
        <v>0.25</v>
      </c>
      <c r="S260" s="29"/>
      <c r="T260" s="26"/>
      <c r="U260" s="26"/>
      <c r="V260" s="26"/>
      <c r="W260" s="26"/>
      <c r="X260" s="26"/>
      <c r="Y260" s="26"/>
      <c r="Z260" s="26"/>
      <c r="AA260" s="26"/>
      <c r="AB260" s="28"/>
      <c r="AC260" s="26"/>
      <c r="AD260" s="26"/>
      <c r="AE260" s="26"/>
      <c r="AF260" s="26"/>
      <c r="AG260" s="27"/>
    </row>
    <row r="261" spans="1:33" x14ac:dyDescent="0.25">
      <c r="A261" s="26" t="s">
        <v>492</v>
      </c>
      <c r="B261" s="70" t="s">
        <v>205</v>
      </c>
      <c r="C261" s="70" t="str">
        <f t="shared" ref="C261:C294" si="2">MID(A261,26,2)</f>
        <v>20</v>
      </c>
      <c r="D261" s="70" t="str">
        <f t="shared" ref="D261:D295" si="3">MID(A261,18,2)</f>
        <v>10</v>
      </c>
      <c r="E261" s="70">
        <v>0.9</v>
      </c>
      <c r="F261" s="78">
        <v>5.7000000000000002E-2</v>
      </c>
      <c r="G261" s="78">
        <v>0.48699999999999999</v>
      </c>
      <c r="H261" s="70">
        <v>0.38200000000000001</v>
      </c>
      <c r="I261" s="77">
        <v>0.23400000000000001</v>
      </c>
      <c r="J261" s="77">
        <v>7.8E-2</v>
      </c>
      <c r="K261" s="77">
        <v>0.23400000000000001</v>
      </c>
      <c r="L261" s="77">
        <v>0.156</v>
      </c>
      <c r="M261" s="70">
        <v>0.69399999999999995</v>
      </c>
      <c r="N261" s="70">
        <v>0.4</v>
      </c>
      <c r="O261" s="77">
        <v>0.30099999999999999</v>
      </c>
      <c r="P261" s="77">
        <v>0.184</v>
      </c>
      <c r="Q261" s="77">
        <v>0.189</v>
      </c>
      <c r="R261" s="77">
        <v>0.31</v>
      </c>
      <c r="S261" s="29"/>
      <c r="T261" s="26"/>
      <c r="U261" s="26"/>
      <c r="V261" s="26"/>
      <c r="W261" s="26"/>
      <c r="X261" s="26"/>
      <c r="Y261" s="26"/>
      <c r="Z261" s="26"/>
      <c r="AA261" s="26"/>
      <c r="AB261" s="28"/>
      <c r="AC261" s="26"/>
      <c r="AD261" s="26"/>
      <c r="AE261" s="26"/>
      <c r="AF261" s="26"/>
      <c r="AG261" s="27"/>
    </row>
    <row r="262" spans="1:33" x14ac:dyDescent="0.25">
      <c r="A262" s="26" t="s">
        <v>493</v>
      </c>
      <c r="B262" s="70" t="s">
        <v>205</v>
      </c>
      <c r="C262" s="70" t="str">
        <f t="shared" si="2"/>
        <v>25</v>
      </c>
      <c r="D262" s="70" t="str">
        <f t="shared" si="3"/>
        <v>15</v>
      </c>
      <c r="E262" s="70">
        <v>0.9</v>
      </c>
      <c r="F262" s="78">
        <v>7.6999999999999999E-2</v>
      </c>
      <c r="G262" s="78">
        <v>0.66700000000000004</v>
      </c>
      <c r="H262" s="70">
        <v>0.52300000000000002</v>
      </c>
      <c r="I262" s="77">
        <v>0.54700000000000004</v>
      </c>
      <c r="J262" s="77">
        <v>0.247</v>
      </c>
      <c r="K262" s="77">
        <v>0.438</v>
      </c>
      <c r="L262" s="77">
        <v>0.32900000000000001</v>
      </c>
      <c r="M262" s="70">
        <v>0.90600000000000003</v>
      </c>
      <c r="N262" s="70">
        <v>0.60899999999999999</v>
      </c>
      <c r="O262" s="77">
        <v>0.54200000000000004</v>
      </c>
      <c r="P262" s="77">
        <v>0.38100000000000001</v>
      </c>
      <c r="Q262" s="77">
        <v>0.53900000000000003</v>
      </c>
      <c r="R262" s="77">
        <v>0.60899999999999999</v>
      </c>
      <c r="S262" s="29"/>
      <c r="T262" s="26"/>
      <c r="U262" s="26"/>
      <c r="V262" s="26"/>
      <c r="W262" s="26"/>
      <c r="X262" s="26"/>
      <c r="Y262" s="26"/>
      <c r="Z262" s="26"/>
      <c r="AA262" s="26"/>
      <c r="AB262" s="28"/>
      <c r="AC262" s="26"/>
      <c r="AD262" s="26"/>
      <c r="AE262" s="26"/>
      <c r="AF262" s="26"/>
      <c r="AG262" s="27"/>
    </row>
    <row r="263" spans="1:33" x14ac:dyDescent="0.25">
      <c r="A263" s="26" t="s">
        <v>494</v>
      </c>
      <c r="B263" s="70" t="s">
        <v>205</v>
      </c>
      <c r="C263" s="70" t="str">
        <f t="shared" si="2"/>
        <v>25</v>
      </c>
      <c r="D263" s="70" t="str">
        <f t="shared" si="3"/>
        <v>15</v>
      </c>
      <c r="E263" s="70">
        <v>1.25</v>
      </c>
      <c r="F263" s="78">
        <v>7.5999999999999998E-2</v>
      </c>
      <c r="G263" s="78">
        <v>0.89700000000000002</v>
      </c>
      <c r="H263" s="70">
        <v>0.70399999999999996</v>
      </c>
      <c r="I263" s="77">
        <v>0.70599999999999996</v>
      </c>
      <c r="J263" s="77">
        <v>0.315</v>
      </c>
      <c r="K263" s="77">
        <v>0.56499999999999995</v>
      </c>
      <c r="L263" s="77">
        <v>0.42</v>
      </c>
      <c r="M263" s="70">
        <v>0.88700000000000001</v>
      </c>
      <c r="N263" s="70">
        <v>0.59299999999999997</v>
      </c>
      <c r="O263" s="77">
        <v>0.71299999999999997</v>
      </c>
      <c r="P263" s="77">
        <v>0.499</v>
      </c>
      <c r="Q263" s="77">
        <v>0.69799999999999995</v>
      </c>
      <c r="R263" s="77">
        <v>0.80900000000000005</v>
      </c>
      <c r="S263" s="29"/>
      <c r="T263" s="26"/>
      <c r="U263" s="26"/>
      <c r="V263" s="26"/>
      <c r="W263" s="26"/>
      <c r="X263" s="26"/>
      <c r="Y263" s="26"/>
      <c r="Z263" s="26"/>
      <c r="AA263" s="26"/>
      <c r="AB263" s="28"/>
      <c r="AC263" s="26"/>
      <c r="AD263" s="26"/>
      <c r="AE263" s="26"/>
      <c r="AF263" s="26"/>
      <c r="AG263" s="27"/>
    </row>
    <row r="264" spans="1:33" x14ac:dyDescent="0.25">
      <c r="A264" s="26" t="s">
        <v>495</v>
      </c>
      <c r="B264" s="70" t="s">
        <v>205</v>
      </c>
      <c r="C264" s="70" t="str">
        <f t="shared" si="2"/>
        <v>30</v>
      </c>
      <c r="D264" s="70" t="str">
        <f t="shared" si="3"/>
        <v>20</v>
      </c>
      <c r="E264" s="70">
        <v>0.9</v>
      </c>
      <c r="F264" s="78">
        <v>9.7000000000000003E-2</v>
      </c>
      <c r="G264" s="78">
        <v>0.84699999999999998</v>
      </c>
      <c r="H264" s="70">
        <v>0.66500000000000004</v>
      </c>
      <c r="I264" s="77">
        <v>1.052</v>
      </c>
      <c r="J264" s="77">
        <v>0.56299999999999994</v>
      </c>
      <c r="K264" s="77">
        <v>0.70099999999999996</v>
      </c>
      <c r="L264" s="77">
        <v>0.56299999999999994</v>
      </c>
      <c r="M264" s="70">
        <v>1.115</v>
      </c>
      <c r="N264" s="70">
        <v>0.81499999999999995</v>
      </c>
      <c r="O264" s="77">
        <v>0.85099999999999998</v>
      </c>
      <c r="P264" s="77">
        <v>0.64400000000000002</v>
      </c>
      <c r="Q264" s="77">
        <v>1.147</v>
      </c>
      <c r="R264" s="77">
        <v>0.998</v>
      </c>
      <c r="S264" s="29"/>
      <c r="T264" s="26"/>
      <c r="U264" s="26"/>
      <c r="V264" s="26"/>
      <c r="W264" s="26"/>
      <c r="X264" s="26"/>
      <c r="Y264" s="26"/>
      <c r="Z264" s="26"/>
      <c r="AA264" s="26"/>
      <c r="AB264" s="28"/>
      <c r="AC264" s="26"/>
      <c r="AD264" s="26"/>
      <c r="AE264" s="26"/>
      <c r="AF264" s="26"/>
      <c r="AG264" s="27"/>
    </row>
    <row r="265" spans="1:33" x14ac:dyDescent="0.25">
      <c r="A265" s="26" t="s">
        <v>496</v>
      </c>
      <c r="B265" s="70" t="s">
        <v>205</v>
      </c>
      <c r="C265" s="70" t="str">
        <f t="shared" si="2"/>
        <v>30</v>
      </c>
      <c r="D265" s="70" t="str">
        <f t="shared" si="3"/>
        <v>20</v>
      </c>
      <c r="E265" s="70">
        <v>1.25</v>
      </c>
      <c r="F265" s="78">
        <v>9.6000000000000002E-2</v>
      </c>
      <c r="G265" s="78">
        <v>1.147</v>
      </c>
      <c r="H265" s="70">
        <v>0.90100000000000002</v>
      </c>
      <c r="I265" s="77">
        <v>1.3779999999999999</v>
      </c>
      <c r="J265" s="77">
        <v>0.73299999999999998</v>
      </c>
      <c r="K265" s="77">
        <v>0.91900000000000004</v>
      </c>
      <c r="L265" s="77">
        <v>0.73299999999999998</v>
      </c>
      <c r="M265" s="70">
        <v>1.0960000000000001</v>
      </c>
      <c r="N265" s="70">
        <v>0.79900000000000004</v>
      </c>
      <c r="O265" s="77">
        <v>1.1319999999999999</v>
      </c>
      <c r="P265" s="77">
        <v>0.85599999999999998</v>
      </c>
      <c r="Q265" s="77">
        <v>1.512</v>
      </c>
      <c r="R265" s="77">
        <v>1.34</v>
      </c>
      <c r="S265" s="29"/>
      <c r="T265" s="26"/>
      <c r="U265" s="26"/>
      <c r="V265" s="26"/>
      <c r="W265" s="26"/>
      <c r="X265" s="26"/>
      <c r="Y265" s="26"/>
      <c r="Z265" s="26"/>
      <c r="AA265" s="26"/>
      <c r="AB265" s="28"/>
      <c r="AC265" s="26"/>
      <c r="AD265" s="26"/>
      <c r="AE265" s="26"/>
      <c r="AF265" s="26"/>
      <c r="AG265" s="27"/>
    </row>
    <row r="266" spans="1:33" x14ac:dyDescent="0.25">
      <c r="A266" s="26" t="s">
        <v>497</v>
      </c>
      <c r="B266" s="70" t="s">
        <v>205</v>
      </c>
      <c r="C266" s="70" t="str">
        <f t="shared" si="2"/>
        <v>30</v>
      </c>
      <c r="D266" s="70" t="str">
        <f t="shared" si="3"/>
        <v>20</v>
      </c>
      <c r="E266" s="70">
        <v>1.6</v>
      </c>
      <c r="F266" s="78">
        <v>9.5000000000000001E-2</v>
      </c>
      <c r="G266" s="78">
        <v>1.4319999999999999</v>
      </c>
      <c r="H266" s="70">
        <v>1.1240000000000001</v>
      </c>
      <c r="I266" s="77">
        <v>1.6619999999999999</v>
      </c>
      <c r="J266" s="77">
        <v>0.878</v>
      </c>
      <c r="K266" s="77">
        <v>1.1080000000000001</v>
      </c>
      <c r="L266" s="77">
        <v>0.878</v>
      </c>
      <c r="M266" s="70">
        <v>1.077</v>
      </c>
      <c r="N266" s="70">
        <v>0.78300000000000003</v>
      </c>
      <c r="O266" s="77">
        <v>1.3879999999999999</v>
      </c>
      <c r="P266" s="77">
        <v>1.046</v>
      </c>
      <c r="Q266" s="77">
        <v>1.8320000000000001</v>
      </c>
      <c r="R266" s="77">
        <v>1.6559999999999999</v>
      </c>
      <c r="S266" s="29"/>
      <c r="T266" s="26"/>
      <c r="U266" s="26"/>
      <c r="V266" s="26"/>
      <c r="W266" s="26"/>
      <c r="X266" s="26"/>
      <c r="Y266" s="26"/>
      <c r="Z266" s="26"/>
      <c r="AA266" s="26"/>
      <c r="AB266" s="28"/>
      <c r="AC266" s="26"/>
      <c r="AD266" s="26"/>
      <c r="AE266" s="26"/>
      <c r="AF266" s="26"/>
      <c r="AG266" s="27"/>
    </row>
    <row r="267" spans="1:33" x14ac:dyDescent="0.25">
      <c r="A267" s="26" t="s">
        <v>498</v>
      </c>
      <c r="B267" s="70" t="s">
        <v>205</v>
      </c>
      <c r="C267" s="70" t="str">
        <f t="shared" si="2"/>
        <v>40</v>
      </c>
      <c r="D267" s="70" t="str">
        <f t="shared" si="3"/>
        <v>20</v>
      </c>
      <c r="E267" s="70">
        <v>0.9</v>
      </c>
      <c r="F267" s="78">
        <v>0.11700000000000001</v>
      </c>
      <c r="G267" s="78">
        <v>1.0269999999999999</v>
      </c>
      <c r="H267" s="70">
        <v>0.80600000000000005</v>
      </c>
      <c r="I267" s="77">
        <v>2.129</v>
      </c>
      <c r="J267" s="77">
        <v>0.72699999999999998</v>
      </c>
      <c r="K267" s="77">
        <v>1.0640000000000001</v>
      </c>
      <c r="L267" s="77">
        <v>0.72699999999999998</v>
      </c>
      <c r="M267" s="70">
        <v>1.44</v>
      </c>
      <c r="N267" s="70">
        <v>0.84099999999999997</v>
      </c>
      <c r="O267" s="77">
        <v>1.319</v>
      </c>
      <c r="P267" s="77">
        <v>0.81599999999999995</v>
      </c>
      <c r="Q267" s="77">
        <v>1.718</v>
      </c>
      <c r="R267" s="77">
        <v>1.341</v>
      </c>
      <c r="S267" s="29"/>
      <c r="T267" s="26"/>
      <c r="U267" s="26"/>
      <c r="V267" s="26"/>
      <c r="W267" s="26"/>
      <c r="X267" s="26"/>
      <c r="Y267" s="26"/>
      <c r="Z267" s="26"/>
      <c r="AA267" s="26"/>
      <c r="AB267" s="28"/>
      <c r="AC267" s="26"/>
      <c r="AD267" s="26"/>
      <c r="AE267" s="26"/>
      <c r="AF267" s="26"/>
      <c r="AG267" s="27"/>
    </row>
    <row r="268" spans="1:33" x14ac:dyDescent="0.25">
      <c r="A268" s="26" t="s">
        <v>499</v>
      </c>
      <c r="B268" s="70" t="s">
        <v>205</v>
      </c>
      <c r="C268" s="70" t="str">
        <f t="shared" si="2"/>
        <v>40</v>
      </c>
      <c r="D268" s="70" t="str">
        <f t="shared" si="3"/>
        <v>20</v>
      </c>
      <c r="E268" s="70">
        <v>1.25</v>
      </c>
      <c r="F268" s="78">
        <v>0.11600000000000001</v>
      </c>
      <c r="G268" s="78">
        <v>1.397</v>
      </c>
      <c r="H268" s="70">
        <v>1.097</v>
      </c>
      <c r="I268" s="77">
        <v>2.8170000000000002</v>
      </c>
      <c r="J268" s="77">
        <v>0.95299999999999996</v>
      </c>
      <c r="K268" s="77">
        <v>1.4079999999999999</v>
      </c>
      <c r="L268" s="77">
        <v>0.95299999999999996</v>
      </c>
      <c r="M268" s="70">
        <v>1.42</v>
      </c>
      <c r="N268" s="70">
        <v>0.82599999999999996</v>
      </c>
      <c r="O268" s="77">
        <v>1.7689999999999999</v>
      </c>
      <c r="P268" s="77">
        <v>1.0900000000000001</v>
      </c>
      <c r="Q268" s="77">
        <v>2.2759999999999998</v>
      </c>
      <c r="R268" s="77">
        <v>1.8089999999999999</v>
      </c>
      <c r="S268" s="29"/>
      <c r="T268" s="26"/>
      <c r="U268" s="26"/>
      <c r="V268" s="26"/>
      <c r="W268" s="26"/>
      <c r="X268" s="26"/>
      <c r="Y268" s="26"/>
      <c r="Z268" s="26"/>
      <c r="AA268" s="26"/>
      <c r="AB268" s="28"/>
      <c r="AC268" s="26"/>
      <c r="AD268" s="26"/>
      <c r="AE268" s="26"/>
      <c r="AF268" s="26"/>
      <c r="AG268" s="27"/>
    </row>
    <row r="269" spans="1:33" x14ac:dyDescent="0.25">
      <c r="A269" s="26" t="s">
        <v>500</v>
      </c>
      <c r="B269" s="70" t="s">
        <v>205</v>
      </c>
      <c r="C269" s="70" t="str">
        <f t="shared" si="2"/>
        <v>40</v>
      </c>
      <c r="D269" s="70" t="str">
        <f t="shared" si="3"/>
        <v>20</v>
      </c>
      <c r="E269" s="70">
        <v>1.6</v>
      </c>
      <c r="F269" s="78">
        <v>0.115</v>
      </c>
      <c r="G269" s="78">
        <v>1.752</v>
      </c>
      <c r="H269" s="70">
        <v>1.375</v>
      </c>
      <c r="I269" s="77">
        <v>3.431</v>
      </c>
      <c r="J269" s="77">
        <v>1.149</v>
      </c>
      <c r="K269" s="77">
        <v>1.716</v>
      </c>
      <c r="L269" s="77">
        <v>1.149</v>
      </c>
      <c r="M269" s="70">
        <v>1.4</v>
      </c>
      <c r="N269" s="70">
        <v>0.81</v>
      </c>
      <c r="O269" s="77">
        <v>2.1829999999999998</v>
      </c>
      <c r="P269" s="77">
        <v>1.341</v>
      </c>
      <c r="Q269" s="77">
        <v>2.7730000000000001</v>
      </c>
      <c r="R269" s="77">
        <v>2.2450000000000001</v>
      </c>
      <c r="S269" s="29"/>
      <c r="T269" s="26"/>
      <c r="U269" s="26"/>
      <c r="V269" s="26"/>
      <c r="W269" s="26"/>
      <c r="X269" s="26"/>
      <c r="Y269" s="26"/>
      <c r="Z269" s="26"/>
      <c r="AA269" s="26"/>
      <c r="AB269" s="28"/>
      <c r="AC269" s="26"/>
      <c r="AD269" s="26"/>
      <c r="AE269" s="26"/>
      <c r="AF269" s="26"/>
      <c r="AG269" s="27"/>
    </row>
    <row r="270" spans="1:33" x14ac:dyDescent="0.25">
      <c r="A270" s="26" t="s">
        <v>501</v>
      </c>
      <c r="B270" s="70" t="s">
        <v>205</v>
      </c>
      <c r="C270" s="70" t="str">
        <f t="shared" si="2"/>
        <v>40</v>
      </c>
      <c r="D270" s="70" t="str">
        <f t="shared" si="3"/>
        <v>30</v>
      </c>
      <c r="E270" s="70">
        <v>1.25</v>
      </c>
      <c r="F270" s="78">
        <v>0.13600000000000001</v>
      </c>
      <c r="G270" s="78">
        <v>1.647</v>
      </c>
      <c r="H270" s="70">
        <v>1.2929999999999999</v>
      </c>
      <c r="I270" s="77">
        <v>3.7549999999999999</v>
      </c>
      <c r="J270" s="77">
        <v>2.4119999999999999</v>
      </c>
      <c r="K270" s="77">
        <v>1.8779999999999999</v>
      </c>
      <c r="L270" s="77">
        <v>1.6080000000000001</v>
      </c>
      <c r="M270" s="70">
        <v>1.51</v>
      </c>
      <c r="N270" s="70">
        <v>1.21</v>
      </c>
      <c r="O270" s="77">
        <v>2.2530000000000001</v>
      </c>
      <c r="P270" s="77">
        <v>1.851</v>
      </c>
      <c r="Q270" s="77">
        <v>4.5720000000000001</v>
      </c>
      <c r="R270" s="77">
        <v>2.778</v>
      </c>
      <c r="S270" s="29"/>
      <c r="T270" s="26"/>
      <c r="U270" s="26"/>
      <c r="V270" s="26"/>
      <c r="W270" s="26"/>
      <c r="X270" s="26"/>
      <c r="Y270" s="26"/>
      <c r="Z270" s="26"/>
      <c r="AA270" s="26"/>
      <c r="AB270" s="28"/>
      <c r="AC270" s="26"/>
      <c r="AD270" s="26"/>
      <c r="AE270" s="26"/>
      <c r="AF270" s="26"/>
      <c r="AG270" s="27"/>
    </row>
    <row r="271" spans="1:33" x14ac:dyDescent="0.25">
      <c r="A271" s="26" t="s">
        <v>502</v>
      </c>
      <c r="B271" s="70" t="s">
        <v>205</v>
      </c>
      <c r="C271" s="70" t="str">
        <f t="shared" si="2"/>
        <v>40</v>
      </c>
      <c r="D271" s="70" t="str">
        <f t="shared" si="3"/>
        <v>30</v>
      </c>
      <c r="E271" s="70">
        <v>1.6</v>
      </c>
      <c r="F271" s="78">
        <v>0.13500000000000001</v>
      </c>
      <c r="G271" s="78">
        <v>2.0720000000000001</v>
      </c>
      <c r="H271" s="70">
        <v>1.6259999999999999</v>
      </c>
      <c r="I271" s="77">
        <v>4.6109999999999998</v>
      </c>
      <c r="J271" s="77">
        <v>2.952</v>
      </c>
      <c r="K271" s="77">
        <v>2.306</v>
      </c>
      <c r="L271" s="77">
        <v>1.968</v>
      </c>
      <c r="M271" s="70">
        <v>1.492</v>
      </c>
      <c r="N271" s="70">
        <v>1.194</v>
      </c>
      <c r="O271" s="77">
        <v>2.798</v>
      </c>
      <c r="P271" s="77">
        <v>2.2959999999999998</v>
      </c>
      <c r="Q271" s="77">
        <v>5.6459999999999999</v>
      </c>
      <c r="R271" s="77">
        <v>3.4740000000000002</v>
      </c>
      <c r="S271" s="29"/>
      <c r="T271" s="26"/>
      <c r="U271" s="26"/>
      <c r="V271" s="26"/>
      <c r="W271" s="26"/>
      <c r="X271" s="26"/>
      <c r="Y271" s="26"/>
      <c r="Z271" s="26"/>
      <c r="AA271" s="26"/>
      <c r="AB271" s="28"/>
      <c r="AC271" s="26"/>
      <c r="AD271" s="26"/>
      <c r="AE271" s="26"/>
      <c r="AF271" s="26"/>
      <c r="AG271" s="27"/>
    </row>
    <row r="272" spans="1:33" x14ac:dyDescent="0.25">
      <c r="A272" s="26" t="s">
        <v>503</v>
      </c>
      <c r="B272" s="70" t="s">
        <v>205</v>
      </c>
      <c r="C272" s="70" t="str">
        <f t="shared" si="2"/>
        <v>40</v>
      </c>
      <c r="D272" s="70" t="str">
        <f t="shared" si="3"/>
        <v>30</v>
      </c>
      <c r="E272" s="70">
        <v>2</v>
      </c>
      <c r="F272" s="78">
        <v>0.13300000000000001</v>
      </c>
      <c r="G272" s="78">
        <v>2.5369999999999999</v>
      </c>
      <c r="H272" s="70">
        <v>1.992</v>
      </c>
      <c r="I272" s="77">
        <v>5.4909999999999997</v>
      </c>
      <c r="J272" s="77">
        <v>3.504</v>
      </c>
      <c r="K272" s="77">
        <v>2.746</v>
      </c>
      <c r="L272" s="77">
        <v>2.3359999999999999</v>
      </c>
      <c r="M272" s="70">
        <v>1.4710000000000001</v>
      </c>
      <c r="N272" s="70">
        <v>1.175</v>
      </c>
      <c r="O272" s="77">
        <v>3.3759999999999999</v>
      </c>
      <c r="P272" s="77">
        <v>2.7679999999999998</v>
      </c>
      <c r="Q272" s="77">
        <v>6.7619999999999996</v>
      </c>
      <c r="R272" s="77">
        <v>4.2249999999999996</v>
      </c>
      <c r="S272" s="29"/>
      <c r="T272" s="26"/>
      <c r="U272" s="26"/>
      <c r="V272" s="26"/>
      <c r="W272" s="26"/>
      <c r="X272" s="26"/>
      <c r="Y272" s="26"/>
      <c r="Z272" s="26"/>
      <c r="AA272" s="26"/>
      <c r="AB272" s="28"/>
      <c r="AC272" s="26"/>
      <c r="AD272" s="26"/>
      <c r="AE272" s="26"/>
      <c r="AF272" s="26"/>
      <c r="AG272" s="27"/>
    </row>
    <row r="273" spans="1:33" x14ac:dyDescent="0.25">
      <c r="A273" s="26" t="s">
        <v>504</v>
      </c>
      <c r="B273" s="70" t="s">
        <v>205</v>
      </c>
      <c r="C273" s="70" t="str">
        <f t="shared" si="2"/>
        <v>50</v>
      </c>
      <c r="D273" s="70" t="str">
        <f t="shared" si="3"/>
        <v>30</v>
      </c>
      <c r="E273" s="70">
        <v>1.25</v>
      </c>
      <c r="F273" s="78">
        <v>0.156</v>
      </c>
      <c r="G273" s="78">
        <v>1.897</v>
      </c>
      <c r="H273" s="70">
        <v>1.4890000000000001</v>
      </c>
      <c r="I273" s="77">
        <v>6.4390000000000001</v>
      </c>
      <c r="J273" s="77">
        <v>2.9279999999999999</v>
      </c>
      <c r="K273" s="77">
        <v>2.5760000000000001</v>
      </c>
      <c r="L273" s="77">
        <v>1.952</v>
      </c>
      <c r="M273" s="70">
        <v>1.8420000000000001</v>
      </c>
      <c r="N273" s="70">
        <v>1.242</v>
      </c>
      <c r="O273" s="77">
        <v>3.1389999999999998</v>
      </c>
      <c r="P273" s="77">
        <v>2.2109999999999999</v>
      </c>
      <c r="Q273" s="77">
        <v>6.3090000000000002</v>
      </c>
      <c r="R273" s="77">
        <v>3.496</v>
      </c>
      <c r="S273" s="29"/>
      <c r="T273" s="26"/>
      <c r="U273" s="26"/>
      <c r="V273" s="26"/>
      <c r="W273" s="26"/>
      <c r="X273" s="26"/>
      <c r="Y273" s="26"/>
      <c r="Z273" s="26"/>
      <c r="AA273" s="26"/>
      <c r="AB273" s="28"/>
      <c r="AC273" s="26"/>
      <c r="AD273" s="26"/>
      <c r="AE273" s="26"/>
      <c r="AF273" s="26"/>
      <c r="AG273" s="27"/>
    </row>
    <row r="274" spans="1:33" x14ac:dyDescent="0.25">
      <c r="A274" s="26" t="s">
        <v>505</v>
      </c>
      <c r="B274" s="70" t="s">
        <v>205</v>
      </c>
      <c r="C274" s="70" t="str">
        <f t="shared" si="2"/>
        <v>50</v>
      </c>
      <c r="D274" s="70" t="str">
        <f t="shared" si="3"/>
        <v>30</v>
      </c>
      <c r="E274" s="70">
        <v>1.6</v>
      </c>
      <c r="F274" s="78">
        <v>0.155</v>
      </c>
      <c r="G274" s="78">
        <v>2.3919999999999999</v>
      </c>
      <c r="H274" s="70">
        <v>1.877</v>
      </c>
      <c r="I274" s="77">
        <v>7.95</v>
      </c>
      <c r="J274" s="77">
        <v>3.5979999999999999</v>
      </c>
      <c r="K274" s="77">
        <v>3.18</v>
      </c>
      <c r="L274" s="77">
        <v>2.3980000000000001</v>
      </c>
      <c r="M274" s="70">
        <v>1.823</v>
      </c>
      <c r="N274" s="70">
        <v>1.226</v>
      </c>
      <c r="O274" s="77">
        <v>3.9140000000000001</v>
      </c>
      <c r="P274" s="77">
        <v>2.7509999999999999</v>
      </c>
      <c r="Q274" s="77">
        <v>7.8159999999999998</v>
      </c>
      <c r="R274" s="77">
        <v>4.383</v>
      </c>
      <c r="S274" s="29"/>
      <c r="T274" s="26"/>
      <c r="U274" s="26"/>
      <c r="V274" s="26"/>
      <c r="W274" s="26"/>
      <c r="X274" s="26"/>
      <c r="Y274" s="26"/>
      <c r="Z274" s="26"/>
      <c r="AA274" s="26"/>
      <c r="AB274" s="28"/>
      <c r="AC274" s="26"/>
      <c r="AD274" s="26"/>
      <c r="AE274" s="26"/>
      <c r="AF274" s="26"/>
      <c r="AG274" s="27"/>
    </row>
    <row r="275" spans="1:33" x14ac:dyDescent="0.25">
      <c r="A275" s="26" t="s">
        <v>506</v>
      </c>
      <c r="B275" s="70" t="s">
        <v>205</v>
      </c>
      <c r="C275" s="70" t="str">
        <f t="shared" si="2"/>
        <v>50</v>
      </c>
      <c r="D275" s="70" t="str">
        <f t="shared" si="3"/>
        <v>30</v>
      </c>
      <c r="E275" s="70">
        <v>2</v>
      </c>
      <c r="F275" s="78">
        <v>0.153</v>
      </c>
      <c r="G275" s="78">
        <v>2.9369999999999998</v>
      </c>
      <c r="H275" s="70">
        <v>2.306</v>
      </c>
      <c r="I275" s="77">
        <v>9.5289999999999999</v>
      </c>
      <c r="J275" s="77">
        <v>4.2880000000000003</v>
      </c>
      <c r="K275" s="77">
        <v>3.8119999999999998</v>
      </c>
      <c r="L275" s="77">
        <v>2.859</v>
      </c>
      <c r="M275" s="70">
        <v>1.8009999999999999</v>
      </c>
      <c r="N275" s="70">
        <v>1.208</v>
      </c>
      <c r="O275" s="77">
        <v>4.7439999999999998</v>
      </c>
      <c r="P275" s="77">
        <v>3.3279999999999998</v>
      </c>
      <c r="Q275" s="77">
        <v>9.3979999999999997</v>
      </c>
      <c r="R275" s="77">
        <v>5.3449999999999998</v>
      </c>
      <c r="S275" s="29"/>
      <c r="T275" s="26"/>
      <c r="U275" s="26"/>
      <c r="V275" s="26"/>
      <c r="W275" s="26"/>
      <c r="X275" s="26"/>
      <c r="Y275" s="26"/>
      <c r="Z275" s="26"/>
      <c r="AA275" s="26"/>
      <c r="AB275" s="28"/>
      <c r="AC275" s="26"/>
      <c r="AD275" s="26"/>
      <c r="AE275" s="26"/>
      <c r="AF275" s="26"/>
      <c r="AG275" s="27"/>
    </row>
    <row r="276" spans="1:33" x14ac:dyDescent="0.25">
      <c r="A276" s="26" t="s">
        <v>507</v>
      </c>
      <c r="B276" s="70" t="s">
        <v>205</v>
      </c>
      <c r="C276" s="70" t="str">
        <f t="shared" si="2"/>
        <v>50</v>
      </c>
      <c r="D276" s="70" t="str">
        <f t="shared" si="3"/>
        <v>30</v>
      </c>
      <c r="E276" s="70">
        <v>2.5</v>
      </c>
      <c r="F276" s="78">
        <v>0.151</v>
      </c>
      <c r="G276" s="78">
        <v>3.589</v>
      </c>
      <c r="H276" s="70">
        <v>2.8170000000000002</v>
      </c>
      <c r="I276" s="77">
        <v>11.291</v>
      </c>
      <c r="J276" s="77">
        <v>5.0449999999999999</v>
      </c>
      <c r="K276" s="77">
        <v>4.516</v>
      </c>
      <c r="L276" s="77">
        <v>3.363</v>
      </c>
      <c r="M276" s="70">
        <v>1.774</v>
      </c>
      <c r="N276" s="70">
        <v>1.1859999999999999</v>
      </c>
      <c r="O276" s="77">
        <v>5.7030000000000003</v>
      </c>
      <c r="P276" s="77">
        <v>3.9889999999999999</v>
      </c>
      <c r="Q276" s="77">
        <v>11.166</v>
      </c>
      <c r="R276" s="77">
        <v>6.4710000000000001</v>
      </c>
      <c r="S276" s="29"/>
      <c r="T276" s="26"/>
      <c r="U276" s="26"/>
      <c r="V276" s="26"/>
      <c r="W276" s="26"/>
      <c r="X276" s="26"/>
      <c r="Y276" s="26"/>
      <c r="Z276" s="26"/>
      <c r="AA276" s="26"/>
      <c r="AB276" s="28"/>
      <c r="AC276" s="26"/>
      <c r="AD276" s="26"/>
      <c r="AE276" s="26"/>
      <c r="AF276" s="26"/>
      <c r="AG276" s="27"/>
    </row>
    <row r="277" spans="1:33" x14ac:dyDescent="0.25">
      <c r="A277" s="26" t="s">
        <v>508</v>
      </c>
      <c r="B277" s="70" t="s">
        <v>205</v>
      </c>
      <c r="C277" s="70" t="str">
        <f t="shared" si="2"/>
        <v>60</v>
      </c>
      <c r="D277" s="70" t="str">
        <f t="shared" si="3"/>
        <v>30</v>
      </c>
      <c r="E277" s="70">
        <v>1.6</v>
      </c>
      <c r="F277" s="78">
        <v>0.17499999999999999</v>
      </c>
      <c r="G277" s="78">
        <v>2.7120000000000002</v>
      </c>
      <c r="H277" s="70">
        <v>2.129</v>
      </c>
      <c r="I277" s="77">
        <v>12.484</v>
      </c>
      <c r="J277" s="77">
        <v>4.2430000000000003</v>
      </c>
      <c r="K277" s="77">
        <v>4.1609999999999996</v>
      </c>
      <c r="L277" s="77">
        <v>2.8290000000000002</v>
      </c>
      <c r="M277" s="70">
        <v>2.1459999999999999</v>
      </c>
      <c r="N277" s="70">
        <v>1.2509999999999999</v>
      </c>
      <c r="O277" s="77">
        <v>5.1890000000000001</v>
      </c>
      <c r="P277" s="77">
        <v>3.2050000000000001</v>
      </c>
      <c r="Q277" s="77">
        <v>10.081</v>
      </c>
      <c r="R277" s="77">
        <v>5.2919999999999998</v>
      </c>
      <c r="S277" s="29"/>
      <c r="T277" s="26"/>
      <c r="U277" s="26"/>
      <c r="V277" s="26"/>
      <c r="W277" s="26"/>
      <c r="X277" s="26"/>
      <c r="Y277" s="26"/>
      <c r="Z277" s="26"/>
      <c r="AA277" s="26"/>
      <c r="AB277" s="28"/>
      <c r="AC277" s="26"/>
      <c r="AD277" s="26"/>
      <c r="AE277" s="26"/>
      <c r="AF277" s="26"/>
      <c r="AG277" s="27"/>
    </row>
    <row r="278" spans="1:33" x14ac:dyDescent="0.25">
      <c r="A278" s="26" t="s">
        <v>509</v>
      </c>
      <c r="B278" s="70" t="s">
        <v>205</v>
      </c>
      <c r="C278" s="70" t="str">
        <f t="shared" si="2"/>
        <v>60</v>
      </c>
      <c r="D278" s="70" t="str">
        <f t="shared" si="3"/>
        <v>30</v>
      </c>
      <c r="E278" s="70">
        <v>2</v>
      </c>
      <c r="F278" s="78">
        <v>0.17299999999999999</v>
      </c>
      <c r="G278" s="78">
        <v>3.3370000000000002</v>
      </c>
      <c r="H278" s="70">
        <v>2.62</v>
      </c>
      <c r="I278" s="77">
        <v>15.035</v>
      </c>
      <c r="J278" s="77">
        <v>5.0720000000000001</v>
      </c>
      <c r="K278" s="77">
        <v>5.0119999999999996</v>
      </c>
      <c r="L278" s="77">
        <v>3.3809999999999998</v>
      </c>
      <c r="M278" s="70">
        <v>2.1230000000000002</v>
      </c>
      <c r="N278" s="70">
        <v>1.2330000000000001</v>
      </c>
      <c r="O278" s="77">
        <v>6.3129999999999997</v>
      </c>
      <c r="P278" s="77">
        <v>3.8879999999999999</v>
      </c>
      <c r="Q278" s="77">
        <v>12.15</v>
      </c>
      <c r="R278" s="77">
        <v>6.4649999999999999</v>
      </c>
      <c r="S278" s="29"/>
      <c r="T278" s="26"/>
      <c r="U278" s="26"/>
      <c r="V278" s="26"/>
      <c r="W278" s="26"/>
      <c r="X278" s="26"/>
      <c r="Y278" s="26"/>
      <c r="Z278" s="26"/>
      <c r="AA278" s="26"/>
      <c r="AB278" s="28"/>
      <c r="AC278" s="26"/>
      <c r="AD278" s="26"/>
      <c r="AE278" s="26"/>
      <c r="AF278" s="26"/>
      <c r="AG278" s="27"/>
    </row>
    <row r="279" spans="1:33" x14ac:dyDescent="0.25">
      <c r="A279" s="26" t="s">
        <v>510</v>
      </c>
      <c r="B279" s="70" t="s">
        <v>205</v>
      </c>
      <c r="C279" s="70" t="str">
        <f t="shared" si="2"/>
        <v>60</v>
      </c>
      <c r="D279" s="70" t="str">
        <f t="shared" si="3"/>
        <v>30</v>
      </c>
      <c r="E279" s="70">
        <v>2.5</v>
      </c>
      <c r="F279" s="78">
        <v>0.17100000000000001</v>
      </c>
      <c r="G279" s="78">
        <v>4.0890000000000004</v>
      </c>
      <c r="H279" s="70">
        <v>3.21</v>
      </c>
      <c r="I279" s="77">
        <v>17.922999999999998</v>
      </c>
      <c r="J279" s="77">
        <v>5.99</v>
      </c>
      <c r="K279" s="77">
        <v>5.9740000000000002</v>
      </c>
      <c r="L279" s="77">
        <v>3.9929999999999999</v>
      </c>
      <c r="M279" s="70">
        <v>2.0939999999999999</v>
      </c>
      <c r="N279" s="70">
        <v>1.21</v>
      </c>
      <c r="O279" s="77">
        <v>7.6219999999999999</v>
      </c>
      <c r="P279" s="77">
        <v>4.6769999999999996</v>
      </c>
      <c r="Q279" s="77">
        <v>14.484</v>
      </c>
      <c r="R279" s="77">
        <v>7.8460000000000001</v>
      </c>
      <c r="S279" s="29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</row>
    <row r="280" spans="1:33" x14ac:dyDescent="0.25">
      <c r="A280" s="26" t="s">
        <v>511</v>
      </c>
      <c r="B280" s="70" t="s">
        <v>205</v>
      </c>
      <c r="C280" s="70" t="str">
        <f t="shared" si="2"/>
        <v>70</v>
      </c>
      <c r="D280" s="70" t="str">
        <f t="shared" si="3"/>
        <v>30</v>
      </c>
      <c r="E280" s="70">
        <v>1.6</v>
      </c>
      <c r="F280" s="78">
        <v>0.19500000000000001</v>
      </c>
      <c r="G280" s="78">
        <v>3.032</v>
      </c>
      <c r="H280" s="70">
        <v>2.38</v>
      </c>
      <c r="I280" s="77">
        <v>18.373000000000001</v>
      </c>
      <c r="J280" s="77">
        <v>4.8879999999999999</v>
      </c>
      <c r="K280" s="77">
        <v>5.2489999999999997</v>
      </c>
      <c r="L280" s="77">
        <v>3.2589999999999999</v>
      </c>
      <c r="M280" s="70">
        <v>2.4620000000000002</v>
      </c>
      <c r="N280" s="70">
        <v>1.27</v>
      </c>
      <c r="O280" s="77">
        <v>6.625</v>
      </c>
      <c r="P280" s="77">
        <v>3.66</v>
      </c>
      <c r="Q280" s="77">
        <v>12.411</v>
      </c>
      <c r="R280" s="77">
        <v>6.2</v>
      </c>
      <c r="S280" s="29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</row>
    <row r="281" spans="1:33" x14ac:dyDescent="0.25">
      <c r="A281" s="26" t="s">
        <v>512</v>
      </c>
      <c r="B281" s="70" t="s">
        <v>205</v>
      </c>
      <c r="C281" s="70" t="str">
        <f t="shared" si="2"/>
        <v>70</v>
      </c>
      <c r="D281" s="70" t="str">
        <f t="shared" si="3"/>
        <v>30</v>
      </c>
      <c r="E281" s="70">
        <v>2</v>
      </c>
      <c r="F281" s="78">
        <v>0.193</v>
      </c>
      <c r="G281" s="78">
        <v>3.7370000000000001</v>
      </c>
      <c r="H281" s="70">
        <v>2.9340000000000002</v>
      </c>
      <c r="I281" s="77">
        <v>22.207999999999998</v>
      </c>
      <c r="J281" s="77">
        <v>5.8559999999999999</v>
      </c>
      <c r="K281" s="77">
        <v>6.3449999999999998</v>
      </c>
      <c r="L281" s="77">
        <v>3.9039999999999999</v>
      </c>
      <c r="M281" s="70">
        <v>2.4380000000000002</v>
      </c>
      <c r="N281" s="70">
        <v>1.252</v>
      </c>
      <c r="O281" s="77">
        <v>8.0809999999999995</v>
      </c>
      <c r="P281" s="77">
        <v>4.4480000000000004</v>
      </c>
      <c r="Q281" s="77">
        <v>14.983000000000001</v>
      </c>
      <c r="R281" s="77">
        <v>7.585</v>
      </c>
      <c r="S281" s="29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</row>
    <row r="282" spans="1:33" x14ac:dyDescent="0.25">
      <c r="A282" s="26" t="s">
        <v>513</v>
      </c>
      <c r="B282" s="70" t="s">
        <v>205</v>
      </c>
      <c r="C282" s="70" t="str">
        <f t="shared" si="2"/>
        <v>70</v>
      </c>
      <c r="D282" s="70" t="str">
        <f t="shared" si="3"/>
        <v>30</v>
      </c>
      <c r="E282" s="70">
        <v>2.5</v>
      </c>
      <c r="F282" s="78">
        <v>0.191</v>
      </c>
      <c r="G282" s="78">
        <v>4.5890000000000004</v>
      </c>
      <c r="H282" s="70">
        <v>3.6019999999999999</v>
      </c>
      <c r="I282" s="77">
        <v>26.597000000000001</v>
      </c>
      <c r="J282" s="77">
        <v>6.9349999999999996</v>
      </c>
      <c r="K282" s="77">
        <v>7.5990000000000002</v>
      </c>
      <c r="L282" s="77">
        <v>4.6239999999999997</v>
      </c>
      <c r="M282" s="70">
        <v>2.407</v>
      </c>
      <c r="N282" s="70">
        <v>1.2290000000000001</v>
      </c>
      <c r="O282" s="77">
        <v>9.7919999999999998</v>
      </c>
      <c r="P282" s="77">
        <v>5.3639999999999999</v>
      </c>
      <c r="Q282" s="77">
        <v>17.899999999999999</v>
      </c>
      <c r="R282" s="77">
        <v>9.2210000000000001</v>
      </c>
      <c r="S282" s="29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</row>
    <row r="283" spans="1:33" x14ac:dyDescent="0.25">
      <c r="A283" s="26" t="s">
        <v>514</v>
      </c>
      <c r="B283" s="70" t="s">
        <v>205</v>
      </c>
      <c r="C283" s="70" t="str">
        <f t="shared" si="2"/>
        <v>50</v>
      </c>
      <c r="D283" s="70" t="str">
        <f t="shared" si="3"/>
        <v>40</v>
      </c>
      <c r="E283" s="70">
        <v>1.6</v>
      </c>
      <c r="F283" s="78">
        <v>0.17499999999999999</v>
      </c>
      <c r="G283" s="78">
        <v>2.7120000000000002</v>
      </c>
      <c r="H283" s="70">
        <v>2.129</v>
      </c>
      <c r="I283" s="77">
        <v>9.8239999999999998</v>
      </c>
      <c r="J283" s="77">
        <v>6.97</v>
      </c>
      <c r="K283" s="77">
        <v>3.93</v>
      </c>
      <c r="L283" s="77">
        <v>3.4849999999999999</v>
      </c>
      <c r="M283" s="70">
        <v>1.903</v>
      </c>
      <c r="N283" s="70">
        <v>1.603</v>
      </c>
      <c r="O283" s="77">
        <v>4.6879999999999997</v>
      </c>
      <c r="P283" s="77">
        <v>4.0270000000000001</v>
      </c>
      <c r="Q283" s="77">
        <v>12.667</v>
      </c>
      <c r="R283" s="77">
        <v>5.9320000000000004</v>
      </c>
      <c r="S283" s="29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</row>
    <row r="284" spans="1:33" x14ac:dyDescent="0.25">
      <c r="A284" s="26" t="s">
        <v>515</v>
      </c>
      <c r="B284" s="70" t="s">
        <v>205</v>
      </c>
      <c r="C284" s="70" t="str">
        <f t="shared" si="2"/>
        <v>50</v>
      </c>
      <c r="D284" s="70" t="str">
        <f t="shared" si="3"/>
        <v>40</v>
      </c>
      <c r="E284" s="70">
        <v>2</v>
      </c>
      <c r="F284" s="78">
        <v>0.17299999999999999</v>
      </c>
      <c r="G284" s="78">
        <v>3.3370000000000002</v>
      </c>
      <c r="H284" s="70">
        <v>2.62</v>
      </c>
      <c r="I284" s="77">
        <v>11.833</v>
      </c>
      <c r="J284" s="77">
        <v>8.3789999999999996</v>
      </c>
      <c r="K284" s="77">
        <v>4.7329999999999997</v>
      </c>
      <c r="L284" s="77">
        <v>4.1900000000000004</v>
      </c>
      <c r="M284" s="70">
        <v>1.883</v>
      </c>
      <c r="N284" s="70">
        <v>1.585</v>
      </c>
      <c r="O284" s="77">
        <v>5.7039999999999997</v>
      </c>
      <c r="P284" s="77">
        <v>4.8959999999999999</v>
      </c>
      <c r="Q284" s="77">
        <v>15.343</v>
      </c>
      <c r="R284" s="77">
        <v>7.2649999999999997</v>
      </c>
      <c r="S284" s="29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</row>
    <row r="285" spans="1:33" x14ac:dyDescent="0.25">
      <c r="A285" s="26" t="s">
        <v>516</v>
      </c>
      <c r="B285" s="70" t="s">
        <v>205</v>
      </c>
      <c r="C285" s="70" t="str">
        <f t="shared" si="2"/>
        <v>50</v>
      </c>
      <c r="D285" s="70" t="str">
        <f t="shared" si="3"/>
        <v>40</v>
      </c>
      <c r="E285" s="70">
        <v>2.5</v>
      </c>
      <c r="F285" s="78">
        <v>0.17100000000000001</v>
      </c>
      <c r="G285" s="78">
        <v>4.0890000000000004</v>
      </c>
      <c r="H285" s="70">
        <v>3.21</v>
      </c>
      <c r="I285" s="77">
        <v>14.111000000000001</v>
      </c>
      <c r="J285" s="77">
        <v>9.9670000000000005</v>
      </c>
      <c r="K285" s="77">
        <v>5.6440000000000001</v>
      </c>
      <c r="L285" s="77">
        <v>4.9829999999999997</v>
      </c>
      <c r="M285" s="70">
        <v>1.8580000000000001</v>
      </c>
      <c r="N285" s="70">
        <v>1.5609999999999999</v>
      </c>
      <c r="O285" s="77">
        <v>6.89</v>
      </c>
      <c r="P285" s="77">
        <v>5.9089999999999998</v>
      </c>
      <c r="Q285" s="77">
        <v>18.411999999999999</v>
      </c>
      <c r="R285" s="77">
        <v>8.8460000000000001</v>
      </c>
      <c r="S285" s="29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</row>
    <row r="286" spans="1:33" x14ac:dyDescent="0.25">
      <c r="A286" s="26" t="s">
        <v>517</v>
      </c>
      <c r="B286" s="70" t="s">
        <v>205</v>
      </c>
      <c r="C286" s="70" t="str">
        <f t="shared" si="2"/>
        <v>60</v>
      </c>
      <c r="D286" s="70" t="str">
        <f t="shared" si="3"/>
        <v>40</v>
      </c>
      <c r="E286" s="70">
        <v>1.6</v>
      </c>
      <c r="F286" s="78">
        <v>0.19500000000000001</v>
      </c>
      <c r="G286" s="78">
        <v>3.032</v>
      </c>
      <c r="H286" s="70">
        <v>2.38</v>
      </c>
      <c r="I286" s="77">
        <v>15.212</v>
      </c>
      <c r="J286" s="77">
        <v>8.15</v>
      </c>
      <c r="K286" s="77">
        <v>5.0709999999999997</v>
      </c>
      <c r="L286" s="77">
        <v>4.0750000000000002</v>
      </c>
      <c r="M286" s="70">
        <v>2.2400000000000002</v>
      </c>
      <c r="N286" s="70">
        <v>1.64</v>
      </c>
      <c r="O286" s="77">
        <v>6.1239999999999997</v>
      </c>
      <c r="P286" s="77">
        <v>4.641</v>
      </c>
      <c r="Q286" s="77">
        <v>16.552</v>
      </c>
      <c r="R286" s="77">
        <v>7.16</v>
      </c>
      <c r="S286" s="29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</row>
    <row r="287" spans="1:33" x14ac:dyDescent="0.25">
      <c r="A287" s="26" t="s">
        <v>518</v>
      </c>
      <c r="B287" s="70" t="s">
        <v>205</v>
      </c>
      <c r="C287" s="70" t="str">
        <f t="shared" si="2"/>
        <v>60</v>
      </c>
      <c r="D287" s="70" t="str">
        <f t="shared" si="3"/>
        <v>40</v>
      </c>
      <c r="E287" s="70">
        <v>2</v>
      </c>
      <c r="F287" s="78">
        <v>0.193</v>
      </c>
      <c r="G287" s="78">
        <v>3.7370000000000001</v>
      </c>
      <c r="H287" s="70">
        <v>2.9340000000000002</v>
      </c>
      <c r="I287" s="77">
        <v>18.399000000000001</v>
      </c>
      <c r="J287" s="77">
        <v>9.8230000000000004</v>
      </c>
      <c r="K287" s="77">
        <v>6.133</v>
      </c>
      <c r="L287" s="77">
        <v>4.9119999999999999</v>
      </c>
      <c r="M287" s="70">
        <v>2.2189999999999999</v>
      </c>
      <c r="N287" s="70">
        <v>1.621</v>
      </c>
      <c r="O287" s="77">
        <v>7.4729999999999999</v>
      </c>
      <c r="P287" s="77">
        <v>5.6559999999999997</v>
      </c>
      <c r="Q287" s="77">
        <v>20.097999999999999</v>
      </c>
      <c r="R287" s="77">
        <v>8.7850000000000001</v>
      </c>
      <c r="S287" s="29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</row>
    <row r="288" spans="1:33" x14ac:dyDescent="0.25">
      <c r="A288" s="26" t="s">
        <v>519</v>
      </c>
      <c r="B288" s="70" t="s">
        <v>205</v>
      </c>
      <c r="C288" s="70" t="str">
        <f t="shared" si="2"/>
        <v>60</v>
      </c>
      <c r="D288" s="70" t="str">
        <f t="shared" si="3"/>
        <v>40</v>
      </c>
      <c r="E288" s="70">
        <v>2.5</v>
      </c>
      <c r="F288" s="78">
        <v>0.191</v>
      </c>
      <c r="G288" s="78">
        <v>4.5890000000000004</v>
      </c>
      <c r="H288" s="70">
        <v>3.6019999999999999</v>
      </c>
      <c r="I288" s="77">
        <v>22.055</v>
      </c>
      <c r="J288" s="77">
        <v>11.725</v>
      </c>
      <c r="K288" s="77">
        <v>7.3520000000000003</v>
      </c>
      <c r="L288" s="77">
        <v>5.8620000000000001</v>
      </c>
      <c r="M288" s="70">
        <v>2.1920000000000002</v>
      </c>
      <c r="N288" s="70">
        <v>1.5980000000000001</v>
      </c>
      <c r="O288" s="77">
        <v>9.06</v>
      </c>
      <c r="P288" s="77">
        <v>6.8460000000000001</v>
      </c>
      <c r="Q288" s="77">
        <v>24.196999999999999</v>
      </c>
      <c r="R288" s="77">
        <v>10.721</v>
      </c>
      <c r="S288" s="29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</row>
    <row r="289" spans="1:33" x14ac:dyDescent="0.25">
      <c r="A289" s="26" t="s">
        <v>520</v>
      </c>
      <c r="B289" s="70" t="s">
        <v>205</v>
      </c>
      <c r="C289" s="70" t="str">
        <f t="shared" si="2"/>
        <v>60</v>
      </c>
      <c r="D289" s="70" t="str">
        <f t="shared" si="3"/>
        <v>40</v>
      </c>
      <c r="E289" s="70">
        <v>3.2</v>
      </c>
      <c r="F289" s="78">
        <v>0.189</v>
      </c>
      <c r="G289" s="78">
        <v>5.7270000000000003</v>
      </c>
      <c r="H289" s="70">
        <v>4.4950000000000001</v>
      </c>
      <c r="I289" s="77">
        <v>26.588999999999999</v>
      </c>
      <c r="J289" s="77">
        <v>14.05</v>
      </c>
      <c r="K289" s="77">
        <v>8.8629999999999995</v>
      </c>
      <c r="L289" s="77">
        <v>7.0250000000000004</v>
      </c>
      <c r="M289" s="70">
        <v>2.1549999999999998</v>
      </c>
      <c r="N289" s="70">
        <v>1.5660000000000001</v>
      </c>
      <c r="O289" s="77">
        <v>11.1</v>
      </c>
      <c r="P289" s="77">
        <v>8.3689999999999998</v>
      </c>
      <c r="Q289" s="77">
        <v>29.311</v>
      </c>
      <c r="R289" s="77">
        <v>13.250999999999999</v>
      </c>
      <c r="S289" s="29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</row>
    <row r="290" spans="1:33" x14ac:dyDescent="0.25">
      <c r="A290" s="26" t="s">
        <v>521</v>
      </c>
      <c r="B290" s="70" t="s">
        <v>205</v>
      </c>
      <c r="C290" s="70" t="str">
        <f t="shared" si="2"/>
        <v>80</v>
      </c>
      <c r="D290" s="70" t="str">
        <f t="shared" si="3"/>
        <v>40</v>
      </c>
      <c r="E290" s="70">
        <v>1.6</v>
      </c>
      <c r="F290" s="78">
        <v>0.23499999999999999</v>
      </c>
      <c r="G290" s="78">
        <v>3.6720000000000002</v>
      </c>
      <c r="H290" s="70">
        <v>2.8820000000000001</v>
      </c>
      <c r="I290" s="77">
        <v>30.693999999999999</v>
      </c>
      <c r="J290" s="77">
        <v>10.509</v>
      </c>
      <c r="K290" s="77">
        <v>7.6740000000000004</v>
      </c>
      <c r="L290" s="77">
        <v>5.2549999999999999</v>
      </c>
      <c r="M290" s="70">
        <v>2.891</v>
      </c>
      <c r="N290" s="70">
        <v>1.6919999999999999</v>
      </c>
      <c r="O290" s="77">
        <v>9.4749999999999996</v>
      </c>
      <c r="P290" s="77">
        <v>5.87</v>
      </c>
      <c r="Q290" s="77">
        <v>24.75</v>
      </c>
      <c r="R290" s="77">
        <v>9.6180000000000003</v>
      </c>
      <c r="S290" s="29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</row>
    <row r="291" spans="1:33" x14ac:dyDescent="0.25">
      <c r="A291" s="26" t="s">
        <v>522</v>
      </c>
      <c r="B291" s="70" t="s">
        <v>205</v>
      </c>
      <c r="C291" s="70" t="str">
        <f t="shared" si="2"/>
        <v>80</v>
      </c>
      <c r="D291" s="70" t="str">
        <f t="shared" si="3"/>
        <v>40</v>
      </c>
      <c r="E291" s="70">
        <v>2</v>
      </c>
      <c r="F291" s="78">
        <v>0.23300000000000001</v>
      </c>
      <c r="G291" s="78">
        <v>4.5369999999999999</v>
      </c>
      <c r="H291" s="70">
        <v>3.5619999999999998</v>
      </c>
      <c r="I291" s="77">
        <v>37.331000000000003</v>
      </c>
      <c r="J291" s="77">
        <v>12.711</v>
      </c>
      <c r="K291" s="77">
        <v>9.3330000000000002</v>
      </c>
      <c r="L291" s="77">
        <v>6.3559999999999999</v>
      </c>
      <c r="M291" s="70">
        <v>2.8679999999999999</v>
      </c>
      <c r="N291" s="70">
        <v>1.6739999999999999</v>
      </c>
      <c r="O291" s="77">
        <v>11.61</v>
      </c>
      <c r="P291" s="77">
        <v>7.1760000000000002</v>
      </c>
      <c r="Q291" s="77">
        <v>30.135999999999999</v>
      </c>
      <c r="R291" s="77">
        <v>11.824999999999999</v>
      </c>
      <c r="S291" s="29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</row>
    <row r="292" spans="1:33" x14ac:dyDescent="0.25">
      <c r="A292" s="26" t="s">
        <v>523</v>
      </c>
      <c r="B292" s="70" t="s">
        <v>205</v>
      </c>
      <c r="C292" s="70" t="str">
        <f t="shared" si="2"/>
        <v>80</v>
      </c>
      <c r="D292" s="70" t="str">
        <f t="shared" si="3"/>
        <v>40</v>
      </c>
      <c r="E292" s="70">
        <v>2.5</v>
      </c>
      <c r="F292" s="78">
        <v>0.23100000000000001</v>
      </c>
      <c r="G292" s="78">
        <v>5.5890000000000004</v>
      </c>
      <c r="H292" s="70">
        <v>4.3869999999999996</v>
      </c>
      <c r="I292" s="77">
        <v>45.072000000000003</v>
      </c>
      <c r="J292" s="77">
        <v>15.24</v>
      </c>
      <c r="K292" s="77">
        <v>11.268000000000001</v>
      </c>
      <c r="L292" s="77">
        <v>7.62</v>
      </c>
      <c r="M292" s="70">
        <v>2.84</v>
      </c>
      <c r="N292" s="70">
        <v>1.651</v>
      </c>
      <c r="O292" s="77">
        <v>14.148999999999999</v>
      </c>
      <c r="P292" s="77">
        <v>8.7210000000000001</v>
      </c>
      <c r="Q292" s="77">
        <v>36.417999999999999</v>
      </c>
      <c r="R292" s="77">
        <v>14.471</v>
      </c>
      <c r="S292" s="29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</row>
    <row r="293" spans="1:33" x14ac:dyDescent="0.25">
      <c r="A293" s="26" t="s">
        <v>524</v>
      </c>
      <c r="B293" s="70" t="s">
        <v>205</v>
      </c>
      <c r="C293" s="70" t="str">
        <f t="shared" si="2"/>
        <v>80</v>
      </c>
      <c r="D293" s="70" t="str">
        <f t="shared" si="3"/>
        <v>40</v>
      </c>
      <c r="E293" s="70">
        <v>3.2</v>
      </c>
      <c r="F293" s="78">
        <v>0.22900000000000001</v>
      </c>
      <c r="G293" s="78">
        <v>7.0069999999999997</v>
      </c>
      <c r="H293" s="70">
        <v>5.5</v>
      </c>
      <c r="I293" s="77">
        <v>54.902000000000001</v>
      </c>
      <c r="J293" s="77">
        <v>18.384</v>
      </c>
      <c r="K293" s="77">
        <v>13.725</v>
      </c>
      <c r="L293" s="77">
        <v>9.1920000000000002</v>
      </c>
      <c r="M293" s="70">
        <v>2.7989999999999999</v>
      </c>
      <c r="N293" s="70">
        <v>1.62</v>
      </c>
      <c r="O293" s="77">
        <v>17.466999999999999</v>
      </c>
      <c r="P293" s="77">
        <v>10.725</v>
      </c>
      <c r="Q293" s="77">
        <v>44.372999999999998</v>
      </c>
      <c r="R293" s="77">
        <v>17.960999999999999</v>
      </c>
      <c r="S293" s="29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</row>
    <row r="294" spans="1:33" x14ac:dyDescent="0.25">
      <c r="A294" s="26" t="s">
        <v>525</v>
      </c>
      <c r="B294" s="70" t="s">
        <v>205</v>
      </c>
      <c r="C294" s="70" t="str">
        <f t="shared" si="2"/>
        <v>80</v>
      </c>
      <c r="D294" s="70" t="str">
        <f t="shared" si="3"/>
        <v>40</v>
      </c>
      <c r="E294" s="70">
        <v>4</v>
      </c>
      <c r="F294" s="78">
        <v>0.22600000000000001</v>
      </c>
      <c r="G294" s="78">
        <v>8.548</v>
      </c>
      <c r="H294" s="70">
        <v>6.71</v>
      </c>
      <c r="I294" s="77">
        <v>64.753</v>
      </c>
      <c r="J294" s="77">
        <v>21.440999999999999</v>
      </c>
      <c r="K294" s="77">
        <v>16.187999999999999</v>
      </c>
      <c r="L294" s="77">
        <v>10.721</v>
      </c>
      <c r="M294" s="70">
        <v>2.7519999999999998</v>
      </c>
      <c r="N294" s="70">
        <v>1.5840000000000001</v>
      </c>
      <c r="O294" s="77">
        <v>20.927</v>
      </c>
      <c r="P294" s="77">
        <v>12.792999999999999</v>
      </c>
      <c r="Q294" s="77">
        <v>52.268000000000001</v>
      </c>
      <c r="R294" s="77">
        <v>21.640999999999998</v>
      </c>
      <c r="S294" s="29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</row>
    <row r="295" spans="1:33" x14ac:dyDescent="0.25">
      <c r="A295" s="26" t="s">
        <v>526</v>
      </c>
      <c r="B295" s="70" t="s">
        <v>205</v>
      </c>
      <c r="C295" s="70" t="str">
        <f>MID(A295,26,3)</f>
        <v>100</v>
      </c>
      <c r="D295" s="70" t="str">
        <f t="shared" si="3"/>
        <v>40</v>
      </c>
      <c r="E295" s="70">
        <v>2</v>
      </c>
      <c r="F295" s="78">
        <v>0.27300000000000002</v>
      </c>
      <c r="G295" s="78">
        <v>5.3369999999999997</v>
      </c>
      <c r="H295" s="70">
        <v>4.1900000000000004</v>
      </c>
      <c r="I295" s="77">
        <v>65.332999999999998</v>
      </c>
      <c r="J295" s="77">
        <v>15.599</v>
      </c>
      <c r="K295" s="77">
        <v>13.067</v>
      </c>
      <c r="L295" s="77">
        <v>7.8</v>
      </c>
      <c r="M295" s="70">
        <v>3.4990000000000001</v>
      </c>
      <c r="N295" s="70">
        <v>1.71</v>
      </c>
      <c r="O295" s="77">
        <v>16.545999999999999</v>
      </c>
      <c r="P295" s="77">
        <v>8.6959999999999997</v>
      </c>
      <c r="Q295" s="77">
        <v>40.619999999999997</v>
      </c>
      <c r="R295" s="77">
        <v>14.865</v>
      </c>
      <c r="S295" s="29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</row>
    <row r="296" spans="1:33" x14ac:dyDescent="0.25">
      <c r="A296" s="26" t="s">
        <v>527</v>
      </c>
      <c r="B296" s="70" t="s">
        <v>205</v>
      </c>
      <c r="C296" s="70" t="str">
        <f t="shared" ref="C296:C336" si="4">MID(A296,26,3)</f>
        <v>100</v>
      </c>
      <c r="D296" s="70" t="str">
        <f t="shared" ref="D296:D336" si="5">MID(A296,18,2)</f>
        <v>40</v>
      </c>
      <c r="E296" s="70">
        <v>2.5</v>
      </c>
      <c r="F296" s="78">
        <v>0.27100000000000002</v>
      </c>
      <c r="G296" s="78">
        <v>6.5890000000000004</v>
      </c>
      <c r="H296" s="70">
        <v>5.1719999999999997</v>
      </c>
      <c r="I296" s="77">
        <v>79.257999999999996</v>
      </c>
      <c r="J296" s="77">
        <v>18.756</v>
      </c>
      <c r="K296" s="77">
        <v>15.852</v>
      </c>
      <c r="L296" s="77">
        <v>9.3780000000000001</v>
      </c>
      <c r="M296" s="70">
        <v>3.468</v>
      </c>
      <c r="N296" s="70">
        <v>1.6870000000000001</v>
      </c>
      <c r="O296" s="77">
        <v>20.236999999999998</v>
      </c>
      <c r="P296" s="77">
        <v>10.596</v>
      </c>
      <c r="Q296" s="77">
        <v>49.185000000000002</v>
      </c>
      <c r="R296" s="77">
        <v>18.221</v>
      </c>
      <c r="S296" s="29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</row>
    <row r="297" spans="1:33" x14ac:dyDescent="0.25">
      <c r="A297" s="26" t="s">
        <v>528</v>
      </c>
      <c r="B297" s="70" t="s">
        <v>205</v>
      </c>
      <c r="C297" s="70" t="str">
        <f t="shared" si="4"/>
        <v>100</v>
      </c>
      <c r="D297" s="70" t="str">
        <f t="shared" si="5"/>
        <v>40</v>
      </c>
      <c r="E297" s="70">
        <v>3.2</v>
      </c>
      <c r="F297" s="78">
        <v>0.26900000000000002</v>
      </c>
      <c r="G297" s="78">
        <v>8.2870000000000008</v>
      </c>
      <c r="H297" s="70">
        <v>6.5049999999999999</v>
      </c>
      <c r="I297" s="77">
        <v>97.215000000000003</v>
      </c>
      <c r="J297" s="77">
        <v>22.716999999999999</v>
      </c>
      <c r="K297" s="77">
        <v>19.443000000000001</v>
      </c>
      <c r="L297" s="77">
        <v>11.359</v>
      </c>
      <c r="M297" s="70">
        <v>3.4249999999999998</v>
      </c>
      <c r="N297" s="70">
        <v>1.6559999999999999</v>
      </c>
      <c r="O297" s="77">
        <v>25.113</v>
      </c>
      <c r="P297" s="77">
        <v>13.08</v>
      </c>
      <c r="Q297" s="77">
        <v>60.115000000000002</v>
      </c>
      <c r="R297" s="77">
        <v>22.672000000000001</v>
      </c>
      <c r="S297" s="29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</row>
    <row r="298" spans="1:33" x14ac:dyDescent="0.25">
      <c r="A298" s="26" t="s">
        <v>529</v>
      </c>
      <c r="B298" s="70" t="s">
        <v>205</v>
      </c>
      <c r="C298" s="70" t="str">
        <f t="shared" si="4"/>
        <v>100</v>
      </c>
      <c r="D298" s="70" t="str">
        <f t="shared" si="5"/>
        <v>40</v>
      </c>
      <c r="E298" s="70">
        <v>4</v>
      </c>
      <c r="F298" s="78">
        <v>0.26600000000000001</v>
      </c>
      <c r="G298" s="78">
        <v>10.148</v>
      </c>
      <c r="H298" s="70">
        <v>7.9660000000000002</v>
      </c>
      <c r="I298" s="77">
        <v>115.60599999999999</v>
      </c>
      <c r="J298" s="77">
        <v>26.625</v>
      </c>
      <c r="K298" s="77">
        <v>23.120999999999999</v>
      </c>
      <c r="L298" s="77">
        <v>13.313000000000001</v>
      </c>
      <c r="M298" s="70">
        <v>3.375</v>
      </c>
      <c r="N298" s="70">
        <v>1.62</v>
      </c>
      <c r="O298" s="77">
        <v>30.274999999999999</v>
      </c>
      <c r="P298" s="77">
        <v>15.673</v>
      </c>
      <c r="Q298" s="77">
        <v>71.097999999999999</v>
      </c>
      <c r="R298" s="77">
        <v>27.401</v>
      </c>
      <c r="S298" s="29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</row>
    <row r="299" spans="1:33" x14ac:dyDescent="0.25">
      <c r="A299" s="26" t="s">
        <v>530</v>
      </c>
      <c r="B299" s="70" t="s">
        <v>205</v>
      </c>
      <c r="C299" s="70" t="str">
        <f t="shared" si="4"/>
        <v>120</v>
      </c>
      <c r="D299" s="70" t="str">
        <f t="shared" si="5"/>
        <v>40</v>
      </c>
      <c r="E299" s="70">
        <v>2</v>
      </c>
      <c r="F299" s="78">
        <v>0.313</v>
      </c>
      <c r="G299" s="78">
        <v>6.1369999999999996</v>
      </c>
      <c r="H299" s="70">
        <v>4.8179999999999996</v>
      </c>
      <c r="I299" s="77">
        <v>104.003</v>
      </c>
      <c r="J299" s="77">
        <v>18.486999999999998</v>
      </c>
      <c r="K299" s="77">
        <v>17.334</v>
      </c>
      <c r="L299" s="77">
        <v>9.2439999999999998</v>
      </c>
      <c r="M299" s="70">
        <v>4.117</v>
      </c>
      <c r="N299" s="70">
        <v>1.736</v>
      </c>
      <c r="O299" s="77">
        <v>22.283000000000001</v>
      </c>
      <c r="P299" s="77">
        <v>10.215999999999999</v>
      </c>
      <c r="Q299" s="77">
        <v>51.377000000000002</v>
      </c>
      <c r="R299" s="77">
        <v>17.905000000000001</v>
      </c>
      <c r="S299" s="29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</row>
    <row r="300" spans="1:33" x14ac:dyDescent="0.25">
      <c r="A300" s="26" t="s">
        <v>531</v>
      </c>
      <c r="B300" s="70" t="s">
        <v>205</v>
      </c>
      <c r="C300" s="70" t="str">
        <f t="shared" si="4"/>
        <v>120</v>
      </c>
      <c r="D300" s="70" t="str">
        <f t="shared" si="5"/>
        <v>40</v>
      </c>
      <c r="E300" s="70">
        <v>2.5</v>
      </c>
      <c r="F300" s="78">
        <v>0.311</v>
      </c>
      <c r="G300" s="78">
        <v>7.5890000000000004</v>
      </c>
      <c r="H300" s="70">
        <v>5.9569999999999999</v>
      </c>
      <c r="I300" s="77">
        <v>126.61499999999999</v>
      </c>
      <c r="J300" s="77">
        <v>22.271000000000001</v>
      </c>
      <c r="K300" s="77">
        <v>21.102</v>
      </c>
      <c r="L300" s="77">
        <v>11.135999999999999</v>
      </c>
      <c r="M300" s="70">
        <v>4.085</v>
      </c>
      <c r="N300" s="70">
        <v>1.7130000000000001</v>
      </c>
      <c r="O300" s="77">
        <v>27.326000000000001</v>
      </c>
      <c r="P300" s="77">
        <v>12.471</v>
      </c>
      <c r="Q300" s="77">
        <v>62.286000000000001</v>
      </c>
      <c r="R300" s="77">
        <v>21.971</v>
      </c>
      <c r="S300" s="29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</row>
    <row r="301" spans="1:33" x14ac:dyDescent="0.25">
      <c r="A301" s="26" t="s">
        <v>532</v>
      </c>
      <c r="B301" s="70" t="s">
        <v>205</v>
      </c>
      <c r="C301" s="70" t="str">
        <f t="shared" si="4"/>
        <v>120</v>
      </c>
      <c r="D301" s="70" t="str">
        <f t="shared" si="5"/>
        <v>40</v>
      </c>
      <c r="E301" s="70">
        <v>3.2</v>
      </c>
      <c r="F301" s="78">
        <v>0.309</v>
      </c>
      <c r="G301" s="78">
        <v>9.5670000000000002</v>
      </c>
      <c r="H301" s="70">
        <v>7.51</v>
      </c>
      <c r="I301" s="77">
        <v>156.08799999999999</v>
      </c>
      <c r="J301" s="77">
        <v>27.050999999999998</v>
      </c>
      <c r="K301" s="77">
        <v>26.015000000000001</v>
      </c>
      <c r="L301" s="77">
        <v>13.525</v>
      </c>
      <c r="M301" s="70">
        <v>4.0389999999999997</v>
      </c>
      <c r="N301" s="70">
        <v>1.6819999999999999</v>
      </c>
      <c r="O301" s="77">
        <v>34.039000000000001</v>
      </c>
      <c r="P301" s="77">
        <v>15.435</v>
      </c>
      <c r="Q301" s="77">
        <v>76.272000000000006</v>
      </c>
      <c r="R301" s="77">
        <v>27.382000000000001</v>
      </c>
      <c r="S301" s="29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</row>
    <row r="302" spans="1:33" x14ac:dyDescent="0.25">
      <c r="A302" s="26" t="s">
        <v>533</v>
      </c>
      <c r="B302" s="70" t="s">
        <v>205</v>
      </c>
      <c r="C302" s="70" t="str">
        <f t="shared" si="4"/>
        <v>120</v>
      </c>
      <c r="D302" s="70" t="str">
        <f t="shared" si="5"/>
        <v>40</v>
      </c>
      <c r="E302" s="70">
        <v>4</v>
      </c>
      <c r="F302" s="78">
        <v>0.30599999999999999</v>
      </c>
      <c r="G302" s="78">
        <v>11.747999999999999</v>
      </c>
      <c r="H302" s="70">
        <v>9.2219999999999995</v>
      </c>
      <c r="I302" s="77">
        <v>186.733</v>
      </c>
      <c r="J302" s="77">
        <v>31.809000000000001</v>
      </c>
      <c r="K302" s="77">
        <v>31.122</v>
      </c>
      <c r="L302" s="77">
        <v>15.904999999999999</v>
      </c>
      <c r="M302" s="70">
        <v>3.9870000000000001</v>
      </c>
      <c r="N302" s="70">
        <v>1.645</v>
      </c>
      <c r="O302" s="77">
        <v>41.222000000000001</v>
      </c>
      <c r="P302" s="77">
        <v>18.553000000000001</v>
      </c>
      <c r="Q302" s="77">
        <v>90.43</v>
      </c>
      <c r="R302" s="77">
        <v>33.161000000000001</v>
      </c>
      <c r="S302" s="29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</row>
    <row r="303" spans="1:33" x14ac:dyDescent="0.25">
      <c r="A303" s="26" t="s">
        <v>534</v>
      </c>
      <c r="B303" s="70" t="s">
        <v>205</v>
      </c>
      <c r="C303" s="70" t="str">
        <f t="shared" si="4"/>
        <v>140</v>
      </c>
      <c r="D303" s="70" t="str">
        <f t="shared" si="5"/>
        <v>40</v>
      </c>
      <c r="E303" s="70">
        <v>3.2</v>
      </c>
      <c r="F303" s="78">
        <v>0.34899999999999998</v>
      </c>
      <c r="G303" s="78">
        <v>10.847</v>
      </c>
      <c r="H303" s="70">
        <v>8.5150000000000006</v>
      </c>
      <c r="I303" s="77">
        <v>234.08099999999999</v>
      </c>
      <c r="J303" s="77">
        <v>31.384</v>
      </c>
      <c r="K303" s="77">
        <v>33.44</v>
      </c>
      <c r="L303" s="77">
        <v>15.692</v>
      </c>
      <c r="M303" s="70">
        <v>4.6459999999999999</v>
      </c>
      <c r="N303" s="70">
        <v>1.7010000000000001</v>
      </c>
      <c r="O303" s="77">
        <v>44.244999999999997</v>
      </c>
      <c r="P303" s="77">
        <v>17.79</v>
      </c>
      <c r="Q303" s="77">
        <v>92.7</v>
      </c>
      <c r="R303" s="77">
        <v>32.093000000000004</v>
      </c>
      <c r="S303" s="29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</row>
    <row r="304" spans="1:33" x14ac:dyDescent="0.25">
      <c r="A304" s="26" t="s">
        <v>535</v>
      </c>
      <c r="B304" s="70" t="s">
        <v>205</v>
      </c>
      <c r="C304" s="70" t="str">
        <f t="shared" si="4"/>
        <v>140</v>
      </c>
      <c r="D304" s="70" t="str">
        <f t="shared" si="5"/>
        <v>40</v>
      </c>
      <c r="E304" s="70">
        <v>4</v>
      </c>
      <c r="F304" s="78">
        <v>0.34599999999999997</v>
      </c>
      <c r="G304" s="78">
        <v>13.348000000000001</v>
      </c>
      <c r="H304" s="70">
        <v>10.478</v>
      </c>
      <c r="I304" s="77">
        <v>281.33600000000001</v>
      </c>
      <c r="J304" s="77">
        <v>36.993000000000002</v>
      </c>
      <c r="K304" s="77">
        <v>40.191000000000003</v>
      </c>
      <c r="L304" s="77">
        <v>18.497</v>
      </c>
      <c r="M304" s="70">
        <v>4.5910000000000002</v>
      </c>
      <c r="N304" s="70">
        <v>1.665</v>
      </c>
      <c r="O304" s="77">
        <v>53.768999999999998</v>
      </c>
      <c r="P304" s="77">
        <v>21.433</v>
      </c>
      <c r="Q304" s="77">
        <v>110.089</v>
      </c>
      <c r="R304" s="77">
        <v>38.920999999999999</v>
      </c>
      <c r="S304" s="29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</row>
    <row r="305" spans="1:33" x14ac:dyDescent="0.25">
      <c r="A305" s="26" t="s">
        <v>536</v>
      </c>
      <c r="B305" s="70" t="s">
        <v>205</v>
      </c>
      <c r="C305" s="70" t="str">
        <f t="shared" si="4"/>
        <v>140</v>
      </c>
      <c r="D305" s="70" t="str">
        <f t="shared" si="5"/>
        <v>40</v>
      </c>
      <c r="E305" s="70">
        <v>4.75</v>
      </c>
      <c r="F305" s="78">
        <v>0.34399999999999997</v>
      </c>
      <c r="G305" s="78">
        <v>15.616</v>
      </c>
      <c r="H305" s="70">
        <v>12.259</v>
      </c>
      <c r="I305" s="77">
        <v>321.767</v>
      </c>
      <c r="J305" s="77">
        <v>41.530999999999999</v>
      </c>
      <c r="K305" s="77">
        <v>45.966999999999999</v>
      </c>
      <c r="L305" s="77">
        <v>20.765000000000001</v>
      </c>
      <c r="M305" s="70">
        <v>4.5389999999999997</v>
      </c>
      <c r="N305" s="70">
        <v>1.631</v>
      </c>
      <c r="O305" s="77">
        <v>62.154000000000003</v>
      </c>
      <c r="P305" s="77">
        <v>24.571000000000002</v>
      </c>
      <c r="Q305" s="77">
        <v>124.34099999999999</v>
      </c>
      <c r="R305" s="77">
        <v>44.878</v>
      </c>
      <c r="S305" s="29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</row>
    <row r="306" spans="1:33" x14ac:dyDescent="0.25">
      <c r="A306" s="26" t="s">
        <v>537</v>
      </c>
      <c r="B306" s="70" t="s">
        <v>205</v>
      </c>
      <c r="C306" s="70" t="str">
        <f t="shared" si="4"/>
        <v>140</v>
      </c>
      <c r="D306" s="70" t="str">
        <f t="shared" si="5"/>
        <v>40</v>
      </c>
      <c r="E306" s="70">
        <v>6.35</v>
      </c>
      <c r="F306" s="78">
        <v>0.33800000000000002</v>
      </c>
      <c r="G306" s="78">
        <v>20.209</v>
      </c>
      <c r="H306" s="70">
        <v>15.864000000000001</v>
      </c>
      <c r="I306" s="77">
        <v>395.95800000000003</v>
      </c>
      <c r="J306" s="77">
        <v>49.067999999999998</v>
      </c>
      <c r="K306" s="77">
        <v>56.564999999999998</v>
      </c>
      <c r="L306" s="77">
        <v>24.533999999999999</v>
      </c>
      <c r="M306" s="70">
        <v>4.4260000000000002</v>
      </c>
      <c r="N306" s="70">
        <v>1.5580000000000001</v>
      </c>
      <c r="O306" s="77">
        <v>78.319000000000003</v>
      </c>
      <c r="P306" s="77">
        <v>30.402999999999999</v>
      </c>
      <c r="Q306" s="77">
        <v>148.26499999999999</v>
      </c>
      <c r="R306" s="77">
        <v>56.127000000000002</v>
      </c>
      <c r="S306" s="29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</row>
    <row r="307" spans="1:33" x14ac:dyDescent="0.25">
      <c r="A307" s="26" t="s">
        <v>538</v>
      </c>
      <c r="B307" s="70" t="s">
        <v>205</v>
      </c>
      <c r="C307" s="70" t="str">
        <f t="shared" si="4"/>
        <v xml:space="preserve">70 </v>
      </c>
      <c r="D307" s="70" t="str">
        <f t="shared" si="5"/>
        <v>50</v>
      </c>
      <c r="E307" s="70">
        <v>2.5</v>
      </c>
      <c r="F307" s="78">
        <v>0.23100000000000001</v>
      </c>
      <c r="G307" s="78">
        <v>5.5890000000000004</v>
      </c>
      <c r="H307" s="70">
        <v>4.3869999999999996</v>
      </c>
      <c r="I307" s="77">
        <v>37.988</v>
      </c>
      <c r="J307" s="77">
        <v>22.571999999999999</v>
      </c>
      <c r="K307" s="77">
        <v>10.853999999999999</v>
      </c>
      <c r="L307" s="77">
        <v>9.0289999999999999</v>
      </c>
      <c r="M307" s="70">
        <v>2.6070000000000002</v>
      </c>
      <c r="N307" s="70">
        <v>2.0099999999999998</v>
      </c>
      <c r="O307" s="77">
        <v>13.167</v>
      </c>
      <c r="P307" s="77">
        <v>10.452999999999999</v>
      </c>
      <c r="Q307" s="77">
        <v>44.36</v>
      </c>
      <c r="R307" s="77">
        <v>15.971</v>
      </c>
      <c r="S307" s="29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</row>
    <row r="308" spans="1:33" x14ac:dyDescent="0.25">
      <c r="A308" s="26" t="s">
        <v>539</v>
      </c>
      <c r="B308" s="70" t="s">
        <v>205</v>
      </c>
      <c r="C308" s="70" t="str">
        <f t="shared" si="4"/>
        <v xml:space="preserve">70 </v>
      </c>
      <c r="D308" s="70" t="str">
        <f t="shared" si="5"/>
        <v>50</v>
      </c>
      <c r="E308" s="70">
        <v>3.2</v>
      </c>
      <c r="F308" s="78">
        <v>0.22900000000000001</v>
      </c>
      <c r="G308" s="78">
        <v>7.0069999999999997</v>
      </c>
      <c r="H308" s="70">
        <v>5.5</v>
      </c>
      <c r="I308" s="77">
        <v>46.295000000000002</v>
      </c>
      <c r="J308" s="77">
        <v>27.396000000000001</v>
      </c>
      <c r="K308" s="77">
        <v>13.227</v>
      </c>
      <c r="L308" s="77">
        <v>10.958</v>
      </c>
      <c r="M308" s="70">
        <v>2.57</v>
      </c>
      <c r="N308" s="70">
        <v>1.9770000000000001</v>
      </c>
      <c r="O308" s="77">
        <v>16.260999999999999</v>
      </c>
      <c r="P308" s="77">
        <v>12.89</v>
      </c>
      <c r="Q308" s="77">
        <v>54.366999999999997</v>
      </c>
      <c r="R308" s="77">
        <v>19.881</v>
      </c>
      <c r="S308" s="29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</row>
    <row r="309" spans="1:33" x14ac:dyDescent="0.25">
      <c r="A309" s="26" t="s">
        <v>540</v>
      </c>
      <c r="B309" s="70" t="s">
        <v>205</v>
      </c>
      <c r="C309" s="70" t="str">
        <f t="shared" si="4"/>
        <v xml:space="preserve">70 </v>
      </c>
      <c r="D309" s="70" t="str">
        <f t="shared" si="5"/>
        <v>50</v>
      </c>
      <c r="E309" s="70">
        <v>4</v>
      </c>
      <c r="F309" s="78">
        <v>0.22600000000000001</v>
      </c>
      <c r="G309" s="78">
        <v>8.548</v>
      </c>
      <c r="H309" s="70">
        <v>6.71</v>
      </c>
      <c r="I309" s="77">
        <v>54.642000000000003</v>
      </c>
      <c r="J309" s="77">
        <v>32.186</v>
      </c>
      <c r="K309" s="77">
        <v>15.612</v>
      </c>
      <c r="L309" s="77">
        <v>12.874000000000001</v>
      </c>
      <c r="M309" s="70">
        <v>2.528</v>
      </c>
      <c r="N309" s="70">
        <v>1.94</v>
      </c>
      <c r="O309" s="77">
        <v>19.494</v>
      </c>
      <c r="P309" s="77">
        <v>15.427</v>
      </c>
      <c r="Q309" s="77">
        <v>64.504000000000005</v>
      </c>
      <c r="R309" s="77">
        <v>24.041</v>
      </c>
      <c r="S309" s="29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</row>
    <row r="310" spans="1:33" x14ac:dyDescent="0.25">
      <c r="A310" s="26" t="s">
        <v>541</v>
      </c>
      <c r="B310" s="70" t="s">
        <v>205</v>
      </c>
      <c r="C310" s="70" t="str">
        <f t="shared" si="4"/>
        <v>150</v>
      </c>
      <c r="D310" s="70" t="str">
        <f t="shared" si="5"/>
        <v>50</v>
      </c>
      <c r="E310" s="70">
        <v>3.2</v>
      </c>
      <c r="F310" s="78">
        <v>0.38900000000000001</v>
      </c>
      <c r="G310" s="78">
        <v>12.127000000000001</v>
      </c>
      <c r="H310" s="70">
        <v>9.5190000000000001</v>
      </c>
      <c r="I310" s="77">
        <v>315.52800000000002</v>
      </c>
      <c r="J310" s="77">
        <v>55.430999999999997</v>
      </c>
      <c r="K310" s="77">
        <v>42.07</v>
      </c>
      <c r="L310" s="77">
        <v>22.172000000000001</v>
      </c>
      <c r="M310" s="70">
        <v>5.101</v>
      </c>
      <c r="N310" s="70">
        <v>2.1379999999999999</v>
      </c>
      <c r="O310" s="77">
        <v>54.526000000000003</v>
      </c>
      <c r="P310" s="77">
        <v>24.870999999999999</v>
      </c>
      <c r="Q310" s="77">
        <v>155.136</v>
      </c>
      <c r="R310" s="77">
        <v>43.843000000000004</v>
      </c>
      <c r="S310" s="29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</row>
    <row r="311" spans="1:33" x14ac:dyDescent="0.25">
      <c r="A311" s="26" t="s">
        <v>542</v>
      </c>
      <c r="B311" s="70" t="s">
        <v>205</v>
      </c>
      <c r="C311" s="70" t="str">
        <f t="shared" si="4"/>
        <v>150</v>
      </c>
      <c r="D311" s="70" t="str">
        <f t="shared" si="5"/>
        <v>50</v>
      </c>
      <c r="E311" s="70">
        <v>4</v>
      </c>
      <c r="F311" s="78">
        <v>0.38600000000000001</v>
      </c>
      <c r="G311" s="78">
        <v>14.948</v>
      </c>
      <c r="H311" s="70">
        <v>11.734</v>
      </c>
      <c r="I311" s="77">
        <v>381.07299999999998</v>
      </c>
      <c r="J311" s="77">
        <v>66.042000000000002</v>
      </c>
      <c r="K311" s="77">
        <v>50.81</v>
      </c>
      <c r="L311" s="77">
        <v>26.417000000000002</v>
      </c>
      <c r="M311" s="70">
        <v>5.0490000000000004</v>
      </c>
      <c r="N311" s="70">
        <v>2.1019999999999999</v>
      </c>
      <c r="O311" s="77">
        <v>66.483000000000004</v>
      </c>
      <c r="P311" s="77">
        <v>30.146999999999998</v>
      </c>
      <c r="Q311" s="77">
        <v>186.21</v>
      </c>
      <c r="R311" s="77">
        <v>53.481000000000002</v>
      </c>
      <c r="S311" s="29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</row>
    <row r="312" spans="1:33" x14ac:dyDescent="0.25">
      <c r="A312" s="26" t="s">
        <v>543</v>
      </c>
      <c r="B312" s="70" t="s">
        <v>205</v>
      </c>
      <c r="C312" s="70" t="str">
        <f t="shared" si="4"/>
        <v>150</v>
      </c>
      <c r="D312" s="70" t="str">
        <f t="shared" si="5"/>
        <v>50</v>
      </c>
      <c r="E312" s="70">
        <v>4.75</v>
      </c>
      <c r="F312" s="78">
        <v>0.38400000000000001</v>
      </c>
      <c r="G312" s="78">
        <v>17.515999999999998</v>
      </c>
      <c r="H312" s="70">
        <v>13.75</v>
      </c>
      <c r="I312" s="77">
        <v>437.916</v>
      </c>
      <c r="J312" s="77">
        <v>74.92</v>
      </c>
      <c r="K312" s="77">
        <v>58.389000000000003</v>
      </c>
      <c r="L312" s="77">
        <v>29.968</v>
      </c>
      <c r="M312" s="70">
        <v>5</v>
      </c>
      <c r="N312" s="70">
        <v>2.0680000000000001</v>
      </c>
      <c r="O312" s="77">
        <v>77.099000000000004</v>
      </c>
      <c r="P312" s="77">
        <v>34.765999999999998</v>
      </c>
      <c r="Q312" s="77">
        <v>212.578</v>
      </c>
      <c r="R312" s="77">
        <v>62.024999999999999</v>
      </c>
      <c r="S312" s="29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</row>
    <row r="313" spans="1:33" x14ac:dyDescent="0.25">
      <c r="A313" s="26" t="s">
        <v>544</v>
      </c>
      <c r="B313" s="70" t="s">
        <v>205</v>
      </c>
      <c r="C313" s="70" t="str">
        <f t="shared" si="4"/>
        <v>150</v>
      </c>
      <c r="D313" s="70" t="str">
        <f t="shared" si="5"/>
        <v>50</v>
      </c>
      <c r="E313" s="70">
        <v>6.35</v>
      </c>
      <c r="F313" s="78">
        <v>0.378</v>
      </c>
      <c r="G313" s="78">
        <v>22.748999999999999</v>
      </c>
      <c r="H313" s="70">
        <v>17.858000000000001</v>
      </c>
      <c r="I313" s="77">
        <v>544.78399999999999</v>
      </c>
      <c r="J313" s="77">
        <v>90.631</v>
      </c>
      <c r="K313" s="77">
        <v>72.638000000000005</v>
      </c>
      <c r="L313" s="77">
        <v>36.252000000000002</v>
      </c>
      <c r="M313" s="70">
        <v>4.8940000000000001</v>
      </c>
      <c r="N313" s="70">
        <v>1.996</v>
      </c>
      <c r="O313" s="77">
        <v>97.861999999999995</v>
      </c>
      <c r="P313" s="77">
        <v>43.594999999999999</v>
      </c>
      <c r="Q313" s="77">
        <v>260.00799999999998</v>
      </c>
      <c r="R313" s="77">
        <v>78.644000000000005</v>
      </c>
      <c r="S313" s="29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</row>
    <row r="314" spans="1:33" x14ac:dyDescent="0.25">
      <c r="A314" s="26" t="s">
        <v>545</v>
      </c>
      <c r="B314" s="70" t="s">
        <v>205</v>
      </c>
      <c r="C314" s="70" t="str">
        <f t="shared" si="4"/>
        <v xml:space="preserve">80 </v>
      </c>
      <c r="D314" s="70" t="str">
        <f t="shared" si="5"/>
        <v>60</v>
      </c>
      <c r="E314" s="70">
        <v>2.5</v>
      </c>
      <c r="F314" s="78">
        <v>0.27100000000000002</v>
      </c>
      <c r="G314" s="78">
        <v>6.5890000000000004</v>
      </c>
      <c r="H314" s="70">
        <v>5.1719999999999997</v>
      </c>
      <c r="I314" s="77">
        <v>60.088000000000001</v>
      </c>
      <c r="J314" s="77">
        <v>38.587000000000003</v>
      </c>
      <c r="K314" s="77">
        <v>15.022</v>
      </c>
      <c r="L314" s="77">
        <v>12.862</v>
      </c>
      <c r="M314" s="70">
        <v>3.02</v>
      </c>
      <c r="N314" s="70">
        <v>2.42</v>
      </c>
      <c r="O314" s="77">
        <v>18.024000000000001</v>
      </c>
      <c r="P314" s="77">
        <v>14.81</v>
      </c>
      <c r="Q314" s="77">
        <v>73.150999999999996</v>
      </c>
      <c r="R314" s="77">
        <v>22.221</v>
      </c>
      <c r="S314" s="29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</row>
    <row r="315" spans="1:33" x14ac:dyDescent="0.25">
      <c r="A315" s="26" t="s">
        <v>546</v>
      </c>
      <c r="B315" s="70" t="s">
        <v>205</v>
      </c>
      <c r="C315" s="70" t="str">
        <f t="shared" si="4"/>
        <v xml:space="preserve">80 </v>
      </c>
      <c r="D315" s="70" t="str">
        <f t="shared" si="5"/>
        <v>60</v>
      </c>
      <c r="E315" s="70">
        <v>3.2</v>
      </c>
      <c r="F315" s="78">
        <v>0.26900000000000002</v>
      </c>
      <c r="G315" s="78">
        <v>8.2870000000000008</v>
      </c>
      <c r="H315" s="70">
        <v>6.5049999999999999</v>
      </c>
      <c r="I315" s="77">
        <v>73.775999999999996</v>
      </c>
      <c r="J315" s="77">
        <v>47.237000000000002</v>
      </c>
      <c r="K315" s="77">
        <v>18.443999999999999</v>
      </c>
      <c r="L315" s="77">
        <v>15.746</v>
      </c>
      <c r="M315" s="70">
        <v>2.984</v>
      </c>
      <c r="N315" s="70">
        <v>2.3879999999999999</v>
      </c>
      <c r="O315" s="77">
        <v>22.382000000000001</v>
      </c>
      <c r="P315" s="77">
        <v>18.370999999999999</v>
      </c>
      <c r="Q315" s="77">
        <v>90.332999999999998</v>
      </c>
      <c r="R315" s="77">
        <v>27.792000000000002</v>
      </c>
      <c r="S315" s="29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</row>
    <row r="316" spans="1:33" x14ac:dyDescent="0.25">
      <c r="A316" s="26" t="s">
        <v>547</v>
      </c>
      <c r="B316" s="70" t="s">
        <v>205</v>
      </c>
      <c r="C316" s="70" t="str">
        <f t="shared" si="4"/>
        <v xml:space="preserve">80 </v>
      </c>
      <c r="D316" s="70" t="str">
        <f t="shared" si="5"/>
        <v>60</v>
      </c>
      <c r="E316" s="70">
        <v>4</v>
      </c>
      <c r="F316" s="78">
        <v>0.26600000000000001</v>
      </c>
      <c r="G316" s="78">
        <v>10.148</v>
      </c>
      <c r="H316" s="70">
        <v>7.9660000000000002</v>
      </c>
      <c r="I316" s="77">
        <v>87.856999999999999</v>
      </c>
      <c r="J316" s="77">
        <v>56.063000000000002</v>
      </c>
      <c r="K316" s="77">
        <v>21.963999999999999</v>
      </c>
      <c r="L316" s="77">
        <v>18.687999999999999</v>
      </c>
      <c r="M316" s="70">
        <v>2.9420000000000002</v>
      </c>
      <c r="N316" s="70">
        <v>2.35</v>
      </c>
      <c r="O316" s="77">
        <v>27.007000000000001</v>
      </c>
      <c r="P316" s="77">
        <v>22.14</v>
      </c>
      <c r="Q316" s="77">
        <v>108.19</v>
      </c>
      <c r="R316" s="77">
        <v>33.801000000000002</v>
      </c>
      <c r="S316" s="29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</row>
    <row r="317" spans="1:33" x14ac:dyDescent="0.25">
      <c r="A317" s="26" t="s">
        <v>548</v>
      </c>
      <c r="B317" s="70" t="s">
        <v>205</v>
      </c>
      <c r="C317" s="70" t="str">
        <f t="shared" si="4"/>
        <v>100</v>
      </c>
      <c r="D317" s="70" t="str">
        <f t="shared" si="5"/>
        <v>60</v>
      </c>
      <c r="E317" s="70">
        <v>3.2</v>
      </c>
      <c r="F317" s="78">
        <v>0.309</v>
      </c>
      <c r="G317" s="78">
        <v>9.5670000000000002</v>
      </c>
      <c r="H317" s="70">
        <v>7.51</v>
      </c>
      <c r="I317" s="77">
        <v>127.199</v>
      </c>
      <c r="J317" s="77">
        <v>57.561</v>
      </c>
      <c r="K317" s="77">
        <v>25.44</v>
      </c>
      <c r="L317" s="77">
        <v>19.187000000000001</v>
      </c>
      <c r="M317" s="70">
        <v>3.6459999999999999</v>
      </c>
      <c r="N317" s="70">
        <v>2.4529999999999998</v>
      </c>
      <c r="O317" s="77">
        <v>31.308</v>
      </c>
      <c r="P317" s="77">
        <v>22.006</v>
      </c>
      <c r="Q317" s="77">
        <v>125.056</v>
      </c>
      <c r="R317" s="77">
        <v>35.061999999999998</v>
      </c>
      <c r="S317" s="29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</row>
    <row r="318" spans="1:33" x14ac:dyDescent="0.25">
      <c r="A318" s="26" t="s">
        <v>549</v>
      </c>
      <c r="B318" s="70" t="s">
        <v>205</v>
      </c>
      <c r="C318" s="70" t="str">
        <f t="shared" si="4"/>
        <v>100</v>
      </c>
      <c r="D318" s="70" t="str">
        <f t="shared" si="5"/>
        <v>60</v>
      </c>
      <c r="E318" s="70">
        <v>4</v>
      </c>
      <c r="F318" s="78">
        <v>0.30599999999999999</v>
      </c>
      <c r="G318" s="78">
        <v>11.747999999999999</v>
      </c>
      <c r="H318" s="70">
        <v>9.2219999999999995</v>
      </c>
      <c r="I318" s="77">
        <v>152.47</v>
      </c>
      <c r="J318" s="77">
        <v>68.606999999999999</v>
      </c>
      <c r="K318" s="77">
        <v>30.494</v>
      </c>
      <c r="L318" s="77">
        <v>22.869</v>
      </c>
      <c r="M318" s="70">
        <v>3.6030000000000002</v>
      </c>
      <c r="N318" s="70">
        <v>2.4169999999999998</v>
      </c>
      <c r="O318" s="77">
        <v>37.954999999999998</v>
      </c>
      <c r="P318" s="77">
        <v>26.62</v>
      </c>
      <c r="Q318" s="77">
        <v>150.36799999999999</v>
      </c>
      <c r="R318" s="77">
        <v>42.761000000000003</v>
      </c>
      <c r="S318" s="29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</row>
    <row r="319" spans="1:33" x14ac:dyDescent="0.25">
      <c r="A319" s="26" t="s">
        <v>550</v>
      </c>
      <c r="B319" s="70" t="s">
        <v>205</v>
      </c>
      <c r="C319" s="70" t="str">
        <f t="shared" si="4"/>
        <v>100</v>
      </c>
      <c r="D319" s="70" t="str">
        <f t="shared" si="5"/>
        <v>60</v>
      </c>
      <c r="E319" s="70">
        <v>4.75</v>
      </c>
      <c r="F319" s="78">
        <v>0.30399999999999999</v>
      </c>
      <c r="G319" s="78">
        <v>13.715999999999999</v>
      </c>
      <c r="H319" s="70">
        <v>10.766999999999999</v>
      </c>
      <c r="I319" s="77">
        <v>173.952</v>
      </c>
      <c r="J319" s="77">
        <v>77.861000000000004</v>
      </c>
      <c r="K319" s="77">
        <v>34.79</v>
      </c>
      <c r="L319" s="77">
        <v>25.954000000000001</v>
      </c>
      <c r="M319" s="70">
        <v>3.5609999999999999</v>
      </c>
      <c r="N319" s="70">
        <v>2.383</v>
      </c>
      <c r="O319" s="77">
        <v>43.771999999999998</v>
      </c>
      <c r="P319" s="77">
        <v>30.638999999999999</v>
      </c>
      <c r="Q319" s="77">
        <v>171.93199999999999</v>
      </c>
      <c r="R319" s="77">
        <v>49.58</v>
      </c>
      <c r="S319" s="29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</row>
    <row r="320" spans="1:33" x14ac:dyDescent="0.25">
      <c r="A320" s="26" t="s">
        <v>551</v>
      </c>
      <c r="B320" s="70" t="s">
        <v>205</v>
      </c>
      <c r="C320" s="70" t="str">
        <f t="shared" si="4"/>
        <v>120</v>
      </c>
      <c r="D320" s="70" t="str">
        <f t="shared" si="5"/>
        <v>60</v>
      </c>
      <c r="E320" s="70">
        <v>3.2</v>
      </c>
      <c r="F320" s="78">
        <v>0.34899999999999998</v>
      </c>
      <c r="G320" s="78">
        <v>10.847</v>
      </c>
      <c r="H320" s="70">
        <v>8.5150000000000006</v>
      </c>
      <c r="I320" s="77">
        <v>199.74299999999999</v>
      </c>
      <c r="J320" s="77">
        <v>67.885000000000005</v>
      </c>
      <c r="K320" s="77">
        <v>33.29</v>
      </c>
      <c r="L320" s="77">
        <v>22.628</v>
      </c>
      <c r="M320" s="70">
        <v>4.2910000000000004</v>
      </c>
      <c r="N320" s="70">
        <v>2.5019999999999998</v>
      </c>
      <c r="O320" s="77">
        <v>41.514000000000003</v>
      </c>
      <c r="P320" s="77">
        <v>25.640999999999998</v>
      </c>
      <c r="Q320" s="77">
        <v>161.29400000000001</v>
      </c>
      <c r="R320" s="77">
        <v>42.332999999999998</v>
      </c>
      <c r="S320" s="29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</row>
    <row r="321" spans="1:33" x14ac:dyDescent="0.25">
      <c r="A321" s="26" t="s">
        <v>552</v>
      </c>
      <c r="B321" s="70" t="s">
        <v>205</v>
      </c>
      <c r="C321" s="70" t="str">
        <f t="shared" si="4"/>
        <v>120</v>
      </c>
      <c r="D321" s="70" t="str">
        <f t="shared" si="5"/>
        <v>60</v>
      </c>
      <c r="E321" s="70">
        <v>4</v>
      </c>
      <c r="F321" s="78">
        <v>0.34599999999999997</v>
      </c>
      <c r="G321" s="78">
        <v>13.348000000000001</v>
      </c>
      <c r="H321" s="70">
        <v>10.478</v>
      </c>
      <c r="I321" s="77">
        <v>240.55699999999999</v>
      </c>
      <c r="J321" s="77">
        <v>81.150999999999996</v>
      </c>
      <c r="K321" s="77">
        <v>40.093000000000004</v>
      </c>
      <c r="L321" s="77">
        <v>27.05</v>
      </c>
      <c r="M321" s="70">
        <v>4.2450000000000001</v>
      </c>
      <c r="N321" s="70">
        <v>2.4660000000000002</v>
      </c>
      <c r="O321" s="77">
        <v>50.502000000000002</v>
      </c>
      <c r="P321" s="77">
        <v>31.1</v>
      </c>
      <c r="Q321" s="77">
        <v>194.40600000000001</v>
      </c>
      <c r="R321" s="77">
        <v>51.720999999999997</v>
      </c>
      <c r="S321" s="29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</row>
    <row r="322" spans="1:33" x14ac:dyDescent="0.25">
      <c r="A322" s="26" t="s">
        <v>553</v>
      </c>
      <c r="B322" s="70" t="s">
        <v>205</v>
      </c>
      <c r="C322" s="70" t="str">
        <f t="shared" si="4"/>
        <v>120</v>
      </c>
      <c r="D322" s="70" t="str">
        <f t="shared" si="5"/>
        <v>60</v>
      </c>
      <c r="E322" s="70">
        <v>4.75</v>
      </c>
      <c r="F322" s="78">
        <v>0.34399999999999997</v>
      </c>
      <c r="G322" s="78">
        <v>15.616</v>
      </c>
      <c r="H322" s="70">
        <v>12.259</v>
      </c>
      <c r="I322" s="77">
        <v>275.702</v>
      </c>
      <c r="J322" s="77">
        <v>92.36</v>
      </c>
      <c r="K322" s="77">
        <v>45.95</v>
      </c>
      <c r="L322" s="77">
        <v>30.786999999999999</v>
      </c>
      <c r="M322" s="70">
        <v>4.202</v>
      </c>
      <c r="N322" s="70">
        <v>2.4319999999999999</v>
      </c>
      <c r="O322" s="77">
        <v>58.438000000000002</v>
      </c>
      <c r="P322" s="77">
        <v>35.887999999999998</v>
      </c>
      <c r="Q322" s="77">
        <v>222.833</v>
      </c>
      <c r="R322" s="77">
        <v>60.078000000000003</v>
      </c>
      <c r="S322" s="29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</row>
    <row r="323" spans="1:33" x14ac:dyDescent="0.25">
      <c r="A323" s="26" t="s">
        <v>554</v>
      </c>
      <c r="B323" s="70" t="s">
        <v>205</v>
      </c>
      <c r="C323" s="70" t="str">
        <f t="shared" si="4"/>
        <v>120</v>
      </c>
      <c r="D323" s="70" t="str">
        <f t="shared" si="5"/>
        <v>60</v>
      </c>
      <c r="E323" s="70">
        <v>6.35</v>
      </c>
      <c r="F323" s="78">
        <v>0.33800000000000002</v>
      </c>
      <c r="G323" s="78">
        <v>20.209</v>
      </c>
      <c r="H323" s="70">
        <v>15.864000000000001</v>
      </c>
      <c r="I323" s="77">
        <v>340.99799999999999</v>
      </c>
      <c r="J323" s="77">
        <v>112.544</v>
      </c>
      <c r="K323" s="77">
        <v>56.832999999999998</v>
      </c>
      <c r="L323" s="77">
        <v>37.515000000000001</v>
      </c>
      <c r="M323" s="70">
        <v>4.1079999999999997</v>
      </c>
      <c r="N323" s="70">
        <v>2.36</v>
      </c>
      <c r="O323" s="77">
        <v>73.816000000000003</v>
      </c>
      <c r="P323" s="77">
        <v>45.066000000000003</v>
      </c>
      <c r="Q323" s="77">
        <v>275.053</v>
      </c>
      <c r="R323" s="77">
        <v>76.447000000000003</v>
      </c>
      <c r="S323" s="29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</row>
    <row r="324" spans="1:33" x14ac:dyDescent="0.25">
      <c r="A324" s="26" t="s">
        <v>555</v>
      </c>
      <c r="B324" s="70" t="s">
        <v>205</v>
      </c>
      <c r="C324" s="70" t="str">
        <f t="shared" si="4"/>
        <v>150</v>
      </c>
      <c r="D324" s="70" t="str">
        <f t="shared" si="5"/>
        <v>70</v>
      </c>
      <c r="E324" s="70">
        <v>3.2</v>
      </c>
      <c r="F324" s="78">
        <v>0.42899999999999999</v>
      </c>
      <c r="G324" s="78">
        <v>13.407</v>
      </c>
      <c r="H324" s="70">
        <v>10.523999999999999</v>
      </c>
      <c r="I324" s="77">
        <v>384.488</v>
      </c>
      <c r="J324" s="77">
        <v>117.691</v>
      </c>
      <c r="K324" s="77">
        <v>51.265000000000001</v>
      </c>
      <c r="L324" s="77">
        <v>33.625999999999998</v>
      </c>
      <c r="M324" s="70">
        <v>5.3550000000000004</v>
      </c>
      <c r="N324" s="70">
        <v>2.9630000000000001</v>
      </c>
      <c r="O324" s="77">
        <v>63.920999999999999</v>
      </c>
      <c r="P324" s="77">
        <v>37.637</v>
      </c>
      <c r="Q324" s="77">
        <v>286.96499999999997</v>
      </c>
      <c r="R324" s="77">
        <v>62.633000000000003</v>
      </c>
      <c r="S324" s="29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</row>
    <row r="325" spans="1:33" x14ac:dyDescent="0.25">
      <c r="A325" s="26" t="s">
        <v>556</v>
      </c>
      <c r="B325" s="70" t="s">
        <v>205</v>
      </c>
      <c r="C325" s="70" t="str">
        <f t="shared" si="4"/>
        <v>150</v>
      </c>
      <c r="D325" s="70" t="str">
        <f t="shared" si="5"/>
        <v>70</v>
      </c>
      <c r="E325" s="70">
        <v>4</v>
      </c>
      <c r="F325" s="78">
        <v>0.42599999999999999</v>
      </c>
      <c r="G325" s="78">
        <v>16.547999999999998</v>
      </c>
      <c r="H325" s="70">
        <v>12.99</v>
      </c>
      <c r="I325" s="77">
        <v>466.33699999999999</v>
      </c>
      <c r="J325" s="77">
        <v>141.762</v>
      </c>
      <c r="K325" s="77">
        <v>62.177999999999997</v>
      </c>
      <c r="L325" s="77">
        <v>40.503</v>
      </c>
      <c r="M325" s="70">
        <v>5.3090000000000002</v>
      </c>
      <c r="N325" s="70">
        <v>2.927</v>
      </c>
      <c r="O325" s="77">
        <v>78.162999999999997</v>
      </c>
      <c r="P325" s="77">
        <v>45.893999999999998</v>
      </c>
      <c r="Q325" s="77">
        <v>348.142</v>
      </c>
      <c r="R325" s="77">
        <v>76.840999999999994</v>
      </c>
      <c r="S325" s="29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</row>
    <row r="326" spans="1:33" x14ac:dyDescent="0.25">
      <c r="A326" s="26" t="s">
        <v>557</v>
      </c>
      <c r="B326" s="70" t="s">
        <v>205</v>
      </c>
      <c r="C326" s="70" t="str">
        <f t="shared" si="4"/>
        <v>150</v>
      </c>
      <c r="D326" s="70" t="str">
        <f t="shared" si="5"/>
        <v>70</v>
      </c>
      <c r="E326" s="70">
        <v>4.75</v>
      </c>
      <c r="F326" s="78">
        <v>0.42399999999999999</v>
      </c>
      <c r="G326" s="78">
        <v>19.416</v>
      </c>
      <c r="H326" s="70">
        <v>15.242000000000001</v>
      </c>
      <c r="I326" s="77">
        <v>538.12900000000002</v>
      </c>
      <c r="J326" s="77">
        <v>162.52600000000001</v>
      </c>
      <c r="K326" s="77">
        <v>71.751000000000005</v>
      </c>
      <c r="L326" s="77">
        <v>46.436</v>
      </c>
      <c r="M326" s="70">
        <v>5.2649999999999997</v>
      </c>
      <c r="N326" s="70">
        <v>2.8929999999999998</v>
      </c>
      <c r="O326" s="77">
        <v>90.897999999999996</v>
      </c>
      <c r="P326" s="77">
        <v>53.231000000000002</v>
      </c>
      <c r="Q326" s="77">
        <v>401.66199999999998</v>
      </c>
      <c r="R326" s="77">
        <v>89.623000000000005</v>
      </c>
      <c r="S326" s="29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</row>
    <row r="327" spans="1:33" x14ac:dyDescent="0.25">
      <c r="A327" s="26" t="s">
        <v>558</v>
      </c>
      <c r="B327" s="70" t="s">
        <v>205</v>
      </c>
      <c r="C327" s="70" t="str">
        <f t="shared" si="4"/>
        <v>150</v>
      </c>
      <c r="D327" s="70" t="str">
        <f t="shared" si="5"/>
        <v>70</v>
      </c>
      <c r="E327" s="70">
        <v>6.35</v>
      </c>
      <c r="F327" s="78">
        <v>0.41799999999999998</v>
      </c>
      <c r="G327" s="78">
        <v>25.289000000000001</v>
      </c>
      <c r="H327" s="70">
        <v>19.852</v>
      </c>
      <c r="I327" s="77">
        <v>675.81799999999998</v>
      </c>
      <c r="J327" s="77">
        <v>201.285</v>
      </c>
      <c r="K327" s="77">
        <v>90.108999999999995</v>
      </c>
      <c r="L327" s="77">
        <v>57.51</v>
      </c>
      <c r="M327" s="70">
        <v>5.17</v>
      </c>
      <c r="N327" s="70">
        <v>2.8210000000000002</v>
      </c>
      <c r="O327" s="77">
        <v>116.105</v>
      </c>
      <c r="P327" s="77">
        <v>67.611999999999995</v>
      </c>
      <c r="Q327" s="77">
        <v>503.47800000000001</v>
      </c>
      <c r="R327" s="77">
        <v>115.131</v>
      </c>
      <c r="S327" s="29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</row>
    <row r="328" spans="1:33" x14ac:dyDescent="0.25">
      <c r="A328" s="26" t="s">
        <v>559</v>
      </c>
      <c r="B328" s="70" t="s">
        <v>205</v>
      </c>
      <c r="C328" s="70" t="str">
        <f t="shared" si="4"/>
        <v>100</v>
      </c>
      <c r="D328" s="70" t="str">
        <f t="shared" si="5"/>
        <v>80</v>
      </c>
      <c r="E328" s="70">
        <v>4</v>
      </c>
      <c r="F328" s="78">
        <v>0.34599999999999997</v>
      </c>
      <c r="G328" s="78">
        <v>13.348000000000001</v>
      </c>
      <c r="H328" s="70">
        <v>10.478</v>
      </c>
      <c r="I328" s="77">
        <v>189.334</v>
      </c>
      <c r="J328" s="77">
        <v>134.065</v>
      </c>
      <c r="K328" s="77">
        <v>37.866999999999997</v>
      </c>
      <c r="L328" s="77">
        <v>33.515999999999998</v>
      </c>
      <c r="M328" s="70">
        <v>3.766</v>
      </c>
      <c r="N328" s="70">
        <v>3.169</v>
      </c>
      <c r="O328" s="77">
        <v>45.634999999999998</v>
      </c>
      <c r="P328" s="77">
        <v>39.167000000000002</v>
      </c>
      <c r="Q328" s="77">
        <v>245.495</v>
      </c>
      <c r="R328" s="77">
        <v>58.121000000000002</v>
      </c>
      <c r="S328" s="29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</row>
    <row r="329" spans="1:33" x14ac:dyDescent="0.25">
      <c r="A329" s="26" t="s">
        <v>560</v>
      </c>
      <c r="B329" s="70" t="s">
        <v>205</v>
      </c>
      <c r="C329" s="70" t="str">
        <f t="shared" si="4"/>
        <v>100</v>
      </c>
      <c r="D329" s="70" t="str">
        <f t="shared" si="5"/>
        <v>80</v>
      </c>
      <c r="E329" s="70">
        <v>4.75</v>
      </c>
      <c r="F329" s="78">
        <v>0.34399999999999997</v>
      </c>
      <c r="G329" s="78">
        <v>15.616</v>
      </c>
      <c r="H329" s="70">
        <v>12.259</v>
      </c>
      <c r="I329" s="77">
        <v>217.04599999999999</v>
      </c>
      <c r="J329" s="77">
        <v>153.399</v>
      </c>
      <c r="K329" s="77">
        <v>43.408999999999999</v>
      </c>
      <c r="L329" s="77">
        <v>38.35</v>
      </c>
      <c r="M329" s="70">
        <v>3.7280000000000002</v>
      </c>
      <c r="N329" s="70">
        <v>3.1339999999999999</v>
      </c>
      <c r="O329" s="77">
        <v>52.820999999999998</v>
      </c>
      <c r="P329" s="77">
        <v>45.304000000000002</v>
      </c>
      <c r="Q329" s="77">
        <v>282.77699999999999</v>
      </c>
      <c r="R329" s="77">
        <v>67.677999999999997</v>
      </c>
      <c r="S329" s="29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</row>
    <row r="330" spans="1:33" x14ac:dyDescent="0.25">
      <c r="A330" s="26" t="s">
        <v>561</v>
      </c>
      <c r="B330" s="70" t="s">
        <v>205</v>
      </c>
      <c r="C330" s="70" t="str">
        <f t="shared" si="4"/>
        <v>100</v>
      </c>
      <c r="D330" s="70" t="str">
        <f t="shared" si="5"/>
        <v>80</v>
      </c>
      <c r="E330" s="70">
        <v>6.35</v>
      </c>
      <c r="F330" s="78">
        <v>0.33800000000000002</v>
      </c>
      <c r="G330" s="78">
        <v>20.209</v>
      </c>
      <c r="H330" s="70">
        <v>15.864000000000001</v>
      </c>
      <c r="I330" s="77">
        <v>268.66899999999998</v>
      </c>
      <c r="J330" s="77">
        <v>189.131</v>
      </c>
      <c r="K330" s="77">
        <v>53.734000000000002</v>
      </c>
      <c r="L330" s="77">
        <v>47.283000000000001</v>
      </c>
      <c r="M330" s="70">
        <v>3.6459999999999999</v>
      </c>
      <c r="N330" s="70">
        <v>3.0590000000000002</v>
      </c>
      <c r="O330" s="77">
        <v>66.772000000000006</v>
      </c>
      <c r="P330" s="77">
        <v>57.189</v>
      </c>
      <c r="Q330" s="77">
        <v>353.02300000000002</v>
      </c>
      <c r="R330" s="77">
        <v>86.606999999999999</v>
      </c>
      <c r="S330" s="29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</row>
    <row r="331" spans="1:33" x14ac:dyDescent="0.25">
      <c r="A331" s="26" t="s">
        <v>562</v>
      </c>
      <c r="B331" s="70" t="s">
        <v>205</v>
      </c>
      <c r="C331" s="70" t="str">
        <f t="shared" si="4"/>
        <v>120</v>
      </c>
      <c r="D331" s="70" t="str">
        <f t="shared" si="5"/>
        <v>80</v>
      </c>
      <c r="E331" s="70">
        <v>4</v>
      </c>
      <c r="F331" s="78">
        <v>0.38600000000000001</v>
      </c>
      <c r="G331" s="78">
        <v>14.948</v>
      </c>
      <c r="H331" s="70">
        <v>11.734</v>
      </c>
      <c r="I331" s="77">
        <v>294.38099999999997</v>
      </c>
      <c r="J331" s="77">
        <v>157.16900000000001</v>
      </c>
      <c r="K331" s="77">
        <v>49.064</v>
      </c>
      <c r="L331" s="77">
        <v>39.292000000000002</v>
      </c>
      <c r="M331" s="70">
        <v>4.4379999999999997</v>
      </c>
      <c r="N331" s="70">
        <v>3.2429999999999999</v>
      </c>
      <c r="O331" s="77">
        <v>59.781999999999996</v>
      </c>
      <c r="P331" s="77">
        <v>45.247</v>
      </c>
      <c r="Q331" s="77">
        <v>321.57400000000001</v>
      </c>
      <c r="R331" s="77">
        <v>70.281000000000006</v>
      </c>
      <c r="S331" s="29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</row>
    <row r="332" spans="1:33" x14ac:dyDescent="0.25">
      <c r="A332" s="26" t="s">
        <v>563</v>
      </c>
      <c r="B332" s="70" t="s">
        <v>205</v>
      </c>
      <c r="C332" s="70" t="str">
        <f t="shared" si="4"/>
        <v>120</v>
      </c>
      <c r="D332" s="70" t="str">
        <f t="shared" si="5"/>
        <v>80</v>
      </c>
      <c r="E332" s="70">
        <v>4.75</v>
      </c>
      <c r="F332" s="78">
        <v>0.38400000000000001</v>
      </c>
      <c r="G332" s="78">
        <v>17.515999999999998</v>
      </c>
      <c r="H332" s="70">
        <v>13.75</v>
      </c>
      <c r="I332" s="77">
        <v>338.79399999999998</v>
      </c>
      <c r="J332" s="77">
        <v>180.29599999999999</v>
      </c>
      <c r="K332" s="77">
        <v>56.466000000000001</v>
      </c>
      <c r="L332" s="77">
        <v>45.073999999999998</v>
      </c>
      <c r="M332" s="70">
        <v>4.3979999999999997</v>
      </c>
      <c r="N332" s="70">
        <v>3.2080000000000002</v>
      </c>
      <c r="O332" s="77">
        <v>69.385999999999996</v>
      </c>
      <c r="P332" s="77">
        <v>52.453000000000003</v>
      </c>
      <c r="Q332" s="77">
        <v>371.31900000000002</v>
      </c>
      <c r="R332" s="77">
        <v>81.974999999999994</v>
      </c>
      <c r="S332" s="29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</row>
    <row r="333" spans="1:33" x14ac:dyDescent="0.25">
      <c r="A333" s="26" t="s">
        <v>564</v>
      </c>
      <c r="B333" s="70" t="s">
        <v>205</v>
      </c>
      <c r="C333" s="70" t="str">
        <f t="shared" si="4"/>
        <v>120</v>
      </c>
      <c r="D333" s="70" t="str">
        <f t="shared" si="5"/>
        <v>80</v>
      </c>
      <c r="E333" s="70">
        <v>6.35</v>
      </c>
      <c r="F333" s="78">
        <v>0.378</v>
      </c>
      <c r="G333" s="78">
        <v>22.748999999999999</v>
      </c>
      <c r="H333" s="70">
        <v>17.858000000000001</v>
      </c>
      <c r="I333" s="77">
        <v>423.017</v>
      </c>
      <c r="J333" s="77">
        <v>223.57499999999999</v>
      </c>
      <c r="K333" s="77">
        <v>70.503</v>
      </c>
      <c r="L333" s="77">
        <v>55.893999999999998</v>
      </c>
      <c r="M333" s="70">
        <v>4.3120000000000003</v>
      </c>
      <c r="N333" s="70">
        <v>3.1349999999999998</v>
      </c>
      <c r="O333" s="77">
        <v>88.248999999999995</v>
      </c>
      <c r="P333" s="77">
        <v>66.543000000000006</v>
      </c>
      <c r="Q333" s="77">
        <v>466.26</v>
      </c>
      <c r="R333" s="77">
        <v>105.31399999999999</v>
      </c>
      <c r="S333" s="29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</row>
    <row r="334" spans="1:33" x14ac:dyDescent="0.25">
      <c r="A334" s="26" t="s">
        <v>565</v>
      </c>
      <c r="B334" s="70" t="s">
        <v>205</v>
      </c>
      <c r="C334" s="70" t="str">
        <f t="shared" si="4"/>
        <v>140</v>
      </c>
      <c r="D334" s="70" t="str">
        <f t="shared" si="5"/>
        <v>80</v>
      </c>
      <c r="E334" s="70">
        <v>4</v>
      </c>
      <c r="F334" s="78">
        <v>0.42599999999999999</v>
      </c>
      <c r="G334" s="78">
        <v>16.547999999999998</v>
      </c>
      <c r="H334" s="70">
        <v>12.99</v>
      </c>
      <c r="I334" s="77">
        <v>429.30399999999997</v>
      </c>
      <c r="J334" s="77">
        <v>180.273</v>
      </c>
      <c r="K334" s="77">
        <v>61.329000000000001</v>
      </c>
      <c r="L334" s="77">
        <v>45.067999999999998</v>
      </c>
      <c r="M334" s="70">
        <v>5.093</v>
      </c>
      <c r="N334" s="70">
        <v>3.3010000000000002</v>
      </c>
      <c r="O334" s="77">
        <v>75.528999999999996</v>
      </c>
      <c r="P334" s="77">
        <v>51.326999999999998</v>
      </c>
      <c r="Q334" s="77">
        <v>400.73500000000001</v>
      </c>
      <c r="R334" s="77">
        <v>82.441000000000003</v>
      </c>
      <c r="S334" s="29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</row>
    <row r="335" spans="1:33" x14ac:dyDescent="0.25">
      <c r="A335" s="26" t="s">
        <v>566</v>
      </c>
      <c r="B335" s="70" t="s">
        <v>205</v>
      </c>
      <c r="C335" s="70" t="str">
        <f t="shared" si="4"/>
        <v>140</v>
      </c>
      <c r="D335" s="70" t="str">
        <f t="shared" si="5"/>
        <v>80</v>
      </c>
      <c r="E335" s="70">
        <v>4.75</v>
      </c>
      <c r="F335" s="78">
        <v>0.42399999999999999</v>
      </c>
      <c r="G335" s="78">
        <v>19.416</v>
      </c>
      <c r="H335" s="70">
        <v>15.242000000000001</v>
      </c>
      <c r="I335" s="77">
        <v>495.54599999999999</v>
      </c>
      <c r="J335" s="77">
        <v>207.19300000000001</v>
      </c>
      <c r="K335" s="77">
        <v>70.792000000000002</v>
      </c>
      <c r="L335" s="77">
        <v>51.798000000000002</v>
      </c>
      <c r="M335" s="70">
        <v>5.0519999999999996</v>
      </c>
      <c r="N335" s="70">
        <v>3.2669999999999999</v>
      </c>
      <c r="O335" s="77">
        <v>87.852000000000004</v>
      </c>
      <c r="P335" s="77">
        <v>59.601999999999997</v>
      </c>
      <c r="Q335" s="77">
        <v>463.48</v>
      </c>
      <c r="R335" s="77">
        <v>96.272999999999996</v>
      </c>
      <c r="S335" s="29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</row>
    <row r="336" spans="1:33" x14ac:dyDescent="0.25">
      <c r="A336" s="26" t="s">
        <v>567</v>
      </c>
      <c r="B336" s="70" t="s">
        <v>205</v>
      </c>
      <c r="C336" s="70" t="str">
        <f t="shared" si="4"/>
        <v>140</v>
      </c>
      <c r="D336" s="70" t="str">
        <f t="shared" si="5"/>
        <v>80</v>
      </c>
      <c r="E336" s="70">
        <v>6.35</v>
      </c>
      <c r="F336" s="78">
        <v>0.41799999999999998</v>
      </c>
      <c r="G336" s="78">
        <v>25.289000000000001</v>
      </c>
      <c r="H336" s="70">
        <v>19.852</v>
      </c>
      <c r="I336" s="77">
        <v>622.80899999999997</v>
      </c>
      <c r="J336" s="77">
        <v>258.02</v>
      </c>
      <c r="K336" s="77">
        <v>88.972999999999999</v>
      </c>
      <c r="L336" s="77">
        <v>64.504999999999995</v>
      </c>
      <c r="M336" s="70">
        <v>4.9630000000000001</v>
      </c>
      <c r="N336" s="70">
        <v>3.194</v>
      </c>
      <c r="O336" s="77">
        <v>112.26600000000001</v>
      </c>
      <c r="P336" s="77">
        <v>75.896000000000001</v>
      </c>
      <c r="Q336" s="77">
        <v>584.23299999999995</v>
      </c>
      <c r="R336" s="77">
        <v>124.021</v>
      </c>
      <c r="S336" s="29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</row>
    <row r="337" spans="1:33" x14ac:dyDescent="0.25">
      <c r="A337" s="26" t="s">
        <v>568</v>
      </c>
      <c r="B337" s="70" t="s">
        <v>205</v>
      </c>
      <c r="C337" s="70" t="str">
        <f>MID(A337,27,3)</f>
        <v>140</v>
      </c>
      <c r="D337" s="70" t="str">
        <f>MID(A337,18,3)</f>
        <v>100</v>
      </c>
      <c r="E337" s="70">
        <v>3.2</v>
      </c>
      <c r="F337" s="78">
        <v>0.46899999999999997</v>
      </c>
      <c r="G337" s="78">
        <v>14.686999999999999</v>
      </c>
      <c r="H337" s="70">
        <v>11.529</v>
      </c>
      <c r="I337" s="77">
        <v>413.74</v>
      </c>
      <c r="J337" s="77">
        <v>247.14</v>
      </c>
      <c r="K337" s="77">
        <v>59.11</v>
      </c>
      <c r="L337" s="77">
        <v>49.43</v>
      </c>
      <c r="M337" s="70">
        <v>5.31</v>
      </c>
      <c r="N337" s="70">
        <v>4.0999999999999996</v>
      </c>
      <c r="O337" s="77">
        <v>70.510000000000005</v>
      </c>
      <c r="P337" s="77">
        <v>56.09</v>
      </c>
      <c r="Q337" s="77">
        <v>479</v>
      </c>
      <c r="R337" s="77">
        <v>84.62</v>
      </c>
      <c r="S337" s="29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</row>
    <row r="338" spans="1:33" x14ac:dyDescent="0.25">
      <c r="A338" s="26" t="s">
        <v>569</v>
      </c>
      <c r="B338" s="70" t="s">
        <v>205</v>
      </c>
      <c r="C338" s="70" t="str">
        <f t="shared" ref="C338:C354" si="6">MID(A338,27,3)</f>
        <v>140</v>
      </c>
      <c r="D338" s="70" t="str">
        <f t="shared" ref="D338:D354" si="7">MID(A338,18,3)</f>
        <v>100</v>
      </c>
      <c r="E338" s="70">
        <v>4</v>
      </c>
      <c r="F338" s="78">
        <v>0.46600000000000003</v>
      </c>
      <c r="G338" s="78">
        <v>18.148</v>
      </c>
      <c r="H338" s="70">
        <v>14.246</v>
      </c>
      <c r="I338" s="77">
        <v>503.29</v>
      </c>
      <c r="J338" s="77">
        <v>299.93</v>
      </c>
      <c r="K338" s="77">
        <v>71.900000000000006</v>
      </c>
      <c r="L338" s="77">
        <v>59.99</v>
      </c>
      <c r="M338" s="70">
        <v>5.27</v>
      </c>
      <c r="N338" s="70">
        <v>4.07</v>
      </c>
      <c r="O338" s="77">
        <v>86.41</v>
      </c>
      <c r="P338" s="77">
        <v>68.67</v>
      </c>
      <c r="Q338" s="77">
        <v>585.01</v>
      </c>
      <c r="R338" s="77">
        <v>104.2</v>
      </c>
      <c r="S338" s="29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</row>
    <row r="339" spans="1:33" x14ac:dyDescent="0.25">
      <c r="A339" s="26" t="s">
        <v>570</v>
      </c>
      <c r="B339" s="70" t="s">
        <v>205</v>
      </c>
      <c r="C339" s="70" t="str">
        <f t="shared" si="6"/>
        <v>140</v>
      </c>
      <c r="D339" s="70" t="str">
        <f t="shared" si="7"/>
        <v>100</v>
      </c>
      <c r="E339" s="70">
        <v>4.75</v>
      </c>
      <c r="F339" s="78">
        <v>0.46400000000000002</v>
      </c>
      <c r="G339" s="78">
        <v>21.315999999999999</v>
      </c>
      <c r="H339" s="70">
        <v>16.733000000000001</v>
      </c>
      <c r="I339" s="77">
        <v>582.44000000000005</v>
      </c>
      <c r="J339" s="77">
        <v>346.33</v>
      </c>
      <c r="K339" s="77">
        <v>83.21</v>
      </c>
      <c r="L339" s="77">
        <v>69.27</v>
      </c>
      <c r="M339" s="70">
        <v>5.23</v>
      </c>
      <c r="N339" s="70">
        <v>4.03</v>
      </c>
      <c r="O339" s="77">
        <v>100.7</v>
      </c>
      <c r="P339" s="77">
        <v>79.97</v>
      </c>
      <c r="Q339" s="77">
        <v>679.38</v>
      </c>
      <c r="R339" s="77">
        <v>121.97</v>
      </c>
      <c r="S339" s="29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</row>
    <row r="340" spans="1:33" x14ac:dyDescent="0.25">
      <c r="A340" s="26" t="s">
        <v>571</v>
      </c>
      <c r="B340" s="70" t="s">
        <v>205</v>
      </c>
      <c r="C340" s="70" t="str">
        <f t="shared" si="6"/>
        <v>140</v>
      </c>
      <c r="D340" s="70" t="str">
        <f t="shared" si="7"/>
        <v>100</v>
      </c>
      <c r="E340" s="70">
        <v>6.35</v>
      </c>
      <c r="F340" s="78">
        <v>0.45800000000000002</v>
      </c>
      <c r="G340" s="78">
        <v>27.829000000000001</v>
      </c>
      <c r="H340" s="70">
        <v>21.846</v>
      </c>
      <c r="I340" s="77">
        <v>736.24</v>
      </c>
      <c r="J340" s="77">
        <v>435.74</v>
      </c>
      <c r="K340" s="77">
        <v>105.18</v>
      </c>
      <c r="L340" s="77">
        <v>87.15</v>
      </c>
      <c r="M340" s="70">
        <v>5.14</v>
      </c>
      <c r="N340" s="70">
        <v>3.96</v>
      </c>
      <c r="O340" s="77">
        <v>129.24</v>
      </c>
      <c r="P340" s="77">
        <v>102.45</v>
      </c>
      <c r="Q340" s="77">
        <v>864.44</v>
      </c>
      <c r="R340" s="77">
        <v>157.97</v>
      </c>
      <c r="S340" s="29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</row>
    <row r="341" spans="1:33" x14ac:dyDescent="0.25">
      <c r="A341" s="26" t="s">
        <v>572</v>
      </c>
      <c r="B341" s="70" t="s">
        <v>205</v>
      </c>
      <c r="C341" s="70" t="str">
        <f t="shared" si="6"/>
        <v>180</v>
      </c>
      <c r="D341" s="70" t="str">
        <f t="shared" si="7"/>
        <v>100</v>
      </c>
      <c r="E341" s="70">
        <v>3.2</v>
      </c>
      <c r="F341" s="78">
        <v>0.54900000000000004</v>
      </c>
      <c r="G341" s="78">
        <v>17.247</v>
      </c>
      <c r="H341" s="70">
        <v>13.539</v>
      </c>
      <c r="I341" s="77">
        <v>757.75</v>
      </c>
      <c r="J341" s="77">
        <v>307.11</v>
      </c>
      <c r="K341" s="77">
        <v>84.19</v>
      </c>
      <c r="L341" s="77">
        <v>61.42</v>
      </c>
      <c r="M341" s="70">
        <v>6.63</v>
      </c>
      <c r="N341" s="70">
        <v>4.22</v>
      </c>
      <c r="O341" s="77">
        <v>102.44</v>
      </c>
      <c r="P341" s="77">
        <v>68.48</v>
      </c>
      <c r="Q341" s="77">
        <v>683.56</v>
      </c>
      <c r="R341" s="77">
        <v>109.4</v>
      </c>
      <c r="S341" s="29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</row>
    <row r="342" spans="1:33" x14ac:dyDescent="0.25">
      <c r="A342" s="26" t="s">
        <v>573</v>
      </c>
      <c r="B342" s="70" t="s">
        <v>205</v>
      </c>
      <c r="C342" s="70" t="str">
        <f t="shared" si="6"/>
        <v>180</v>
      </c>
      <c r="D342" s="70" t="str">
        <f t="shared" si="7"/>
        <v>100</v>
      </c>
      <c r="E342" s="70">
        <v>4</v>
      </c>
      <c r="F342" s="78">
        <v>0.54600000000000004</v>
      </c>
      <c r="G342" s="78">
        <v>21.347999999999999</v>
      </c>
      <c r="H342" s="70">
        <v>16.757999999999999</v>
      </c>
      <c r="I342" s="77">
        <v>925.48</v>
      </c>
      <c r="J342" s="77">
        <v>373.65</v>
      </c>
      <c r="K342" s="77">
        <v>102.83</v>
      </c>
      <c r="L342" s="77">
        <v>74.73</v>
      </c>
      <c r="M342" s="70">
        <v>6.58</v>
      </c>
      <c r="N342" s="70">
        <v>4.18</v>
      </c>
      <c r="O342" s="77">
        <v>125.9</v>
      </c>
      <c r="P342" s="77">
        <v>84.03</v>
      </c>
      <c r="Q342" s="77">
        <v>836.56</v>
      </c>
      <c r="R342" s="77">
        <v>134.91999999999999</v>
      </c>
      <c r="S342" s="29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</row>
    <row r="343" spans="1:33" x14ac:dyDescent="0.25">
      <c r="A343" s="26" t="s">
        <v>574</v>
      </c>
      <c r="B343" s="70" t="s">
        <v>205</v>
      </c>
      <c r="C343" s="70" t="str">
        <f t="shared" si="6"/>
        <v>180</v>
      </c>
      <c r="D343" s="70" t="str">
        <f t="shared" si="7"/>
        <v>100</v>
      </c>
      <c r="E343" s="70">
        <v>4.75</v>
      </c>
      <c r="F343" s="78">
        <v>0.54400000000000004</v>
      </c>
      <c r="G343" s="78">
        <v>25.116</v>
      </c>
      <c r="H343" s="70">
        <v>19.716000000000001</v>
      </c>
      <c r="I343" s="77">
        <v>1075.1500000000001</v>
      </c>
      <c r="J343" s="77">
        <v>432.52</v>
      </c>
      <c r="K343" s="77">
        <v>119.46</v>
      </c>
      <c r="L343" s="77">
        <v>86.5</v>
      </c>
      <c r="M343" s="70">
        <v>6.54</v>
      </c>
      <c r="N343" s="70">
        <v>4.1500000000000004</v>
      </c>
      <c r="O343" s="77">
        <v>147.13</v>
      </c>
      <c r="P343" s="77">
        <v>98.06</v>
      </c>
      <c r="Q343" s="77">
        <v>973.49</v>
      </c>
      <c r="R343" s="77">
        <v>158.16999999999999</v>
      </c>
      <c r="S343" s="29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</row>
    <row r="344" spans="1:33" x14ac:dyDescent="0.25">
      <c r="A344" s="26" t="s">
        <v>575</v>
      </c>
      <c r="B344" s="70" t="s">
        <v>205</v>
      </c>
      <c r="C344" s="70" t="str">
        <f t="shared" si="6"/>
        <v>180</v>
      </c>
      <c r="D344" s="70" t="str">
        <f t="shared" si="7"/>
        <v>100</v>
      </c>
      <c r="E344" s="70">
        <v>6.35</v>
      </c>
      <c r="F344" s="78">
        <v>0.53800000000000003</v>
      </c>
      <c r="G344" s="78">
        <v>32.908999999999999</v>
      </c>
      <c r="H344" s="70">
        <v>25.832999999999998</v>
      </c>
      <c r="I344" s="77">
        <v>1370.53</v>
      </c>
      <c r="J344" s="77">
        <v>547.13</v>
      </c>
      <c r="K344" s="77">
        <v>152.28</v>
      </c>
      <c r="L344" s="77">
        <v>109.43</v>
      </c>
      <c r="M344" s="70">
        <v>6.45</v>
      </c>
      <c r="N344" s="70">
        <v>4.08</v>
      </c>
      <c r="O344" s="77">
        <v>189.97</v>
      </c>
      <c r="P344" s="77">
        <v>126.24</v>
      </c>
      <c r="Q344" s="77">
        <v>1244.51</v>
      </c>
      <c r="R344" s="77">
        <v>205.54</v>
      </c>
      <c r="S344" s="29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</row>
    <row r="345" spans="1:33" x14ac:dyDescent="0.25">
      <c r="A345" s="26" t="s">
        <v>576</v>
      </c>
      <c r="B345" s="70" t="s">
        <v>205</v>
      </c>
      <c r="C345" s="70" t="str">
        <f t="shared" si="6"/>
        <v>200</v>
      </c>
      <c r="D345" s="70" t="str">
        <f t="shared" si="7"/>
        <v>100</v>
      </c>
      <c r="E345" s="70">
        <v>4</v>
      </c>
      <c r="F345" s="78">
        <v>0.58599999999999997</v>
      </c>
      <c r="G345" s="78">
        <v>22.948</v>
      </c>
      <c r="H345" s="70">
        <v>18.013999999999999</v>
      </c>
      <c r="I345" s="77">
        <v>1198.99</v>
      </c>
      <c r="J345" s="77">
        <v>410.52</v>
      </c>
      <c r="K345" s="77">
        <v>119.9</v>
      </c>
      <c r="L345" s="77">
        <v>82.1</v>
      </c>
      <c r="M345" s="70">
        <v>7.23</v>
      </c>
      <c r="N345" s="70">
        <v>4.2300000000000004</v>
      </c>
      <c r="O345" s="77">
        <v>148.05000000000001</v>
      </c>
      <c r="P345" s="77">
        <v>91.71</v>
      </c>
      <c r="Q345" s="77">
        <v>966.79</v>
      </c>
      <c r="R345" s="77">
        <v>150.28</v>
      </c>
      <c r="S345" s="29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</row>
    <row r="346" spans="1:33" x14ac:dyDescent="0.25">
      <c r="A346" s="26" t="s">
        <v>577</v>
      </c>
      <c r="B346" s="70" t="s">
        <v>205</v>
      </c>
      <c r="C346" s="70" t="str">
        <f t="shared" si="6"/>
        <v>200</v>
      </c>
      <c r="D346" s="70" t="str">
        <f t="shared" si="7"/>
        <v>100</v>
      </c>
      <c r="E346" s="70">
        <v>5</v>
      </c>
      <c r="F346" s="78">
        <v>0.58299999999999996</v>
      </c>
      <c r="G346" s="78">
        <v>28.356000000000002</v>
      </c>
      <c r="H346" s="70">
        <v>22.26</v>
      </c>
      <c r="I346" s="77">
        <v>1458.26</v>
      </c>
      <c r="J346" s="77">
        <v>496.53</v>
      </c>
      <c r="K346" s="77">
        <v>145.83000000000001</v>
      </c>
      <c r="L346" s="77">
        <v>99.31</v>
      </c>
      <c r="M346" s="70">
        <v>7.17</v>
      </c>
      <c r="N346" s="70">
        <v>4.18</v>
      </c>
      <c r="O346" s="77">
        <v>181.4</v>
      </c>
      <c r="P346" s="77">
        <v>112.12</v>
      </c>
      <c r="Q346" s="77">
        <v>1177.2</v>
      </c>
      <c r="R346" s="77">
        <v>184.77</v>
      </c>
      <c r="S346" s="29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</row>
    <row r="347" spans="1:33" x14ac:dyDescent="0.25">
      <c r="A347" s="26" t="s">
        <v>578</v>
      </c>
      <c r="B347" s="70" t="s">
        <v>205</v>
      </c>
      <c r="C347" s="70" t="str">
        <f t="shared" si="6"/>
        <v>200</v>
      </c>
      <c r="D347" s="70" t="str">
        <f t="shared" si="7"/>
        <v>100</v>
      </c>
      <c r="E347" s="70">
        <v>6</v>
      </c>
      <c r="F347" s="78">
        <v>0.57899999999999996</v>
      </c>
      <c r="G347" s="78">
        <v>33.633000000000003</v>
      </c>
      <c r="H347" s="70">
        <v>26.402000000000001</v>
      </c>
      <c r="I347" s="77">
        <v>1702.05</v>
      </c>
      <c r="J347" s="77">
        <v>576.32000000000005</v>
      </c>
      <c r="K347" s="77">
        <v>170.21</v>
      </c>
      <c r="L347" s="77">
        <v>115.26</v>
      </c>
      <c r="M347" s="70">
        <v>7.11</v>
      </c>
      <c r="N347" s="70">
        <v>4.1399999999999997</v>
      </c>
      <c r="O347" s="77">
        <v>213.31</v>
      </c>
      <c r="P347" s="77">
        <v>131.56</v>
      </c>
      <c r="Q347" s="77">
        <v>1375.08</v>
      </c>
      <c r="R347" s="77">
        <v>218</v>
      </c>
      <c r="S347" s="29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</row>
    <row r="348" spans="1:33" x14ac:dyDescent="0.25">
      <c r="A348" s="26" t="s">
        <v>579</v>
      </c>
      <c r="B348" s="70" t="s">
        <v>205</v>
      </c>
      <c r="C348" s="70" t="str">
        <f t="shared" si="6"/>
        <v>200</v>
      </c>
      <c r="D348" s="70" t="str">
        <f t="shared" si="7"/>
        <v>100</v>
      </c>
      <c r="E348" s="70">
        <v>8</v>
      </c>
      <c r="F348" s="78">
        <v>0.57299999999999995</v>
      </c>
      <c r="G348" s="78">
        <v>43.792000000000002</v>
      </c>
      <c r="H348" s="70">
        <v>34.377000000000002</v>
      </c>
      <c r="I348" s="77">
        <v>2144.6</v>
      </c>
      <c r="J348" s="77">
        <v>718.11</v>
      </c>
      <c r="K348" s="77">
        <v>214.46</v>
      </c>
      <c r="L348" s="77">
        <v>143.62</v>
      </c>
      <c r="M348" s="70">
        <v>7</v>
      </c>
      <c r="N348" s="70">
        <v>4.05</v>
      </c>
      <c r="O348" s="77">
        <v>272.92</v>
      </c>
      <c r="P348" s="77">
        <v>167.57</v>
      </c>
      <c r="Q348" s="77">
        <v>1733.32</v>
      </c>
      <c r="R348" s="77">
        <v>280.64999999999998</v>
      </c>
      <c r="S348" s="29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</row>
    <row r="349" spans="1:33" x14ac:dyDescent="0.25">
      <c r="A349" s="26" t="s">
        <v>580</v>
      </c>
      <c r="B349" s="70" t="s">
        <v>205</v>
      </c>
      <c r="C349" s="70" t="str">
        <f t="shared" si="6"/>
        <v>200</v>
      </c>
      <c r="D349" s="70" t="str">
        <f t="shared" si="7"/>
        <v>100</v>
      </c>
      <c r="E349" s="70">
        <v>10</v>
      </c>
      <c r="F349" s="78">
        <v>0.56599999999999995</v>
      </c>
      <c r="G349" s="78">
        <v>53.424999999999997</v>
      </c>
      <c r="H349" s="70">
        <v>41.938000000000002</v>
      </c>
      <c r="I349" s="77">
        <v>2529.41</v>
      </c>
      <c r="J349" s="77">
        <v>837.54</v>
      </c>
      <c r="K349" s="77">
        <v>252.94</v>
      </c>
      <c r="L349" s="77">
        <v>167.51</v>
      </c>
      <c r="M349" s="70">
        <v>6.88</v>
      </c>
      <c r="N349" s="70">
        <v>3.96</v>
      </c>
      <c r="O349" s="77">
        <v>326.99</v>
      </c>
      <c r="P349" s="77">
        <v>199.89</v>
      </c>
      <c r="Q349" s="77">
        <v>2041.71</v>
      </c>
      <c r="R349" s="77">
        <v>338.14</v>
      </c>
      <c r="S349" s="29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</row>
    <row r="350" spans="1:33" x14ac:dyDescent="0.25">
      <c r="A350" s="26" t="s">
        <v>581</v>
      </c>
      <c r="B350" s="70" t="s">
        <v>205</v>
      </c>
      <c r="C350" s="70" t="str">
        <f t="shared" si="6"/>
        <v>250</v>
      </c>
      <c r="D350" s="70" t="str">
        <f t="shared" si="7"/>
        <v>100</v>
      </c>
      <c r="E350" s="70">
        <v>5</v>
      </c>
      <c r="F350" s="78">
        <v>0.68300000000000005</v>
      </c>
      <c r="G350" s="78">
        <v>33.356000000000002</v>
      </c>
      <c r="H350" s="70">
        <v>26.184999999999999</v>
      </c>
      <c r="I350" s="77">
        <v>2552.06</v>
      </c>
      <c r="J350" s="77">
        <v>609.34</v>
      </c>
      <c r="K350" s="77">
        <v>204.17</v>
      </c>
      <c r="L350" s="77">
        <v>121.87</v>
      </c>
      <c r="M350" s="70">
        <v>8.75</v>
      </c>
      <c r="N350" s="70">
        <v>4.2699999999999996</v>
      </c>
      <c r="O350" s="77">
        <v>258.54000000000002</v>
      </c>
      <c r="P350" s="77">
        <v>135.87</v>
      </c>
      <c r="Q350" s="77">
        <v>1586.7</v>
      </c>
      <c r="R350" s="77">
        <v>232.27</v>
      </c>
      <c r="S350" s="29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</row>
    <row r="351" spans="1:33" x14ac:dyDescent="0.25">
      <c r="A351" s="26" t="s">
        <v>582</v>
      </c>
      <c r="B351" s="70" t="s">
        <v>205</v>
      </c>
      <c r="C351" s="70" t="str">
        <f t="shared" si="6"/>
        <v>250</v>
      </c>
      <c r="D351" s="70" t="str">
        <f t="shared" si="7"/>
        <v>100</v>
      </c>
      <c r="E351" s="70">
        <v>6</v>
      </c>
      <c r="F351" s="78">
        <v>0.67900000000000005</v>
      </c>
      <c r="G351" s="78">
        <v>39.633000000000003</v>
      </c>
      <c r="H351" s="70">
        <v>31.111999999999998</v>
      </c>
      <c r="I351" s="77">
        <v>2990.14</v>
      </c>
      <c r="J351" s="77">
        <v>708.86</v>
      </c>
      <c r="K351" s="77">
        <v>239.21</v>
      </c>
      <c r="L351" s="77">
        <v>141.77000000000001</v>
      </c>
      <c r="M351" s="70">
        <v>8.69</v>
      </c>
      <c r="N351" s="70">
        <v>4.2300000000000004</v>
      </c>
      <c r="O351" s="77">
        <v>304.89</v>
      </c>
      <c r="P351" s="77">
        <v>159.76</v>
      </c>
      <c r="Q351" s="77">
        <v>1856.36</v>
      </c>
      <c r="R351" s="77">
        <v>274.39999999999998</v>
      </c>
      <c r="S351" s="29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</row>
    <row r="352" spans="1:33" x14ac:dyDescent="0.25">
      <c r="A352" s="26" t="s">
        <v>583</v>
      </c>
      <c r="B352" s="70" t="s">
        <v>205</v>
      </c>
      <c r="C352" s="70" t="str">
        <f t="shared" si="6"/>
        <v>250</v>
      </c>
      <c r="D352" s="70" t="str">
        <f t="shared" si="7"/>
        <v>100</v>
      </c>
      <c r="E352" s="70">
        <v>8</v>
      </c>
      <c r="F352" s="78">
        <v>0.67300000000000004</v>
      </c>
      <c r="G352" s="78">
        <v>51.792000000000002</v>
      </c>
      <c r="H352" s="70">
        <v>40.656999999999996</v>
      </c>
      <c r="I352" s="77">
        <v>3797.45</v>
      </c>
      <c r="J352" s="77">
        <v>887.39</v>
      </c>
      <c r="K352" s="77">
        <v>303.8</v>
      </c>
      <c r="L352" s="77">
        <v>177.48</v>
      </c>
      <c r="M352" s="70">
        <v>8.56</v>
      </c>
      <c r="N352" s="70">
        <v>4.1399999999999997</v>
      </c>
      <c r="O352" s="77">
        <v>392.39</v>
      </c>
      <c r="P352" s="77">
        <v>204.37</v>
      </c>
      <c r="Q352" s="77">
        <v>2348.2399999999998</v>
      </c>
      <c r="R352" s="77">
        <v>354.25</v>
      </c>
      <c r="S352" s="29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</row>
    <row r="353" spans="1:33" x14ac:dyDescent="0.25">
      <c r="A353" s="26" t="s">
        <v>584</v>
      </c>
      <c r="B353" s="70" t="s">
        <v>205</v>
      </c>
      <c r="C353" s="70" t="str">
        <f t="shared" si="6"/>
        <v>250</v>
      </c>
      <c r="D353" s="70" t="str">
        <f t="shared" si="7"/>
        <v>100</v>
      </c>
      <c r="E353" s="70">
        <v>10</v>
      </c>
      <c r="F353" s="78">
        <v>0.66600000000000004</v>
      </c>
      <c r="G353" s="78">
        <v>63.424999999999997</v>
      </c>
      <c r="H353" s="70">
        <v>49.787999999999997</v>
      </c>
      <c r="I353" s="77">
        <v>4515.84</v>
      </c>
      <c r="J353" s="77">
        <v>1040.04</v>
      </c>
      <c r="K353" s="77">
        <v>361.27</v>
      </c>
      <c r="L353" s="77">
        <v>208.01</v>
      </c>
      <c r="M353" s="70">
        <v>8.44</v>
      </c>
      <c r="N353" s="70">
        <v>4.05</v>
      </c>
      <c r="O353" s="77">
        <v>473.04</v>
      </c>
      <c r="P353" s="77">
        <v>244.89</v>
      </c>
      <c r="Q353" s="77">
        <v>2777.28</v>
      </c>
      <c r="R353" s="77">
        <v>428.14</v>
      </c>
      <c r="S353" s="29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</row>
    <row r="354" spans="1:33" x14ac:dyDescent="0.25">
      <c r="A354" s="26" t="s">
        <v>585</v>
      </c>
      <c r="B354" s="70" t="s">
        <v>205</v>
      </c>
      <c r="C354" s="70" t="str">
        <f t="shared" si="6"/>
        <v>250</v>
      </c>
      <c r="D354" s="70" t="str">
        <f t="shared" si="7"/>
        <v>100</v>
      </c>
      <c r="E354" s="70">
        <v>12</v>
      </c>
      <c r="F354" s="78">
        <v>0.65900000000000003</v>
      </c>
      <c r="G354" s="78">
        <v>74.531999999999996</v>
      </c>
      <c r="H354" s="70">
        <v>58.506999999999998</v>
      </c>
      <c r="I354" s="77">
        <v>5148.71</v>
      </c>
      <c r="J354" s="77">
        <v>1168.54</v>
      </c>
      <c r="K354" s="77">
        <v>411.9</v>
      </c>
      <c r="L354" s="77">
        <v>233.71</v>
      </c>
      <c r="M354" s="70">
        <v>8.31</v>
      </c>
      <c r="N354" s="70">
        <v>3.96</v>
      </c>
      <c r="O354" s="77">
        <v>546.98</v>
      </c>
      <c r="P354" s="77">
        <v>281.45</v>
      </c>
      <c r="Q354" s="77">
        <v>3144.11</v>
      </c>
      <c r="R354" s="77">
        <v>495.98</v>
      </c>
      <c r="S354" s="29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</row>
  </sheetData>
  <mergeCells count="1">
    <mergeCell ref="A1:A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AC453"/>
  <sheetViews>
    <sheetView zoomScaleNormal="100" workbookViewId="0">
      <pane xSplit="1" ySplit="2" topLeftCell="G351" activePane="bottomRight" state="frozen"/>
      <selection activeCell="M10" sqref="M10"/>
      <selection pane="topRight" activeCell="M10" sqref="M10"/>
      <selection pane="bottomLeft" activeCell="M10" sqref="M10"/>
      <selection pane="bottomRight" activeCell="M10" sqref="M10"/>
    </sheetView>
  </sheetViews>
  <sheetFormatPr baseColWidth="10" defaultColWidth="11.42578125" defaultRowHeight="15" x14ac:dyDescent="0.25"/>
  <cols>
    <col min="1" max="1" width="13.42578125" bestFit="1" customWidth="1"/>
    <col min="23" max="23" width="11.5703125" bestFit="1" customWidth="1"/>
    <col min="24" max="24" width="14.28515625" bestFit="1" customWidth="1"/>
    <col min="25" max="26" width="11.5703125" bestFit="1" customWidth="1"/>
  </cols>
  <sheetData>
    <row r="1" spans="1:29" x14ac:dyDescent="0.25">
      <c r="A1" s="662" t="s">
        <v>80</v>
      </c>
      <c r="B1" s="663" t="s">
        <v>81</v>
      </c>
      <c r="C1" s="663"/>
      <c r="D1" s="663"/>
      <c r="E1" s="663"/>
      <c r="F1" s="663"/>
      <c r="G1" s="663"/>
      <c r="H1" s="663" t="s">
        <v>82</v>
      </c>
      <c r="I1" s="663"/>
      <c r="J1" s="663" t="s">
        <v>83</v>
      </c>
      <c r="K1" s="663" t="s">
        <v>84</v>
      </c>
      <c r="L1" s="663" t="s">
        <v>85</v>
      </c>
      <c r="M1" s="663"/>
      <c r="N1" s="663"/>
      <c r="O1" s="663"/>
      <c r="P1" s="663"/>
      <c r="Q1" s="663" t="s">
        <v>86</v>
      </c>
      <c r="R1" s="663"/>
      <c r="S1" s="663"/>
      <c r="T1" s="663"/>
      <c r="U1" s="663"/>
      <c r="V1" s="663"/>
      <c r="W1" s="663" t="s">
        <v>87</v>
      </c>
      <c r="X1" s="663" t="s">
        <v>88</v>
      </c>
      <c r="Y1" s="663" t="s">
        <v>89</v>
      </c>
      <c r="Z1" s="664" t="s">
        <v>90</v>
      </c>
      <c r="AA1" s="35" t="s">
        <v>91</v>
      </c>
      <c r="AB1" s="36"/>
    </row>
    <row r="2" spans="1:29" x14ac:dyDescent="0.25">
      <c r="A2" s="662"/>
      <c r="B2" s="40" t="s">
        <v>92</v>
      </c>
      <c r="C2" s="40" t="s">
        <v>93</v>
      </c>
      <c r="D2" s="40" t="s">
        <v>94</v>
      </c>
      <c r="E2" s="40" t="s">
        <v>95</v>
      </c>
      <c r="F2" s="40" t="s">
        <v>96</v>
      </c>
      <c r="G2" s="40" t="s">
        <v>97</v>
      </c>
      <c r="H2" s="663" t="s">
        <v>98</v>
      </c>
      <c r="I2" s="665" t="s">
        <v>99</v>
      </c>
      <c r="J2" s="663"/>
      <c r="K2" s="663"/>
      <c r="L2" s="40" t="s">
        <v>100</v>
      </c>
      <c r="M2" s="40" t="s">
        <v>101</v>
      </c>
      <c r="N2" s="40" t="s">
        <v>102</v>
      </c>
      <c r="O2" s="40" t="s">
        <v>103</v>
      </c>
      <c r="P2" s="40" t="s">
        <v>104</v>
      </c>
      <c r="Q2" s="40" t="s">
        <v>105</v>
      </c>
      <c r="R2" s="40" t="s">
        <v>106</v>
      </c>
      <c r="S2" s="40" t="s">
        <v>107</v>
      </c>
      <c r="T2" s="40" t="s">
        <v>108</v>
      </c>
      <c r="U2" s="40" t="s">
        <v>109</v>
      </c>
      <c r="V2" s="40" t="s">
        <v>110</v>
      </c>
      <c r="W2" s="663"/>
      <c r="X2" s="663"/>
      <c r="Y2" s="663"/>
      <c r="Z2" s="664"/>
      <c r="AA2" s="40" t="s">
        <v>111</v>
      </c>
      <c r="AB2" s="40" t="s">
        <v>112</v>
      </c>
      <c r="AC2" s="102" t="s">
        <v>1005</v>
      </c>
    </row>
    <row r="3" spans="1:29" ht="17.25" x14ac:dyDescent="0.25">
      <c r="A3" s="662"/>
      <c r="B3" s="40" t="s">
        <v>113</v>
      </c>
      <c r="C3" s="40" t="s">
        <v>113</v>
      </c>
      <c r="D3" s="40" t="s">
        <v>113</v>
      </c>
      <c r="E3" s="40" t="s">
        <v>113</v>
      </c>
      <c r="F3" s="40" t="s">
        <v>113</v>
      </c>
      <c r="G3" s="40" t="s">
        <v>113</v>
      </c>
      <c r="H3" s="663"/>
      <c r="I3" s="666"/>
      <c r="J3" s="40" t="s">
        <v>114</v>
      </c>
      <c r="K3" s="40" t="s">
        <v>115</v>
      </c>
      <c r="L3" s="40" t="s">
        <v>116</v>
      </c>
      <c r="M3" s="40" t="s">
        <v>117</v>
      </c>
      <c r="N3" s="40" t="s">
        <v>118</v>
      </c>
      <c r="O3" s="40" t="s">
        <v>117</v>
      </c>
      <c r="P3" s="40" t="s">
        <v>117</v>
      </c>
      <c r="Q3" s="40" t="s">
        <v>116</v>
      </c>
      <c r="R3" s="40" t="s">
        <v>117</v>
      </c>
      <c r="S3" s="40" t="s">
        <v>118</v>
      </c>
      <c r="T3" s="40" t="s">
        <v>117</v>
      </c>
      <c r="U3" s="40" t="s">
        <v>117</v>
      </c>
      <c r="V3" s="40" t="s">
        <v>117</v>
      </c>
      <c r="W3" s="40" t="s">
        <v>116</v>
      </c>
      <c r="X3" s="40" t="s">
        <v>119</v>
      </c>
      <c r="Y3" s="40" t="s">
        <v>120</v>
      </c>
      <c r="Z3" s="39" t="s">
        <v>121</v>
      </c>
      <c r="AA3" s="40" t="s">
        <v>118</v>
      </c>
      <c r="AB3" s="40" t="s">
        <v>118</v>
      </c>
      <c r="AC3" s="100" t="s">
        <v>118</v>
      </c>
    </row>
    <row r="4" spans="1:29" x14ac:dyDescent="0.25">
      <c r="A4" s="26" t="s">
        <v>626</v>
      </c>
      <c r="B4" s="29">
        <v>80</v>
      </c>
      <c r="C4" s="29">
        <v>42</v>
      </c>
      <c r="D4" s="29">
        <v>5.9</v>
      </c>
      <c r="E4" s="29">
        <v>59</v>
      </c>
      <c r="F4" s="29">
        <v>3.9</v>
      </c>
      <c r="G4" s="29">
        <v>3.9</v>
      </c>
      <c r="H4" s="29">
        <v>3.56</v>
      </c>
      <c r="I4" s="29">
        <v>15.1</v>
      </c>
      <c r="J4" s="29">
        <v>7.57</v>
      </c>
      <c r="K4" s="29">
        <v>5.94</v>
      </c>
      <c r="L4" s="29">
        <v>77.8</v>
      </c>
      <c r="M4" s="29">
        <v>19.5</v>
      </c>
      <c r="N4" s="29">
        <v>3.2</v>
      </c>
      <c r="O4" s="29">
        <v>11.4</v>
      </c>
      <c r="P4" s="29">
        <v>22.8</v>
      </c>
      <c r="Q4" s="29">
        <v>6.29</v>
      </c>
      <c r="R4" s="29">
        <v>3</v>
      </c>
      <c r="S4" s="29">
        <v>0.91</v>
      </c>
      <c r="T4" s="29">
        <v>2.46</v>
      </c>
      <c r="U4" s="29">
        <v>4.5</v>
      </c>
      <c r="V4" s="29">
        <v>4.93</v>
      </c>
      <c r="W4" s="29">
        <v>0.71</v>
      </c>
      <c r="X4" s="29">
        <v>87.5</v>
      </c>
      <c r="Y4" s="29">
        <v>32815</v>
      </c>
      <c r="Z4" s="29">
        <v>0.7</v>
      </c>
      <c r="AA4" s="40" t="s">
        <v>122</v>
      </c>
      <c r="AB4" s="40" t="s">
        <v>122</v>
      </c>
      <c r="AC4" s="104">
        <f>(B4-D4)/10</f>
        <v>7.4099999999999993</v>
      </c>
    </row>
    <row r="5" spans="1:29" x14ac:dyDescent="0.25">
      <c r="A5" s="26" t="s">
        <v>627</v>
      </c>
      <c r="B5" s="29">
        <v>100</v>
      </c>
      <c r="C5" s="29">
        <v>50</v>
      </c>
      <c r="D5" s="29">
        <v>6.8</v>
      </c>
      <c r="E5" s="29">
        <v>75</v>
      </c>
      <c r="F5" s="29">
        <v>4.5</v>
      </c>
      <c r="G5" s="29">
        <v>4.5</v>
      </c>
      <c r="H5" s="29">
        <v>3.68</v>
      </c>
      <c r="I5" s="29">
        <v>16.7</v>
      </c>
      <c r="J5" s="29">
        <v>10.6</v>
      </c>
      <c r="K5" s="29">
        <v>8.34</v>
      </c>
      <c r="L5" s="29">
        <v>171</v>
      </c>
      <c r="M5" s="29">
        <v>34.200000000000003</v>
      </c>
      <c r="N5" s="29">
        <v>4.01</v>
      </c>
      <c r="O5" s="29">
        <v>19.899999999999999</v>
      </c>
      <c r="P5" s="29">
        <v>39.799999999999997</v>
      </c>
      <c r="Q5" s="29">
        <v>12.2</v>
      </c>
      <c r="R5" s="29">
        <v>4.88</v>
      </c>
      <c r="S5" s="29">
        <v>1.07</v>
      </c>
      <c r="T5" s="29">
        <v>4.0199999999999996</v>
      </c>
      <c r="U5" s="29">
        <v>7.32</v>
      </c>
      <c r="V5" s="29">
        <v>8.0399999999999991</v>
      </c>
      <c r="W5" s="29">
        <v>1.31</v>
      </c>
      <c r="X5" s="29">
        <v>268</v>
      </c>
      <c r="Y5" s="29">
        <v>30082</v>
      </c>
      <c r="Z5" s="29">
        <v>1</v>
      </c>
      <c r="AA5" s="40" t="s">
        <v>122</v>
      </c>
      <c r="AB5" s="40" t="s">
        <v>122</v>
      </c>
      <c r="AC5" s="104">
        <f t="shared" ref="AC5:AC68" si="0">(B5-D5)/10</f>
        <v>9.32</v>
      </c>
    </row>
    <row r="6" spans="1:29" x14ac:dyDescent="0.25">
      <c r="A6" s="26" t="s">
        <v>628</v>
      </c>
      <c r="B6" s="29">
        <v>120</v>
      </c>
      <c r="C6" s="29">
        <v>58</v>
      </c>
      <c r="D6" s="29">
        <v>7.7</v>
      </c>
      <c r="E6" s="29">
        <v>92</v>
      </c>
      <c r="F6" s="29">
        <v>5.0999999999999996</v>
      </c>
      <c r="G6" s="29">
        <v>5.0999999999999996</v>
      </c>
      <c r="H6" s="29">
        <v>3.77</v>
      </c>
      <c r="I6" s="29">
        <v>18</v>
      </c>
      <c r="J6" s="29">
        <v>14.2</v>
      </c>
      <c r="K6" s="29">
        <v>11.1</v>
      </c>
      <c r="L6" s="29">
        <v>328</v>
      </c>
      <c r="M6" s="29">
        <v>54.7</v>
      </c>
      <c r="N6" s="29">
        <v>4.8099999999999996</v>
      </c>
      <c r="O6" s="29">
        <v>31.8</v>
      </c>
      <c r="P6" s="29">
        <v>63.6</v>
      </c>
      <c r="Q6" s="29">
        <v>21.5</v>
      </c>
      <c r="R6" s="29">
        <v>7.41</v>
      </c>
      <c r="S6" s="29">
        <v>1.23</v>
      </c>
      <c r="T6" s="29">
        <v>6.12</v>
      </c>
      <c r="U6" s="29">
        <v>11.12</v>
      </c>
      <c r="V6" s="29">
        <v>12.24</v>
      </c>
      <c r="W6" s="29">
        <v>2.23</v>
      </c>
      <c r="X6" s="29">
        <v>685</v>
      </c>
      <c r="Y6" s="29">
        <v>28382</v>
      </c>
      <c r="Z6" s="29">
        <v>1.29</v>
      </c>
      <c r="AA6" s="40" t="s">
        <v>122</v>
      </c>
      <c r="AB6" s="40" t="s">
        <v>122</v>
      </c>
      <c r="AC6" s="104">
        <f t="shared" si="0"/>
        <v>11.23</v>
      </c>
    </row>
    <row r="7" spans="1:29" x14ac:dyDescent="0.25">
      <c r="A7" s="26" t="s">
        <v>629</v>
      </c>
      <c r="B7" s="29">
        <v>140</v>
      </c>
      <c r="C7" s="29">
        <v>66</v>
      </c>
      <c r="D7" s="29">
        <v>8.6</v>
      </c>
      <c r="E7" s="29">
        <v>109</v>
      </c>
      <c r="F7" s="29">
        <v>5.7</v>
      </c>
      <c r="G7" s="29">
        <v>5.7</v>
      </c>
      <c r="H7" s="29">
        <v>3.84</v>
      </c>
      <c r="I7" s="29">
        <v>19.100000000000001</v>
      </c>
      <c r="J7" s="29">
        <v>18.2</v>
      </c>
      <c r="K7" s="29">
        <v>14.3</v>
      </c>
      <c r="L7" s="29">
        <v>573</v>
      </c>
      <c r="M7" s="29">
        <v>81.900000000000006</v>
      </c>
      <c r="N7" s="29">
        <v>5.61</v>
      </c>
      <c r="O7" s="29">
        <v>47.7</v>
      </c>
      <c r="P7" s="29">
        <v>95.4</v>
      </c>
      <c r="Q7" s="29">
        <v>35.200000000000003</v>
      </c>
      <c r="R7" s="29">
        <v>10.7</v>
      </c>
      <c r="S7" s="29">
        <v>1.4</v>
      </c>
      <c r="T7" s="29">
        <v>8.85</v>
      </c>
      <c r="U7" s="29">
        <v>16.05</v>
      </c>
      <c r="V7" s="29">
        <v>17.7</v>
      </c>
      <c r="W7" s="29">
        <v>3.56</v>
      </c>
      <c r="X7" s="29">
        <v>1540</v>
      </c>
      <c r="Y7" s="29">
        <v>27117</v>
      </c>
      <c r="Z7" s="29">
        <v>1.56</v>
      </c>
      <c r="AA7" s="40" t="s">
        <v>122</v>
      </c>
      <c r="AB7" s="40" t="s">
        <v>122</v>
      </c>
      <c r="AC7" s="104">
        <f t="shared" si="0"/>
        <v>13.14</v>
      </c>
    </row>
    <row r="8" spans="1:29" x14ac:dyDescent="0.25">
      <c r="A8" s="26" t="s">
        <v>630</v>
      </c>
      <c r="B8" s="29">
        <v>160</v>
      </c>
      <c r="C8" s="29">
        <v>74</v>
      </c>
      <c r="D8" s="29">
        <v>9.5</v>
      </c>
      <c r="E8" s="29">
        <v>125</v>
      </c>
      <c r="F8" s="29">
        <v>6.3</v>
      </c>
      <c r="G8" s="29">
        <v>6.3</v>
      </c>
      <c r="H8" s="29">
        <v>3.89</v>
      </c>
      <c r="I8" s="29">
        <v>19.8</v>
      </c>
      <c r="J8" s="29">
        <v>22.8</v>
      </c>
      <c r="K8" s="29">
        <v>17.899999999999999</v>
      </c>
      <c r="L8" s="29">
        <v>935</v>
      </c>
      <c r="M8" s="29">
        <v>117</v>
      </c>
      <c r="N8" s="29">
        <v>6.4</v>
      </c>
      <c r="O8" s="29">
        <v>68</v>
      </c>
      <c r="P8" s="29">
        <v>136</v>
      </c>
      <c r="Q8" s="29">
        <v>54.7</v>
      </c>
      <c r="R8" s="29">
        <v>14.8</v>
      </c>
      <c r="S8" s="29">
        <v>1.55</v>
      </c>
      <c r="T8" s="29">
        <v>12.28</v>
      </c>
      <c r="U8" s="29">
        <v>22.2</v>
      </c>
      <c r="V8" s="29">
        <v>24.55</v>
      </c>
      <c r="W8" s="29">
        <v>5.4</v>
      </c>
      <c r="X8" s="29">
        <v>3138</v>
      </c>
      <c r="Y8" s="29">
        <v>26190</v>
      </c>
      <c r="Z8" s="29">
        <v>1.8</v>
      </c>
      <c r="AA8" s="40" t="s">
        <v>122</v>
      </c>
      <c r="AB8" s="40" t="s">
        <v>122</v>
      </c>
      <c r="AC8" s="104">
        <f t="shared" si="0"/>
        <v>15.05</v>
      </c>
    </row>
    <row r="9" spans="1:29" x14ac:dyDescent="0.25">
      <c r="A9" s="26" t="s">
        <v>631</v>
      </c>
      <c r="B9" s="29">
        <v>180</v>
      </c>
      <c r="C9" s="29">
        <v>82</v>
      </c>
      <c r="D9" s="29">
        <v>10.4</v>
      </c>
      <c r="E9" s="29">
        <v>142</v>
      </c>
      <c r="F9" s="29">
        <v>6.9</v>
      </c>
      <c r="G9" s="29">
        <v>6.9</v>
      </c>
      <c r="H9" s="29">
        <v>3.94</v>
      </c>
      <c r="I9" s="29">
        <v>20.6</v>
      </c>
      <c r="J9" s="29">
        <v>27.9</v>
      </c>
      <c r="K9" s="29">
        <v>21.9</v>
      </c>
      <c r="L9" s="29">
        <v>1450</v>
      </c>
      <c r="M9" s="29">
        <v>161</v>
      </c>
      <c r="N9" s="29">
        <v>7.2</v>
      </c>
      <c r="O9" s="29">
        <v>93.4</v>
      </c>
      <c r="P9" s="29">
        <v>187</v>
      </c>
      <c r="Q9" s="29">
        <v>81.3</v>
      </c>
      <c r="R9" s="29">
        <v>19.8</v>
      </c>
      <c r="S9" s="29">
        <v>1.71</v>
      </c>
      <c r="T9" s="29">
        <v>16.5</v>
      </c>
      <c r="U9" s="29">
        <v>29.7</v>
      </c>
      <c r="V9" s="29">
        <v>33</v>
      </c>
      <c r="W9" s="29">
        <v>7.89</v>
      </c>
      <c r="X9" s="29">
        <v>5924</v>
      </c>
      <c r="Y9" s="29">
        <v>25442</v>
      </c>
      <c r="Z9" s="29">
        <v>2.04</v>
      </c>
      <c r="AA9" s="40" t="s">
        <v>122</v>
      </c>
      <c r="AB9" s="40" t="s">
        <v>122</v>
      </c>
      <c r="AC9" s="104">
        <f t="shared" si="0"/>
        <v>16.96</v>
      </c>
    </row>
    <row r="10" spans="1:29" x14ac:dyDescent="0.25">
      <c r="A10" s="26" t="s">
        <v>632</v>
      </c>
      <c r="B10" s="29">
        <v>200</v>
      </c>
      <c r="C10" s="29">
        <v>90</v>
      </c>
      <c r="D10" s="29">
        <v>11.3</v>
      </c>
      <c r="E10" s="29">
        <v>159</v>
      </c>
      <c r="F10" s="29">
        <v>7.5</v>
      </c>
      <c r="G10" s="29">
        <v>7.5</v>
      </c>
      <c r="H10" s="29">
        <v>3.98</v>
      </c>
      <c r="I10" s="29">
        <v>21.2</v>
      </c>
      <c r="J10" s="29">
        <v>33.4</v>
      </c>
      <c r="K10" s="29">
        <v>26.2</v>
      </c>
      <c r="L10" s="29">
        <v>2140</v>
      </c>
      <c r="M10" s="29">
        <v>214</v>
      </c>
      <c r="N10" s="29">
        <v>8</v>
      </c>
      <c r="O10" s="29">
        <v>125</v>
      </c>
      <c r="P10" s="29">
        <v>250</v>
      </c>
      <c r="Q10" s="29">
        <v>117</v>
      </c>
      <c r="R10" s="29">
        <v>26</v>
      </c>
      <c r="S10" s="29">
        <v>1.87</v>
      </c>
      <c r="T10" s="29">
        <v>21.58</v>
      </c>
      <c r="U10" s="29">
        <v>39</v>
      </c>
      <c r="V10" s="29">
        <v>43.16</v>
      </c>
      <c r="W10" s="29">
        <v>11.2</v>
      </c>
      <c r="X10" s="29">
        <v>10520</v>
      </c>
      <c r="Y10" s="29">
        <v>24894</v>
      </c>
      <c r="Z10" s="29">
        <v>2.2200000000000002</v>
      </c>
      <c r="AA10" s="40" t="s">
        <v>122</v>
      </c>
      <c r="AB10" s="40" t="s">
        <v>122</v>
      </c>
      <c r="AC10" s="104">
        <f t="shared" si="0"/>
        <v>18.869999999999997</v>
      </c>
    </row>
    <row r="11" spans="1:29" x14ac:dyDescent="0.25">
      <c r="A11" s="26" t="s">
        <v>633</v>
      </c>
      <c r="B11" s="29">
        <v>220</v>
      </c>
      <c r="C11" s="29">
        <v>98</v>
      </c>
      <c r="D11" s="29">
        <v>12.2</v>
      </c>
      <c r="E11" s="29">
        <v>176</v>
      </c>
      <c r="F11" s="29">
        <v>8.1</v>
      </c>
      <c r="G11" s="29">
        <v>8.1</v>
      </c>
      <c r="H11" s="29">
        <v>4.0199999999999996</v>
      </c>
      <c r="I11" s="29">
        <v>21.7</v>
      </c>
      <c r="J11" s="29">
        <v>39.5</v>
      </c>
      <c r="K11" s="29">
        <v>31.1</v>
      </c>
      <c r="L11" s="29">
        <v>3060</v>
      </c>
      <c r="M11" s="29">
        <v>278</v>
      </c>
      <c r="N11" s="29">
        <v>8.8000000000000007</v>
      </c>
      <c r="O11" s="29">
        <v>162</v>
      </c>
      <c r="P11" s="29">
        <v>324</v>
      </c>
      <c r="Q11" s="29">
        <v>162</v>
      </c>
      <c r="R11" s="29">
        <v>33.1</v>
      </c>
      <c r="S11" s="29">
        <v>2.02</v>
      </c>
      <c r="T11" s="29">
        <v>27.61</v>
      </c>
      <c r="U11" s="29">
        <v>49.65</v>
      </c>
      <c r="V11" s="29">
        <v>55.21</v>
      </c>
      <c r="W11" s="29">
        <v>15.3</v>
      </c>
      <c r="X11" s="29">
        <v>17760</v>
      </c>
      <c r="Y11" s="29">
        <v>24432</v>
      </c>
      <c r="Z11" s="29">
        <v>2.42</v>
      </c>
      <c r="AA11" s="40" t="s">
        <v>122</v>
      </c>
      <c r="AB11" s="40" t="s">
        <v>122</v>
      </c>
      <c r="AC11" s="104">
        <f t="shared" si="0"/>
        <v>20.78</v>
      </c>
    </row>
    <row r="12" spans="1:29" x14ac:dyDescent="0.25">
      <c r="A12" s="26" t="s">
        <v>634</v>
      </c>
      <c r="B12" s="29">
        <v>240</v>
      </c>
      <c r="C12" s="29">
        <v>105</v>
      </c>
      <c r="D12" s="29">
        <v>13.1</v>
      </c>
      <c r="E12" s="29">
        <v>192</v>
      </c>
      <c r="F12" s="29">
        <v>8.6999999999999993</v>
      </c>
      <c r="G12" s="29">
        <v>8.6999999999999993</v>
      </c>
      <c r="H12" s="29">
        <v>4.05</v>
      </c>
      <c r="I12" s="29">
        <v>22.1</v>
      </c>
      <c r="J12" s="29">
        <v>46.1</v>
      </c>
      <c r="K12" s="29">
        <v>36.200000000000003</v>
      </c>
      <c r="L12" s="29">
        <v>4250</v>
      </c>
      <c r="M12" s="29">
        <v>354</v>
      </c>
      <c r="N12" s="29">
        <v>9.59</v>
      </c>
      <c r="O12" s="29">
        <v>206</v>
      </c>
      <c r="P12" s="29">
        <v>412</v>
      </c>
      <c r="Q12" s="29">
        <v>221</v>
      </c>
      <c r="R12" s="29">
        <v>41.7</v>
      </c>
      <c r="S12" s="29">
        <v>2.2000000000000002</v>
      </c>
      <c r="T12" s="29">
        <v>34.68</v>
      </c>
      <c r="U12" s="29">
        <v>62.55</v>
      </c>
      <c r="V12" s="29">
        <v>69.37</v>
      </c>
      <c r="W12" s="29">
        <v>20.6</v>
      </c>
      <c r="X12" s="29">
        <v>28730</v>
      </c>
      <c r="Y12" s="29">
        <v>24017</v>
      </c>
      <c r="Z12" s="29">
        <v>2.58</v>
      </c>
      <c r="AA12" s="40" t="s">
        <v>122</v>
      </c>
      <c r="AB12" s="40" t="s">
        <v>122</v>
      </c>
      <c r="AC12" s="104">
        <f t="shared" si="0"/>
        <v>22.69</v>
      </c>
    </row>
    <row r="13" spans="1:29" x14ac:dyDescent="0.25">
      <c r="A13" s="26" t="s">
        <v>635</v>
      </c>
      <c r="B13" s="29">
        <v>260</v>
      </c>
      <c r="C13" s="29">
        <v>113</v>
      </c>
      <c r="D13" s="29">
        <v>14.1</v>
      </c>
      <c r="E13" s="29">
        <v>208</v>
      </c>
      <c r="F13" s="29">
        <v>9.4</v>
      </c>
      <c r="G13" s="29">
        <v>9.4</v>
      </c>
      <c r="H13" s="29">
        <v>4.01</v>
      </c>
      <c r="I13" s="29">
        <v>22.1</v>
      </c>
      <c r="J13" s="29">
        <v>53.3</v>
      </c>
      <c r="K13" s="29">
        <v>41.9</v>
      </c>
      <c r="L13" s="29">
        <v>5740</v>
      </c>
      <c r="M13" s="29">
        <v>442</v>
      </c>
      <c r="N13" s="29">
        <v>10.4</v>
      </c>
      <c r="O13" s="29">
        <v>257</v>
      </c>
      <c r="P13" s="29">
        <v>514</v>
      </c>
      <c r="Q13" s="29">
        <v>288</v>
      </c>
      <c r="R13" s="29">
        <v>51</v>
      </c>
      <c r="S13" s="29">
        <v>2.3199999999999998</v>
      </c>
      <c r="T13" s="29">
        <v>42.56</v>
      </c>
      <c r="U13" s="29">
        <v>76.5</v>
      </c>
      <c r="V13" s="29">
        <v>85.11</v>
      </c>
      <c r="W13" s="29">
        <v>27.5</v>
      </c>
      <c r="X13" s="29">
        <v>44070</v>
      </c>
      <c r="Y13" s="29">
        <v>23925</v>
      </c>
      <c r="Z13" s="29">
        <v>2.65</v>
      </c>
      <c r="AA13" s="40" t="s">
        <v>122</v>
      </c>
      <c r="AB13" s="40" t="s">
        <v>122</v>
      </c>
      <c r="AC13" s="104">
        <f t="shared" si="0"/>
        <v>24.59</v>
      </c>
    </row>
    <row r="14" spans="1:29" x14ac:dyDescent="0.25">
      <c r="A14" s="26" t="s">
        <v>636</v>
      </c>
      <c r="B14" s="29">
        <v>280</v>
      </c>
      <c r="C14" s="29">
        <v>119</v>
      </c>
      <c r="D14" s="29">
        <v>15.2</v>
      </c>
      <c r="E14" s="29">
        <v>225</v>
      </c>
      <c r="F14" s="29">
        <v>10.1</v>
      </c>
      <c r="G14" s="29">
        <v>10.1</v>
      </c>
      <c r="H14" s="29">
        <v>3.91</v>
      </c>
      <c r="I14" s="29">
        <v>22.3</v>
      </c>
      <c r="J14" s="29">
        <v>61</v>
      </c>
      <c r="K14" s="29">
        <v>47.9</v>
      </c>
      <c r="L14" s="29">
        <v>7590</v>
      </c>
      <c r="M14" s="29">
        <v>542</v>
      </c>
      <c r="N14" s="29">
        <v>11.1</v>
      </c>
      <c r="O14" s="29">
        <v>316</v>
      </c>
      <c r="P14" s="29">
        <v>632</v>
      </c>
      <c r="Q14" s="29">
        <v>364</v>
      </c>
      <c r="R14" s="29">
        <v>61.2</v>
      </c>
      <c r="S14" s="29">
        <v>2.4500000000000002</v>
      </c>
      <c r="T14" s="29">
        <v>51.07</v>
      </c>
      <c r="U14" s="29">
        <v>91.8</v>
      </c>
      <c r="V14" s="29">
        <v>102.1</v>
      </c>
      <c r="W14" s="29">
        <v>36.4</v>
      </c>
      <c r="X14" s="29">
        <v>64580</v>
      </c>
      <c r="Y14" s="29">
        <v>24009</v>
      </c>
      <c r="Z14" s="29">
        <v>2.64</v>
      </c>
      <c r="AA14" s="40" t="s">
        <v>122</v>
      </c>
      <c r="AB14" s="40" t="s">
        <v>122</v>
      </c>
      <c r="AC14" s="104">
        <f t="shared" si="0"/>
        <v>26.48</v>
      </c>
    </row>
    <row r="15" spans="1:29" x14ac:dyDescent="0.25">
      <c r="A15" s="26" t="s">
        <v>637</v>
      </c>
      <c r="B15" s="29">
        <v>300</v>
      </c>
      <c r="C15" s="29">
        <v>125</v>
      </c>
      <c r="D15" s="29">
        <v>16.2</v>
      </c>
      <c r="E15" s="29">
        <v>241</v>
      </c>
      <c r="F15" s="29">
        <v>10.8</v>
      </c>
      <c r="G15" s="29">
        <v>10.8</v>
      </c>
      <c r="H15" s="29">
        <v>3.86</v>
      </c>
      <c r="I15" s="29">
        <v>22.3</v>
      </c>
      <c r="J15" s="29">
        <v>69</v>
      </c>
      <c r="K15" s="29">
        <v>54.2</v>
      </c>
      <c r="L15" s="29">
        <v>9800</v>
      </c>
      <c r="M15" s="29">
        <v>653</v>
      </c>
      <c r="N15" s="29">
        <v>11.9</v>
      </c>
      <c r="O15" s="29">
        <v>381</v>
      </c>
      <c r="P15" s="29">
        <v>762</v>
      </c>
      <c r="Q15" s="29">
        <v>451</v>
      </c>
      <c r="R15" s="29">
        <v>72.2</v>
      </c>
      <c r="S15" s="29">
        <v>2.56</v>
      </c>
      <c r="T15" s="29">
        <v>60.29</v>
      </c>
      <c r="U15" s="29">
        <v>108.3</v>
      </c>
      <c r="V15" s="29">
        <v>120.6</v>
      </c>
      <c r="W15" s="29">
        <v>46.7</v>
      </c>
      <c r="X15" s="29">
        <v>91850</v>
      </c>
      <c r="Y15" s="29">
        <v>23987</v>
      </c>
      <c r="Z15" s="29">
        <v>2.68</v>
      </c>
      <c r="AA15" s="40" t="s">
        <v>122</v>
      </c>
      <c r="AB15" s="40" t="s">
        <v>122</v>
      </c>
      <c r="AC15" s="104">
        <f t="shared" si="0"/>
        <v>28.380000000000003</v>
      </c>
    </row>
    <row r="16" spans="1:29" x14ac:dyDescent="0.25">
      <c r="A16" s="26" t="s">
        <v>638</v>
      </c>
      <c r="B16" s="29">
        <v>320</v>
      </c>
      <c r="C16" s="29">
        <v>131</v>
      </c>
      <c r="D16" s="29">
        <v>17.3</v>
      </c>
      <c r="E16" s="29">
        <v>258</v>
      </c>
      <c r="F16" s="29">
        <v>11.5</v>
      </c>
      <c r="G16" s="29">
        <v>11.5</v>
      </c>
      <c r="H16" s="29">
        <v>3.79</v>
      </c>
      <c r="I16" s="29">
        <v>22.4</v>
      </c>
      <c r="J16" s="29">
        <v>77.7</v>
      </c>
      <c r="K16" s="29">
        <v>61</v>
      </c>
      <c r="L16" s="29">
        <v>12510</v>
      </c>
      <c r="M16" s="29">
        <v>782</v>
      </c>
      <c r="N16" s="29">
        <v>12.7</v>
      </c>
      <c r="O16" s="29">
        <v>457</v>
      </c>
      <c r="P16" s="29">
        <v>914</v>
      </c>
      <c r="Q16" s="29">
        <v>555</v>
      </c>
      <c r="R16" s="29">
        <v>84.7</v>
      </c>
      <c r="S16" s="29">
        <v>2.67</v>
      </c>
      <c r="T16" s="29">
        <v>70.959999999999994</v>
      </c>
      <c r="U16" s="29">
        <v>127.1</v>
      </c>
      <c r="V16" s="29">
        <v>141.9</v>
      </c>
      <c r="W16" s="29">
        <v>59.7</v>
      </c>
      <c r="X16" s="29">
        <v>128800</v>
      </c>
      <c r="Y16" s="29">
        <v>24038</v>
      </c>
      <c r="Z16" s="29">
        <v>2.67</v>
      </c>
      <c r="AA16" s="40" t="s">
        <v>122</v>
      </c>
      <c r="AB16" s="40" t="s">
        <v>122</v>
      </c>
      <c r="AC16" s="104">
        <f t="shared" si="0"/>
        <v>30.27</v>
      </c>
    </row>
    <row r="17" spans="1:29" x14ac:dyDescent="0.25">
      <c r="A17" s="26" t="s">
        <v>639</v>
      </c>
      <c r="B17" s="29">
        <v>340</v>
      </c>
      <c r="C17" s="29">
        <v>137</v>
      </c>
      <c r="D17" s="29">
        <v>18.3</v>
      </c>
      <c r="E17" s="29">
        <v>274</v>
      </c>
      <c r="F17" s="29">
        <v>12.2</v>
      </c>
      <c r="G17" s="29">
        <v>12.2</v>
      </c>
      <c r="H17" s="29">
        <v>3.74</v>
      </c>
      <c r="I17" s="29">
        <v>22.5</v>
      </c>
      <c r="J17" s="29">
        <v>86.7</v>
      </c>
      <c r="K17" s="29">
        <v>68</v>
      </c>
      <c r="L17" s="29">
        <v>15700</v>
      </c>
      <c r="M17" s="29">
        <v>923</v>
      </c>
      <c r="N17" s="29">
        <v>13.5</v>
      </c>
      <c r="O17" s="29">
        <v>540</v>
      </c>
      <c r="P17" s="29">
        <v>1080</v>
      </c>
      <c r="Q17" s="29">
        <v>674</v>
      </c>
      <c r="R17" s="29">
        <v>98.4</v>
      </c>
      <c r="S17" s="29">
        <v>2.8</v>
      </c>
      <c r="T17" s="29">
        <v>82.35</v>
      </c>
      <c r="U17" s="29">
        <v>147.6</v>
      </c>
      <c r="V17" s="29">
        <v>164.7</v>
      </c>
      <c r="W17" s="29">
        <v>74.3</v>
      </c>
      <c r="X17" s="29">
        <v>176300</v>
      </c>
      <c r="Y17" s="29">
        <v>24009</v>
      </c>
      <c r="Z17" s="29">
        <v>2.71</v>
      </c>
      <c r="AA17" s="40" t="s">
        <v>122</v>
      </c>
      <c r="AB17" s="40" t="s">
        <v>122</v>
      </c>
      <c r="AC17" s="104">
        <f t="shared" si="0"/>
        <v>32.17</v>
      </c>
    </row>
    <row r="18" spans="1:29" x14ac:dyDescent="0.25">
      <c r="A18" s="26" t="s">
        <v>640</v>
      </c>
      <c r="B18" s="29">
        <v>360</v>
      </c>
      <c r="C18" s="29">
        <v>143</v>
      </c>
      <c r="D18" s="29">
        <v>19.5</v>
      </c>
      <c r="E18" s="29">
        <v>290</v>
      </c>
      <c r="F18" s="29">
        <v>13</v>
      </c>
      <c r="G18" s="29">
        <v>13</v>
      </c>
      <c r="H18" s="29">
        <v>3.67</v>
      </c>
      <c r="I18" s="29">
        <v>22.3</v>
      </c>
      <c r="J18" s="29">
        <v>97</v>
      </c>
      <c r="K18" s="29">
        <v>76.099999999999994</v>
      </c>
      <c r="L18" s="29">
        <v>19610</v>
      </c>
      <c r="M18" s="29">
        <v>1090</v>
      </c>
      <c r="N18" s="29">
        <v>14.2</v>
      </c>
      <c r="O18" s="29">
        <v>638</v>
      </c>
      <c r="P18" s="29">
        <v>1276</v>
      </c>
      <c r="Q18" s="29">
        <v>818</v>
      </c>
      <c r="R18" s="29">
        <v>114</v>
      </c>
      <c r="S18" s="29">
        <v>2.9</v>
      </c>
      <c r="T18" s="29">
        <v>95.96</v>
      </c>
      <c r="U18" s="29">
        <v>171.6</v>
      </c>
      <c r="V18" s="29">
        <v>191.9</v>
      </c>
      <c r="W18" s="29">
        <v>94.2</v>
      </c>
      <c r="X18" s="29">
        <v>240100</v>
      </c>
      <c r="Y18" s="29">
        <v>24207</v>
      </c>
      <c r="Z18" s="29">
        <v>2.64</v>
      </c>
      <c r="AA18" s="40" t="s">
        <v>122</v>
      </c>
      <c r="AB18" s="40" t="s">
        <v>122</v>
      </c>
      <c r="AC18" s="104">
        <f t="shared" si="0"/>
        <v>34.049999999999997</v>
      </c>
    </row>
    <row r="19" spans="1:29" x14ac:dyDescent="0.25">
      <c r="A19" s="26" t="s">
        <v>641</v>
      </c>
      <c r="B19" s="29">
        <v>380</v>
      </c>
      <c r="C19" s="29">
        <v>149</v>
      </c>
      <c r="D19" s="29">
        <v>20.5</v>
      </c>
      <c r="E19" s="29">
        <v>306</v>
      </c>
      <c r="F19" s="29">
        <v>13.7</v>
      </c>
      <c r="G19" s="29">
        <v>13.7</v>
      </c>
      <c r="H19" s="29">
        <v>3.63</v>
      </c>
      <c r="I19" s="29">
        <v>22.3</v>
      </c>
      <c r="J19" s="29">
        <v>107</v>
      </c>
      <c r="K19" s="29">
        <v>84</v>
      </c>
      <c r="L19" s="29">
        <v>24010</v>
      </c>
      <c r="M19" s="29">
        <v>1260</v>
      </c>
      <c r="N19" s="29">
        <v>15</v>
      </c>
      <c r="O19" s="29">
        <v>741</v>
      </c>
      <c r="P19" s="29">
        <v>1482</v>
      </c>
      <c r="Q19" s="29">
        <v>975</v>
      </c>
      <c r="R19" s="29">
        <v>131</v>
      </c>
      <c r="S19" s="29">
        <v>3.02</v>
      </c>
      <c r="T19" s="29">
        <v>109.8</v>
      </c>
      <c r="U19" s="29">
        <v>196.4</v>
      </c>
      <c r="V19" s="29">
        <v>219.6</v>
      </c>
      <c r="W19" s="29">
        <v>115</v>
      </c>
      <c r="X19" s="29">
        <v>318700</v>
      </c>
      <c r="Y19" s="29">
        <v>24262</v>
      </c>
      <c r="Z19" s="29">
        <v>2.65</v>
      </c>
      <c r="AA19" s="40" t="s">
        <v>122</v>
      </c>
      <c r="AB19" s="40" t="s">
        <v>122</v>
      </c>
      <c r="AC19" s="104">
        <f t="shared" si="0"/>
        <v>35.950000000000003</v>
      </c>
    </row>
    <row r="20" spans="1:29" x14ac:dyDescent="0.25">
      <c r="A20" s="26" t="s">
        <v>642</v>
      </c>
      <c r="B20" s="29">
        <v>400</v>
      </c>
      <c r="C20" s="29">
        <v>155</v>
      </c>
      <c r="D20" s="29">
        <v>21.6</v>
      </c>
      <c r="E20" s="29">
        <v>323</v>
      </c>
      <c r="F20" s="29">
        <v>14.4</v>
      </c>
      <c r="G20" s="29">
        <v>14.4</v>
      </c>
      <c r="H20" s="29">
        <v>3.59</v>
      </c>
      <c r="I20" s="29">
        <v>22.4</v>
      </c>
      <c r="J20" s="29">
        <v>118</v>
      </c>
      <c r="K20" s="29">
        <v>92.4</v>
      </c>
      <c r="L20" s="29">
        <v>29210</v>
      </c>
      <c r="M20" s="29">
        <v>1460</v>
      </c>
      <c r="N20" s="29">
        <v>15.7</v>
      </c>
      <c r="O20" s="29">
        <v>857</v>
      </c>
      <c r="P20" s="29">
        <v>1714</v>
      </c>
      <c r="Q20" s="29">
        <v>1160</v>
      </c>
      <c r="R20" s="29">
        <v>149</v>
      </c>
      <c r="S20" s="29">
        <v>3.13</v>
      </c>
      <c r="T20" s="29">
        <v>125.5</v>
      </c>
      <c r="U20" s="29">
        <v>223.5</v>
      </c>
      <c r="V20" s="29">
        <v>251</v>
      </c>
      <c r="W20" s="29">
        <v>140</v>
      </c>
      <c r="X20" s="29">
        <v>419600</v>
      </c>
      <c r="Y20" s="29">
        <v>24270</v>
      </c>
      <c r="Z20" s="29">
        <v>2.65</v>
      </c>
      <c r="AA20" s="40" t="s">
        <v>122</v>
      </c>
      <c r="AB20" s="40" t="s">
        <v>122</v>
      </c>
      <c r="AC20" s="104">
        <f t="shared" si="0"/>
        <v>37.839999999999996</v>
      </c>
    </row>
    <row r="21" spans="1:29" x14ac:dyDescent="0.25">
      <c r="A21" s="26" t="s">
        <v>643</v>
      </c>
      <c r="B21" s="29">
        <v>425</v>
      </c>
      <c r="C21" s="29">
        <v>163</v>
      </c>
      <c r="D21" s="29">
        <v>23</v>
      </c>
      <c r="E21" s="29">
        <v>343</v>
      </c>
      <c r="F21" s="29">
        <v>15.3</v>
      </c>
      <c r="G21" s="29">
        <v>15.3</v>
      </c>
      <c r="H21" s="29">
        <v>3.54</v>
      </c>
      <c r="I21" s="29">
        <v>22.4</v>
      </c>
      <c r="J21" s="29">
        <v>132</v>
      </c>
      <c r="K21" s="29">
        <v>104</v>
      </c>
      <c r="L21" s="29">
        <v>36970</v>
      </c>
      <c r="M21" s="29">
        <v>1740</v>
      </c>
      <c r="N21" s="29">
        <v>16.7</v>
      </c>
      <c r="O21" s="29">
        <v>1020</v>
      </c>
      <c r="P21" s="29">
        <v>2040</v>
      </c>
      <c r="Q21" s="29">
        <v>1440</v>
      </c>
      <c r="R21" s="29">
        <v>176</v>
      </c>
      <c r="S21" s="29">
        <v>3.3</v>
      </c>
      <c r="T21" s="29">
        <v>148.1</v>
      </c>
      <c r="U21" s="29">
        <v>264</v>
      </c>
      <c r="V21" s="29">
        <v>296.2</v>
      </c>
      <c r="W21" s="29">
        <v>177</v>
      </c>
      <c r="X21" s="29">
        <v>587500</v>
      </c>
      <c r="Y21" s="29">
        <v>24280</v>
      </c>
      <c r="Z21" s="29">
        <v>2.63</v>
      </c>
      <c r="AA21" s="40" t="s">
        <v>122</v>
      </c>
      <c r="AB21" s="40" t="s">
        <v>122</v>
      </c>
      <c r="AC21" s="104">
        <f t="shared" si="0"/>
        <v>40.200000000000003</v>
      </c>
    </row>
    <row r="22" spans="1:29" x14ac:dyDescent="0.25">
      <c r="A22" s="26" t="s">
        <v>644</v>
      </c>
      <c r="B22" s="29">
        <v>450</v>
      </c>
      <c r="C22" s="29">
        <v>170</v>
      </c>
      <c r="D22" s="29">
        <v>24.3</v>
      </c>
      <c r="E22" s="29">
        <v>363</v>
      </c>
      <c r="F22" s="29">
        <v>16.2</v>
      </c>
      <c r="G22" s="29">
        <v>16.2</v>
      </c>
      <c r="H22" s="29">
        <v>3.5</v>
      </c>
      <c r="I22" s="29">
        <v>22.4</v>
      </c>
      <c r="J22" s="29">
        <v>147</v>
      </c>
      <c r="K22" s="29">
        <v>115</v>
      </c>
      <c r="L22" s="29">
        <v>45850</v>
      </c>
      <c r="M22" s="29">
        <v>2040</v>
      </c>
      <c r="N22" s="29">
        <v>17.7</v>
      </c>
      <c r="O22" s="29">
        <v>1200</v>
      </c>
      <c r="P22" s="29">
        <v>2400</v>
      </c>
      <c r="Q22" s="29">
        <v>1730</v>
      </c>
      <c r="R22" s="29">
        <v>203</v>
      </c>
      <c r="S22" s="29">
        <v>3.43</v>
      </c>
      <c r="T22" s="29">
        <v>170.7</v>
      </c>
      <c r="U22" s="29">
        <v>304.5</v>
      </c>
      <c r="V22" s="29">
        <v>341.4</v>
      </c>
      <c r="W22" s="29">
        <v>220</v>
      </c>
      <c r="X22" s="29">
        <v>791100</v>
      </c>
      <c r="Y22" s="29">
        <v>24306</v>
      </c>
      <c r="Z22" s="29">
        <v>2.65</v>
      </c>
      <c r="AA22" s="40" t="s">
        <v>122</v>
      </c>
      <c r="AB22" s="40" t="s">
        <v>122</v>
      </c>
      <c r="AC22" s="104">
        <f t="shared" si="0"/>
        <v>42.57</v>
      </c>
    </row>
    <row r="23" spans="1:29" x14ac:dyDescent="0.25">
      <c r="A23" s="26" t="s">
        <v>645</v>
      </c>
      <c r="B23" s="29">
        <v>475</v>
      </c>
      <c r="C23" s="29">
        <v>178</v>
      </c>
      <c r="D23" s="29">
        <v>25.6</v>
      </c>
      <c r="E23" s="29">
        <v>384</v>
      </c>
      <c r="F23" s="29">
        <v>17.100000000000001</v>
      </c>
      <c r="G23" s="29">
        <v>17.100000000000001</v>
      </c>
      <c r="H23" s="29">
        <v>3.48</v>
      </c>
      <c r="I23" s="29">
        <v>22.5</v>
      </c>
      <c r="J23" s="29">
        <v>163</v>
      </c>
      <c r="K23" s="29">
        <v>128</v>
      </c>
      <c r="L23" s="29">
        <v>56480</v>
      </c>
      <c r="M23" s="29">
        <v>2380</v>
      </c>
      <c r="N23" s="29">
        <v>18.600000000000001</v>
      </c>
      <c r="O23" s="29">
        <v>1400</v>
      </c>
      <c r="P23" s="29">
        <v>2800</v>
      </c>
      <c r="Q23" s="29">
        <v>2090</v>
      </c>
      <c r="R23" s="29">
        <v>235</v>
      </c>
      <c r="S23" s="29">
        <v>3.6</v>
      </c>
      <c r="T23" s="29">
        <v>197.5</v>
      </c>
      <c r="U23" s="29">
        <v>352.5</v>
      </c>
      <c r="V23" s="29">
        <v>394.9</v>
      </c>
      <c r="W23" s="29">
        <v>270</v>
      </c>
      <c r="X23" s="29">
        <v>1067000</v>
      </c>
      <c r="Y23" s="29">
        <v>24318</v>
      </c>
      <c r="Z23" s="29">
        <v>2.67</v>
      </c>
      <c r="AA23" s="40" t="s">
        <v>122</v>
      </c>
      <c r="AB23" s="40" t="s">
        <v>122</v>
      </c>
      <c r="AC23" s="104">
        <f t="shared" si="0"/>
        <v>44.94</v>
      </c>
    </row>
    <row r="24" spans="1:29" x14ac:dyDescent="0.25">
      <c r="A24" s="26" t="s">
        <v>646</v>
      </c>
      <c r="B24" s="29">
        <v>500</v>
      </c>
      <c r="C24" s="29">
        <v>185</v>
      </c>
      <c r="D24" s="29">
        <v>27</v>
      </c>
      <c r="E24" s="29">
        <v>404</v>
      </c>
      <c r="F24" s="29">
        <v>18</v>
      </c>
      <c r="G24" s="29">
        <v>18</v>
      </c>
      <c r="H24" s="29">
        <v>3.43</v>
      </c>
      <c r="I24" s="29">
        <v>22.4</v>
      </c>
      <c r="J24" s="29">
        <v>179</v>
      </c>
      <c r="K24" s="29">
        <v>141</v>
      </c>
      <c r="L24" s="29">
        <v>68740</v>
      </c>
      <c r="M24" s="29">
        <v>2750</v>
      </c>
      <c r="N24" s="29">
        <v>19.600000000000001</v>
      </c>
      <c r="O24" s="29">
        <v>1620</v>
      </c>
      <c r="P24" s="29">
        <v>3240</v>
      </c>
      <c r="Q24" s="29">
        <v>2480</v>
      </c>
      <c r="R24" s="29">
        <v>268</v>
      </c>
      <c r="S24" s="29">
        <v>3.72</v>
      </c>
      <c r="T24" s="29">
        <v>225.7</v>
      </c>
      <c r="U24" s="29">
        <v>402.2</v>
      </c>
      <c r="V24" s="29">
        <v>451.4</v>
      </c>
      <c r="W24" s="29">
        <v>329</v>
      </c>
      <c r="X24" s="29">
        <v>1403000</v>
      </c>
      <c r="Y24" s="29">
        <v>24375</v>
      </c>
      <c r="Z24" s="29">
        <v>2.65</v>
      </c>
      <c r="AA24" s="40" t="s">
        <v>122</v>
      </c>
      <c r="AB24" s="40" t="s">
        <v>122</v>
      </c>
      <c r="AC24" s="104">
        <f t="shared" si="0"/>
        <v>47.3</v>
      </c>
    </row>
    <row r="25" spans="1:29" x14ac:dyDescent="0.25">
      <c r="A25" s="26" t="s">
        <v>647</v>
      </c>
      <c r="B25" s="29">
        <v>550</v>
      </c>
      <c r="C25" s="29">
        <v>200</v>
      </c>
      <c r="D25" s="29">
        <v>30</v>
      </c>
      <c r="E25" s="29">
        <v>445</v>
      </c>
      <c r="F25" s="29">
        <v>19</v>
      </c>
      <c r="G25" s="29">
        <v>19</v>
      </c>
      <c r="H25" s="29">
        <v>3.33</v>
      </c>
      <c r="I25" s="29">
        <v>23.4</v>
      </c>
      <c r="J25" s="29">
        <v>212</v>
      </c>
      <c r="K25" s="29">
        <v>166</v>
      </c>
      <c r="L25" s="29">
        <v>99180</v>
      </c>
      <c r="M25" s="29">
        <v>3610</v>
      </c>
      <c r="N25" s="29">
        <v>21.6</v>
      </c>
      <c r="O25" s="29">
        <v>2120</v>
      </c>
      <c r="P25" s="29">
        <v>4240</v>
      </c>
      <c r="Q25" s="29">
        <v>3490</v>
      </c>
      <c r="R25" s="29">
        <v>349</v>
      </c>
      <c r="S25" s="29">
        <v>4.0199999999999996</v>
      </c>
      <c r="T25" s="29">
        <v>292.3</v>
      </c>
      <c r="U25" s="29">
        <v>523.5</v>
      </c>
      <c r="V25" s="29">
        <v>584.6</v>
      </c>
      <c r="W25" s="29">
        <v>472</v>
      </c>
      <c r="X25" s="29">
        <v>2389000</v>
      </c>
      <c r="Y25" s="29">
        <v>24188</v>
      </c>
      <c r="Z25" s="29">
        <v>2.69</v>
      </c>
      <c r="AA25" s="40" t="s">
        <v>122</v>
      </c>
      <c r="AB25" s="40" t="s">
        <v>122</v>
      </c>
      <c r="AC25" s="104">
        <f t="shared" si="0"/>
        <v>52</v>
      </c>
    </row>
    <row r="26" spans="1:29" x14ac:dyDescent="0.25">
      <c r="A26" s="26" t="s">
        <v>648</v>
      </c>
      <c r="B26" s="29">
        <v>600</v>
      </c>
      <c r="C26" s="29">
        <v>215</v>
      </c>
      <c r="D26" s="29">
        <v>32.4</v>
      </c>
      <c r="E26" s="29">
        <v>485</v>
      </c>
      <c r="F26" s="29">
        <v>21.5</v>
      </c>
      <c r="G26" s="29">
        <v>21.5</v>
      </c>
      <c r="H26" s="29">
        <v>3.32</v>
      </c>
      <c r="I26" s="29">
        <v>22.5</v>
      </c>
      <c r="J26" s="29">
        <v>254</v>
      </c>
      <c r="K26" s="29">
        <v>199</v>
      </c>
      <c r="L26" s="29">
        <v>139000</v>
      </c>
      <c r="M26" s="29">
        <v>4630</v>
      </c>
      <c r="N26" s="29">
        <v>23.4</v>
      </c>
      <c r="O26" s="29">
        <v>2730</v>
      </c>
      <c r="P26" s="29">
        <v>5460</v>
      </c>
      <c r="Q26" s="29">
        <v>4670</v>
      </c>
      <c r="R26" s="29">
        <v>434</v>
      </c>
      <c r="S26" s="29">
        <v>4.3</v>
      </c>
      <c r="T26" s="29">
        <v>368.4</v>
      </c>
      <c r="U26" s="29">
        <v>651.6</v>
      </c>
      <c r="V26" s="29">
        <v>736.7</v>
      </c>
      <c r="W26" s="29">
        <v>667</v>
      </c>
      <c r="X26" s="29">
        <v>3821000</v>
      </c>
      <c r="Y26" s="29">
        <v>24544</v>
      </c>
      <c r="Z26" s="29">
        <v>2.64</v>
      </c>
      <c r="AA26" s="40" t="s">
        <v>122</v>
      </c>
      <c r="AB26" s="40" t="s">
        <v>122</v>
      </c>
      <c r="AC26" s="104">
        <f t="shared" si="0"/>
        <v>56.760000000000005</v>
      </c>
    </row>
    <row r="27" spans="1:29" x14ac:dyDescent="0.25">
      <c r="A27" s="26" t="s">
        <v>649</v>
      </c>
      <c r="B27" s="29">
        <v>100</v>
      </c>
      <c r="C27" s="29">
        <v>100</v>
      </c>
      <c r="D27" s="29">
        <v>10</v>
      </c>
      <c r="E27" s="29">
        <v>56</v>
      </c>
      <c r="F27" s="29">
        <v>6</v>
      </c>
      <c r="G27" s="30">
        <v>6</v>
      </c>
      <c r="H27" s="29">
        <v>5</v>
      </c>
      <c r="I27" s="29">
        <v>9.3000000000000007</v>
      </c>
      <c r="J27" s="29">
        <v>26</v>
      </c>
      <c r="K27" s="29">
        <v>20.399999999999999</v>
      </c>
      <c r="L27" s="29">
        <v>450</v>
      </c>
      <c r="M27" s="29">
        <v>89.9</v>
      </c>
      <c r="N27" s="29">
        <v>4.16</v>
      </c>
      <c r="O27" s="29">
        <v>52.1</v>
      </c>
      <c r="P27" s="29">
        <v>104</v>
      </c>
      <c r="Q27" s="29">
        <v>167</v>
      </c>
      <c r="R27" s="29">
        <v>33.5</v>
      </c>
      <c r="S27" s="29">
        <v>2.5299999999999998</v>
      </c>
      <c r="T27" s="29">
        <v>25.4</v>
      </c>
      <c r="U27" s="29">
        <v>50.3</v>
      </c>
      <c r="V27" s="29">
        <v>50.7</v>
      </c>
      <c r="W27" s="29">
        <v>7.24</v>
      </c>
      <c r="X27" s="29">
        <v>3375</v>
      </c>
      <c r="Y27" s="29">
        <v>42134</v>
      </c>
      <c r="Z27" s="29">
        <v>0.21</v>
      </c>
      <c r="AA27" s="40" t="s">
        <v>122</v>
      </c>
      <c r="AB27" s="40" t="s">
        <v>122</v>
      </c>
      <c r="AC27" s="104">
        <f t="shared" si="0"/>
        <v>9</v>
      </c>
    </row>
    <row r="28" spans="1:29" x14ac:dyDescent="0.25">
      <c r="A28" s="26" t="s">
        <v>650</v>
      </c>
      <c r="B28" s="29">
        <v>120</v>
      </c>
      <c r="C28" s="29">
        <v>120</v>
      </c>
      <c r="D28" s="29">
        <v>11</v>
      </c>
      <c r="E28" s="29">
        <v>74</v>
      </c>
      <c r="F28" s="29">
        <v>6.5</v>
      </c>
      <c r="G28" s="30">
        <v>6.5</v>
      </c>
      <c r="H28" s="29">
        <v>5.45</v>
      </c>
      <c r="I28" s="29">
        <v>11.4</v>
      </c>
      <c r="J28" s="29">
        <v>34</v>
      </c>
      <c r="K28" s="29">
        <v>26.7</v>
      </c>
      <c r="L28" s="29">
        <v>864</v>
      </c>
      <c r="M28" s="29">
        <v>144</v>
      </c>
      <c r="N28" s="29">
        <v>5.04</v>
      </c>
      <c r="O28" s="29">
        <v>82.6</v>
      </c>
      <c r="P28" s="29">
        <v>165</v>
      </c>
      <c r="Q28" s="29">
        <v>318</v>
      </c>
      <c r="R28" s="29">
        <v>52.9</v>
      </c>
      <c r="S28" s="29">
        <v>3.06</v>
      </c>
      <c r="T28" s="29">
        <v>40.1</v>
      </c>
      <c r="U28" s="29">
        <v>79.400000000000006</v>
      </c>
      <c r="V28" s="29">
        <v>80.2</v>
      </c>
      <c r="W28" s="29">
        <v>11.5</v>
      </c>
      <c r="X28" s="29">
        <v>9410</v>
      </c>
      <c r="Y28" s="29">
        <v>37978</v>
      </c>
      <c r="Z28" s="29">
        <v>0.31</v>
      </c>
      <c r="AA28" s="40" t="s">
        <v>122</v>
      </c>
      <c r="AB28" s="40" t="s">
        <v>122</v>
      </c>
      <c r="AC28" s="104">
        <f t="shared" si="0"/>
        <v>10.9</v>
      </c>
    </row>
    <row r="29" spans="1:29" x14ac:dyDescent="0.25">
      <c r="A29" s="26" t="s">
        <v>651</v>
      </c>
      <c r="B29" s="29">
        <v>140</v>
      </c>
      <c r="C29" s="29">
        <v>140</v>
      </c>
      <c r="D29" s="29">
        <v>12</v>
      </c>
      <c r="E29" s="29">
        <v>92</v>
      </c>
      <c r="F29" s="29">
        <v>7</v>
      </c>
      <c r="G29" s="30">
        <v>7</v>
      </c>
      <c r="H29" s="29">
        <v>5.83</v>
      </c>
      <c r="I29" s="29">
        <v>13.1</v>
      </c>
      <c r="J29" s="29">
        <v>43</v>
      </c>
      <c r="K29" s="29">
        <v>33.700000000000003</v>
      </c>
      <c r="L29" s="29">
        <v>1510</v>
      </c>
      <c r="M29" s="29">
        <v>216</v>
      </c>
      <c r="N29" s="29">
        <v>5.93</v>
      </c>
      <c r="O29" s="29">
        <v>123</v>
      </c>
      <c r="P29" s="29">
        <v>246</v>
      </c>
      <c r="Q29" s="29">
        <v>550</v>
      </c>
      <c r="R29" s="29">
        <v>78.5</v>
      </c>
      <c r="S29" s="29">
        <v>3.58</v>
      </c>
      <c r="T29" s="29">
        <v>59.5</v>
      </c>
      <c r="U29" s="29">
        <v>118</v>
      </c>
      <c r="V29" s="29">
        <v>119</v>
      </c>
      <c r="W29" s="29">
        <v>17.5</v>
      </c>
      <c r="X29" s="29">
        <v>22480</v>
      </c>
      <c r="Y29" s="29">
        <v>35010</v>
      </c>
      <c r="Z29" s="29">
        <v>0.42</v>
      </c>
      <c r="AA29" s="40" t="s">
        <v>122</v>
      </c>
      <c r="AB29" s="40" t="s">
        <v>122</v>
      </c>
      <c r="AC29" s="104">
        <f t="shared" si="0"/>
        <v>12.8</v>
      </c>
    </row>
    <row r="30" spans="1:29" x14ac:dyDescent="0.25">
      <c r="A30" s="26" t="s">
        <v>652</v>
      </c>
      <c r="B30" s="29">
        <v>160</v>
      </c>
      <c r="C30" s="29">
        <v>160</v>
      </c>
      <c r="D30" s="29">
        <v>13</v>
      </c>
      <c r="E30" s="29">
        <v>104</v>
      </c>
      <c r="F30" s="29">
        <v>8</v>
      </c>
      <c r="G30" s="30">
        <v>8</v>
      </c>
      <c r="H30" s="29">
        <v>6.15</v>
      </c>
      <c r="I30" s="29">
        <v>13</v>
      </c>
      <c r="J30" s="29">
        <v>54.3</v>
      </c>
      <c r="K30" s="29">
        <v>42.6</v>
      </c>
      <c r="L30" s="29">
        <v>2490</v>
      </c>
      <c r="M30" s="29">
        <v>311</v>
      </c>
      <c r="N30" s="29">
        <v>6.77</v>
      </c>
      <c r="O30" s="29">
        <v>177</v>
      </c>
      <c r="P30" s="29">
        <v>354</v>
      </c>
      <c r="Q30" s="29">
        <v>889</v>
      </c>
      <c r="R30" s="29">
        <v>111</v>
      </c>
      <c r="S30" s="29">
        <v>4.05</v>
      </c>
      <c r="T30" s="29">
        <v>84.3</v>
      </c>
      <c r="U30" s="29">
        <v>167</v>
      </c>
      <c r="V30" s="29">
        <v>169</v>
      </c>
      <c r="W30" s="29">
        <v>25.7</v>
      </c>
      <c r="X30" s="29">
        <v>47940</v>
      </c>
      <c r="Y30" s="29">
        <v>33170</v>
      </c>
      <c r="Z30" s="29">
        <v>0.53</v>
      </c>
      <c r="AA30" s="40" t="s">
        <v>122</v>
      </c>
      <c r="AB30" s="40" t="s">
        <v>122</v>
      </c>
      <c r="AC30" s="104">
        <f t="shared" si="0"/>
        <v>14.7</v>
      </c>
    </row>
    <row r="31" spans="1:29" x14ac:dyDescent="0.25">
      <c r="A31" s="26" t="s">
        <v>653</v>
      </c>
      <c r="B31" s="29">
        <v>180</v>
      </c>
      <c r="C31" s="29">
        <v>180</v>
      </c>
      <c r="D31" s="29">
        <v>14</v>
      </c>
      <c r="E31" s="29">
        <v>122</v>
      </c>
      <c r="F31" s="29">
        <v>8.5</v>
      </c>
      <c r="G31" s="30">
        <v>8.5</v>
      </c>
      <c r="H31" s="29">
        <v>6.43</v>
      </c>
      <c r="I31" s="29">
        <v>14.4</v>
      </c>
      <c r="J31" s="29">
        <v>65.3</v>
      </c>
      <c r="K31" s="29">
        <v>51.2</v>
      </c>
      <c r="L31" s="29">
        <v>3830</v>
      </c>
      <c r="M31" s="29">
        <v>426</v>
      </c>
      <c r="N31" s="29">
        <v>7.66</v>
      </c>
      <c r="O31" s="29">
        <v>241</v>
      </c>
      <c r="P31" s="29">
        <v>482</v>
      </c>
      <c r="Q31" s="29">
        <v>1360</v>
      </c>
      <c r="R31" s="29">
        <v>151</v>
      </c>
      <c r="S31" s="29">
        <v>4.5599999999999996</v>
      </c>
      <c r="T31" s="29">
        <v>115</v>
      </c>
      <c r="U31" s="29">
        <v>227</v>
      </c>
      <c r="V31" s="29">
        <v>230</v>
      </c>
      <c r="W31" s="29">
        <v>36</v>
      </c>
      <c r="X31" s="29">
        <v>93750</v>
      </c>
      <c r="Y31" s="29">
        <v>31434</v>
      </c>
      <c r="Z31" s="29">
        <v>0.65</v>
      </c>
      <c r="AA31" s="40" t="s">
        <v>122</v>
      </c>
      <c r="AB31" s="40" t="s">
        <v>122</v>
      </c>
      <c r="AC31" s="104">
        <f t="shared" si="0"/>
        <v>16.600000000000001</v>
      </c>
    </row>
    <row r="32" spans="1:29" x14ac:dyDescent="0.25">
      <c r="A32" s="26" t="s">
        <v>654</v>
      </c>
      <c r="B32" s="29">
        <v>200</v>
      </c>
      <c r="C32" s="29">
        <v>200</v>
      </c>
      <c r="D32" s="29">
        <v>15</v>
      </c>
      <c r="E32" s="29">
        <v>134</v>
      </c>
      <c r="F32" s="29">
        <v>9</v>
      </c>
      <c r="G32" s="30">
        <v>9</v>
      </c>
      <c r="H32" s="29">
        <v>6.67</v>
      </c>
      <c r="I32" s="29">
        <v>14.9</v>
      </c>
      <c r="J32" s="29">
        <v>78.099999999999994</v>
      </c>
      <c r="K32" s="29">
        <v>61.3</v>
      </c>
      <c r="L32" s="29">
        <v>5700</v>
      </c>
      <c r="M32" s="29">
        <v>570</v>
      </c>
      <c r="N32" s="29">
        <v>8.5399999999999991</v>
      </c>
      <c r="O32" s="29">
        <v>321</v>
      </c>
      <c r="P32" s="29">
        <v>642</v>
      </c>
      <c r="Q32" s="29">
        <v>2000</v>
      </c>
      <c r="R32" s="29">
        <v>200</v>
      </c>
      <c r="S32" s="29">
        <v>5.0599999999999996</v>
      </c>
      <c r="T32" s="29">
        <v>152</v>
      </c>
      <c r="U32" s="29">
        <v>300</v>
      </c>
      <c r="V32" s="29">
        <v>303</v>
      </c>
      <c r="W32" s="29">
        <v>49.1</v>
      </c>
      <c r="X32" s="29">
        <v>171490</v>
      </c>
      <c r="Y32" s="29">
        <v>29998</v>
      </c>
      <c r="Z32" s="29">
        <v>0.77</v>
      </c>
      <c r="AA32" s="40" t="s">
        <v>122</v>
      </c>
      <c r="AB32" s="40" t="s">
        <v>122</v>
      </c>
      <c r="AC32" s="104">
        <f t="shared" si="0"/>
        <v>18.5</v>
      </c>
    </row>
    <row r="33" spans="1:29" x14ac:dyDescent="0.25">
      <c r="A33" s="26" t="s">
        <v>655</v>
      </c>
      <c r="B33" s="29">
        <v>220</v>
      </c>
      <c r="C33" s="29">
        <v>220</v>
      </c>
      <c r="D33" s="29">
        <v>16</v>
      </c>
      <c r="E33" s="29">
        <v>152</v>
      </c>
      <c r="F33" s="29">
        <v>9.5</v>
      </c>
      <c r="G33" s="30">
        <v>9.5</v>
      </c>
      <c r="H33" s="29">
        <v>6.88</v>
      </c>
      <c r="I33" s="29">
        <v>16</v>
      </c>
      <c r="J33" s="29">
        <v>91</v>
      </c>
      <c r="K33" s="29">
        <v>71.5</v>
      </c>
      <c r="L33" s="29">
        <v>8090</v>
      </c>
      <c r="M33" s="29">
        <v>736</v>
      </c>
      <c r="N33" s="29">
        <v>9.43</v>
      </c>
      <c r="O33" s="29">
        <v>414</v>
      </c>
      <c r="P33" s="29">
        <v>828</v>
      </c>
      <c r="Q33" s="29">
        <v>2840</v>
      </c>
      <c r="R33" s="29">
        <v>258</v>
      </c>
      <c r="S33" s="29">
        <v>5.59</v>
      </c>
      <c r="T33" s="29">
        <v>196</v>
      </c>
      <c r="U33" s="29">
        <v>387</v>
      </c>
      <c r="V33" s="29">
        <v>391</v>
      </c>
      <c r="W33" s="29">
        <v>65.400000000000006</v>
      </c>
      <c r="X33" s="29">
        <v>295400</v>
      </c>
      <c r="Y33" s="29">
        <v>28943</v>
      </c>
      <c r="Z33" s="29">
        <v>0.88</v>
      </c>
      <c r="AA33" s="40" t="s">
        <v>122</v>
      </c>
      <c r="AB33" s="40" t="s">
        <v>122</v>
      </c>
      <c r="AC33" s="104">
        <f t="shared" si="0"/>
        <v>20.399999999999999</v>
      </c>
    </row>
    <row r="34" spans="1:29" x14ac:dyDescent="0.25">
      <c r="A34" s="26" t="s">
        <v>656</v>
      </c>
      <c r="B34" s="29">
        <v>240</v>
      </c>
      <c r="C34" s="29">
        <v>240</v>
      </c>
      <c r="D34" s="29">
        <v>17</v>
      </c>
      <c r="E34" s="29">
        <v>164</v>
      </c>
      <c r="F34" s="29">
        <v>10</v>
      </c>
      <c r="G34" s="30">
        <v>10</v>
      </c>
      <c r="H34" s="29">
        <v>7.06</v>
      </c>
      <c r="I34" s="29">
        <v>16.399999999999999</v>
      </c>
      <c r="J34" s="29">
        <v>106</v>
      </c>
      <c r="K34" s="29">
        <v>83.2</v>
      </c>
      <c r="L34" s="29">
        <v>11260</v>
      </c>
      <c r="M34" s="29">
        <v>938</v>
      </c>
      <c r="N34" s="29">
        <v>10.3</v>
      </c>
      <c r="O34" s="29">
        <v>427</v>
      </c>
      <c r="P34" s="29">
        <v>854</v>
      </c>
      <c r="Q34" s="29">
        <v>3920</v>
      </c>
      <c r="R34" s="29">
        <v>327</v>
      </c>
      <c r="S34" s="29">
        <v>6.08</v>
      </c>
      <c r="T34" s="29">
        <v>247</v>
      </c>
      <c r="U34" s="29">
        <v>491</v>
      </c>
      <c r="V34" s="29">
        <v>495</v>
      </c>
      <c r="W34" s="29">
        <v>85.5</v>
      </c>
      <c r="X34" s="29">
        <v>486900</v>
      </c>
      <c r="Y34" s="29">
        <v>28011</v>
      </c>
      <c r="Z34" s="29">
        <v>1</v>
      </c>
      <c r="AA34" s="40" t="s">
        <v>122</v>
      </c>
      <c r="AB34" s="40" t="s">
        <v>122</v>
      </c>
      <c r="AC34" s="104">
        <f t="shared" si="0"/>
        <v>22.3</v>
      </c>
    </row>
    <row r="35" spans="1:29" x14ac:dyDescent="0.25">
      <c r="A35" s="26" t="s">
        <v>657</v>
      </c>
      <c r="B35" s="29">
        <v>260</v>
      </c>
      <c r="C35" s="29">
        <v>260</v>
      </c>
      <c r="D35" s="29">
        <v>17.5</v>
      </c>
      <c r="E35" s="29">
        <v>177</v>
      </c>
      <c r="F35" s="29">
        <v>10</v>
      </c>
      <c r="G35" s="30">
        <v>10</v>
      </c>
      <c r="H35" s="29">
        <v>7.43</v>
      </c>
      <c r="I35" s="29">
        <v>17.7</v>
      </c>
      <c r="J35" s="29">
        <v>118</v>
      </c>
      <c r="K35" s="29">
        <v>93</v>
      </c>
      <c r="L35" s="29">
        <v>14920</v>
      </c>
      <c r="M35" s="29">
        <v>1150</v>
      </c>
      <c r="N35" s="29">
        <v>11.2</v>
      </c>
      <c r="O35" s="29">
        <v>641</v>
      </c>
      <c r="P35" s="29">
        <v>1282</v>
      </c>
      <c r="Q35" s="29">
        <v>5130</v>
      </c>
      <c r="R35" s="29">
        <v>395</v>
      </c>
      <c r="S35" s="29">
        <v>6.59</v>
      </c>
      <c r="T35" s="29">
        <v>299</v>
      </c>
      <c r="U35" s="29">
        <v>593</v>
      </c>
      <c r="V35" s="29">
        <v>597</v>
      </c>
      <c r="W35" s="29">
        <v>100</v>
      </c>
      <c r="X35" s="29">
        <v>753700</v>
      </c>
      <c r="Y35" s="29">
        <v>26125</v>
      </c>
      <c r="Z35" s="29">
        <v>1.29</v>
      </c>
      <c r="AA35" s="40" t="s">
        <v>122</v>
      </c>
      <c r="AB35" s="40" t="s">
        <v>122</v>
      </c>
      <c r="AC35" s="104">
        <f t="shared" si="0"/>
        <v>24.25</v>
      </c>
    </row>
    <row r="36" spans="1:29" x14ac:dyDescent="0.25">
      <c r="A36" s="26" t="s">
        <v>658</v>
      </c>
      <c r="B36" s="29">
        <v>280</v>
      </c>
      <c r="C36" s="29">
        <v>280</v>
      </c>
      <c r="D36" s="29">
        <v>18</v>
      </c>
      <c r="E36" s="29">
        <v>196</v>
      </c>
      <c r="F36" s="29">
        <v>10.5</v>
      </c>
      <c r="G36" s="30">
        <v>10.5</v>
      </c>
      <c r="H36" s="29">
        <v>7.78</v>
      </c>
      <c r="I36" s="29">
        <v>18.7</v>
      </c>
      <c r="J36" s="29">
        <v>131</v>
      </c>
      <c r="K36" s="29">
        <v>103</v>
      </c>
      <c r="L36" s="29">
        <v>19270</v>
      </c>
      <c r="M36" s="29">
        <v>1380</v>
      </c>
      <c r="N36" s="29">
        <v>12.1</v>
      </c>
      <c r="O36" s="29">
        <v>767</v>
      </c>
      <c r="P36" s="29">
        <v>1534</v>
      </c>
      <c r="Q36" s="29">
        <v>6590</v>
      </c>
      <c r="R36" s="29">
        <v>471</v>
      </c>
      <c r="S36" s="29">
        <v>7.09</v>
      </c>
      <c r="T36" s="29">
        <v>356</v>
      </c>
      <c r="U36" s="29">
        <v>707</v>
      </c>
      <c r="V36" s="29">
        <v>712</v>
      </c>
      <c r="W36" s="29">
        <v>118</v>
      </c>
      <c r="X36" s="29">
        <v>1430000</v>
      </c>
      <c r="Y36" s="29">
        <v>24898</v>
      </c>
      <c r="Z36" s="29">
        <v>1.98</v>
      </c>
      <c r="AA36" s="40" t="s">
        <v>122</v>
      </c>
      <c r="AB36" s="40" t="s">
        <v>122</v>
      </c>
      <c r="AC36" s="104">
        <f t="shared" si="0"/>
        <v>26.2</v>
      </c>
    </row>
    <row r="37" spans="1:29" x14ac:dyDescent="0.25">
      <c r="A37" s="26" t="s">
        <v>659</v>
      </c>
      <c r="B37" s="29">
        <v>300</v>
      </c>
      <c r="C37" s="29">
        <v>300</v>
      </c>
      <c r="D37" s="29">
        <v>19</v>
      </c>
      <c r="E37" s="29">
        <v>208</v>
      </c>
      <c r="F37" s="29">
        <v>11</v>
      </c>
      <c r="G37" s="30">
        <v>11</v>
      </c>
      <c r="H37" s="29">
        <v>7.89</v>
      </c>
      <c r="I37" s="29">
        <v>18.899999999999999</v>
      </c>
      <c r="J37" s="29">
        <v>149</v>
      </c>
      <c r="K37" s="29">
        <v>117</v>
      </c>
      <c r="L37" s="29">
        <v>25170</v>
      </c>
      <c r="M37" s="29">
        <v>1680</v>
      </c>
      <c r="N37" s="29">
        <v>13</v>
      </c>
      <c r="O37" s="29">
        <v>934</v>
      </c>
      <c r="P37" s="29">
        <v>1868</v>
      </c>
      <c r="Q37" s="29">
        <v>8560</v>
      </c>
      <c r="R37" s="29">
        <v>571</v>
      </c>
      <c r="S37" s="29">
        <v>7.58</v>
      </c>
      <c r="T37" s="29">
        <v>431</v>
      </c>
      <c r="U37" s="29">
        <v>857</v>
      </c>
      <c r="V37" s="29">
        <v>863</v>
      </c>
      <c r="W37" s="29">
        <v>149</v>
      </c>
      <c r="X37" s="29">
        <v>1688000</v>
      </c>
      <c r="Y37" s="29">
        <v>24465</v>
      </c>
      <c r="Z37" s="29">
        <v>1.69</v>
      </c>
      <c r="AA37" s="40" t="s">
        <v>122</v>
      </c>
      <c r="AB37" s="40" t="s">
        <v>122</v>
      </c>
      <c r="AC37" s="104">
        <f t="shared" si="0"/>
        <v>28.1</v>
      </c>
    </row>
    <row r="38" spans="1:29" x14ac:dyDescent="0.25">
      <c r="A38" s="26" t="s">
        <v>660</v>
      </c>
      <c r="B38" s="29">
        <v>320</v>
      </c>
      <c r="C38" s="29">
        <v>300</v>
      </c>
      <c r="D38" s="29">
        <v>20.5</v>
      </c>
      <c r="E38" s="29">
        <v>225</v>
      </c>
      <c r="F38" s="29">
        <v>11.5</v>
      </c>
      <c r="G38" s="30">
        <v>11.5</v>
      </c>
      <c r="H38" s="29">
        <v>7.32</v>
      </c>
      <c r="I38" s="29">
        <v>19.600000000000001</v>
      </c>
      <c r="J38" s="29">
        <v>161</v>
      </c>
      <c r="K38" s="29">
        <v>127</v>
      </c>
      <c r="L38" s="29">
        <v>30820</v>
      </c>
      <c r="M38" s="29">
        <v>1930</v>
      </c>
      <c r="N38" s="29">
        <v>13.8</v>
      </c>
      <c r="O38" s="29">
        <v>1070</v>
      </c>
      <c r="P38" s="29">
        <v>2140</v>
      </c>
      <c r="Q38" s="29">
        <v>9240</v>
      </c>
      <c r="R38" s="29">
        <v>616</v>
      </c>
      <c r="S38" s="29">
        <v>7.58</v>
      </c>
      <c r="T38" s="29">
        <v>466</v>
      </c>
      <c r="U38" s="29">
        <v>924</v>
      </c>
      <c r="V38" s="29">
        <v>932</v>
      </c>
      <c r="W38" s="29">
        <v>186</v>
      </c>
      <c r="X38" s="29">
        <v>2069000</v>
      </c>
      <c r="Y38" s="29">
        <v>24779</v>
      </c>
      <c r="Z38" s="29">
        <v>1.61</v>
      </c>
      <c r="AA38" s="40" t="s">
        <v>122</v>
      </c>
      <c r="AB38" s="40" t="s">
        <v>122</v>
      </c>
      <c r="AC38" s="104">
        <f t="shared" si="0"/>
        <v>29.95</v>
      </c>
    </row>
    <row r="39" spans="1:29" x14ac:dyDescent="0.25">
      <c r="A39" s="26" t="s">
        <v>661</v>
      </c>
      <c r="B39" s="29">
        <v>340</v>
      </c>
      <c r="C39" s="29">
        <v>300</v>
      </c>
      <c r="D39" s="29">
        <v>21.5</v>
      </c>
      <c r="E39" s="29">
        <v>243</v>
      </c>
      <c r="F39" s="29">
        <v>12</v>
      </c>
      <c r="G39" s="30">
        <v>12</v>
      </c>
      <c r="H39" s="29">
        <v>6.98</v>
      </c>
      <c r="I39" s="29">
        <v>20.3</v>
      </c>
      <c r="J39" s="29">
        <v>171</v>
      </c>
      <c r="K39" s="29">
        <v>134</v>
      </c>
      <c r="L39" s="29">
        <v>36660</v>
      </c>
      <c r="M39" s="29">
        <v>2160</v>
      </c>
      <c r="N39" s="29">
        <v>14.6</v>
      </c>
      <c r="O39" s="29">
        <v>1200</v>
      </c>
      <c r="P39" s="29">
        <v>2400</v>
      </c>
      <c r="Q39" s="29">
        <v>9690</v>
      </c>
      <c r="R39" s="29">
        <v>646</v>
      </c>
      <c r="S39" s="29">
        <v>7.53</v>
      </c>
      <c r="T39" s="29">
        <v>489</v>
      </c>
      <c r="U39" s="29">
        <v>969</v>
      </c>
      <c r="V39" s="29">
        <v>978</v>
      </c>
      <c r="W39" s="29">
        <v>216</v>
      </c>
      <c r="X39" s="29">
        <v>2454000</v>
      </c>
      <c r="Y39" s="29">
        <v>24553</v>
      </c>
      <c r="Z39" s="29">
        <v>1.7</v>
      </c>
      <c r="AA39" s="40" t="s">
        <v>122</v>
      </c>
      <c r="AB39" s="40" t="s">
        <v>122</v>
      </c>
      <c r="AC39" s="104">
        <f t="shared" si="0"/>
        <v>31.85</v>
      </c>
    </row>
    <row r="40" spans="1:29" x14ac:dyDescent="0.25">
      <c r="A40" s="26" t="s">
        <v>662</v>
      </c>
      <c r="B40" s="29">
        <v>360</v>
      </c>
      <c r="C40" s="29">
        <v>300</v>
      </c>
      <c r="D40" s="29">
        <v>22.5</v>
      </c>
      <c r="E40" s="29">
        <v>261</v>
      </c>
      <c r="F40" s="29">
        <v>12.5</v>
      </c>
      <c r="G40" s="30">
        <v>12.5</v>
      </c>
      <c r="H40" s="29">
        <v>6.67</v>
      </c>
      <c r="I40" s="29">
        <v>20.9</v>
      </c>
      <c r="J40" s="29">
        <v>181</v>
      </c>
      <c r="K40" s="29">
        <v>142</v>
      </c>
      <c r="L40" s="29">
        <v>43190</v>
      </c>
      <c r="M40" s="29">
        <v>2400</v>
      </c>
      <c r="N40" s="29">
        <v>15.4</v>
      </c>
      <c r="O40" s="29">
        <v>1340</v>
      </c>
      <c r="P40" s="29">
        <v>2680</v>
      </c>
      <c r="Q40" s="29">
        <v>10140</v>
      </c>
      <c r="R40" s="29">
        <v>676</v>
      </c>
      <c r="S40" s="29">
        <v>7.48</v>
      </c>
      <c r="T40" s="29">
        <v>512</v>
      </c>
      <c r="U40" s="29">
        <v>1014</v>
      </c>
      <c r="V40" s="29">
        <v>1025</v>
      </c>
      <c r="W40" s="29">
        <v>248</v>
      </c>
      <c r="X40" s="29">
        <v>2883000</v>
      </c>
      <c r="Y40" s="29">
        <v>24383</v>
      </c>
      <c r="Z40" s="29">
        <v>1.78</v>
      </c>
      <c r="AA40" s="40" t="s">
        <v>122</v>
      </c>
      <c r="AB40" s="40" t="s">
        <v>122</v>
      </c>
      <c r="AC40" s="104">
        <f t="shared" si="0"/>
        <v>33.75</v>
      </c>
    </row>
    <row r="41" spans="1:29" x14ac:dyDescent="0.25">
      <c r="A41" s="26" t="s">
        <v>663</v>
      </c>
      <c r="B41" s="29">
        <v>400</v>
      </c>
      <c r="C41" s="29">
        <v>300</v>
      </c>
      <c r="D41" s="29">
        <v>24</v>
      </c>
      <c r="E41" s="29">
        <v>298</v>
      </c>
      <c r="F41" s="29">
        <v>13.5</v>
      </c>
      <c r="G41" s="30">
        <v>13.5</v>
      </c>
      <c r="H41" s="29">
        <v>6.25</v>
      </c>
      <c r="I41" s="29">
        <v>22.1</v>
      </c>
      <c r="J41" s="29">
        <v>198</v>
      </c>
      <c r="K41" s="29">
        <v>155</v>
      </c>
      <c r="L41" s="29">
        <v>57680</v>
      </c>
      <c r="M41" s="29">
        <v>2880</v>
      </c>
      <c r="N41" s="29">
        <v>17.100000000000001</v>
      </c>
      <c r="O41" s="29">
        <v>1620</v>
      </c>
      <c r="P41" s="29">
        <v>3240</v>
      </c>
      <c r="Q41" s="29">
        <v>10820</v>
      </c>
      <c r="R41" s="29">
        <v>721</v>
      </c>
      <c r="S41" s="29">
        <v>7.39</v>
      </c>
      <c r="T41" s="29">
        <v>548</v>
      </c>
      <c r="U41" s="29">
        <v>1082</v>
      </c>
      <c r="V41" s="29">
        <v>1096</v>
      </c>
      <c r="W41" s="29">
        <v>305</v>
      </c>
      <c r="X41" s="29">
        <v>3817000</v>
      </c>
      <c r="Y41" s="29">
        <v>23567</v>
      </c>
      <c r="Z41" s="29">
        <v>2.11</v>
      </c>
      <c r="AA41" s="40" t="s">
        <v>122</v>
      </c>
      <c r="AB41" s="40" t="s">
        <v>122</v>
      </c>
      <c r="AC41" s="104">
        <f t="shared" si="0"/>
        <v>37.6</v>
      </c>
    </row>
    <row r="42" spans="1:29" x14ac:dyDescent="0.25">
      <c r="A42" s="26" t="s">
        <v>664</v>
      </c>
      <c r="B42" s="29">
        <v>450</v>
      </c>
      <c r="C42" s="29">
        <v>300</v>
      </c>
      <c r="D42" s="29">
        <v>26</v>
      </c>
      <c r="E42" s="29">
        <v>344</v>
      </c>
      <c r="F42" s="29">
        <v>14</v>
      </c>
      <c r="G42" s="30">
        <v>14</v>
      </c>
      <c r="H42" s="29">
        <v>5.77</v>
      </c>
      <c r="I42" s="29">
        <v>24.6</v>
      </c>
      <c r="J42" s="29">
        <v>218</v>
      </c>
      <c r="K42" s="29">
        <v>171</v>
      </c>
      <c r="L42" s="29">
        <v>79890</v>
      </c>
      <c r="M42" s="29">
        <v>3550</v>
      </c>
      <c r="N42" s="29">
        <v>19.100000000000001</v>
      </c>
      <c r="O42" s="29">
        <v>1990</v>
      </c>
      <c r="P42" s="29">
        <v>3980</v>
      </c>
      <c r="Q42" s="29">
        <v>11720</v>
      </c>
      <c r="R42" s="29">
        <v>781</v>
      </c>
      <c r="S42" s="29">
        <v>7.33</v>
      </c>
      <c r="T42" s="29">
        <v>595</v>
      </c>
      <c r="U42" s="29">
        <v>1172</v>
      </c>
      <c r="V42" s="29">
        <v>1190</v>
      </c>
      <c r="W42" s="29">
        <v>388</v>
      </c>
      <c r="X42" s="29">
        <v>5258000</v>
      </c>
      <c r="Y42" s="29">
        <v>22612</v>
      </c>
      <c r="Z42" s="29">
        <v>2.52</v>
      </c>
      <c r="AA42" s="40" t="s">
        <v>122</v>
      </c>
      <c r="AB42" s="40" t="s">
        <v>122</v>
      </c>
      <c r="AC42" s="104">
        <f t="shared" si="0"/>
        <v>42.4</v>
      </c>
    </row>
    <row r="43" spans="1:29" x14ac:dyDescent="0.25">
      <c r="A43" s="26" t="s">
        <v>665</v>
      </c>
      <c r="B43" s="29">
        <v>500</v>
      </c>
      <c r="C43" s="29">
        <v>300</v>
      </c>
      <c r="D43" s="29">
        <v>28</v>
      </c>
      <c r="E43" s="29">
        <v>390</v>
      </c>
      <c r="F43" s="29">
        <v>14.5</v>
      </c>
      <c r="G43" s="30">
        <v>14.5</v>
      </c>
      <c r="H43" s="29">
        <v>5.36</v>
      </c>
      <c r="I43" s="29">
        <v>26.9</v>
      </c>
      <c r="J43" s="29">
        <v>239</v>
      </c>
      <c r="K43" s="29">
        <v>187</v>
      </c>
      <c r="L43" s="29">
        <v>107200</v>
      </c>
      <c r="M43" s="29">
        <v>4290</v>
      </c>
      <c r="N43" s="29">
        <v>21.2</v>
      </c>
      <c r="O43" s="29">
        <v>2410</v>
      </c>
      <c r="P43" s="29">
        <v>4820</v>
      </c>
      <c r="Q43" s="29">
        <v>12620</v>
      </c>
      <c r="R43" s="29">
        <v>842</v>
      </c>
      <c r="S43" s="29">
        <v>7.27</v>
      </c>
      <c r="T43" s="29">
        <v>642</v>
      </c>
      <c r="U43" s="29">
        <v>1263</v>
      </c>
      <c r="V43" s="29">
        <v>1283</v>
      </c>
      <c r="W43" s="29">
        <v>484</v>
      </c>
      <c r="X43" s="29">
        <v>7018000</v>
      </c>
      <c r="Y43" s="29">
        <v>21887</v>
      </c>
      <c r="Z43" s="29">
        <v>2.93</v>
      </c>
      <c r="AA43" s="40" t="s">
        <v>122</v>
      </c>
      <c r="AB43" s="40" t="s">
        <v>122</v>
      </c>
      <c r="AC43" s="104">
        <f t="shared" si="0"/>
        <v>47.2</v>
      </c>
    </row>
    <row r="44" spans="1:29" x14ac:dyDescent="0.25">
      <c r="A44" s="26" t="s">
        <v>666</v>
      </c>
      <c r="B44" s="29">
        <v>550</v>
      </c>
      <c r="C44" s="29">
        <v>300</v>
      </c>
      <c r="D44" s="29">
        <v>29</v>
      </c>
      <c r="E44" s="29">
        <v>438</v>
      </c>
      <c r="F44" s="29">
        <v>15</v>
      </c>
      <c r="G44" s="30">
        <v>15</v>
      </c>
      <c r="H44" s="29">
        <v>5.17</v>
      </c>
      <c r="I44" s="29">
        <v>29.2</v>
      </c>
      <c r="J44" s="29">
        <v>254</v>
      </c>
      <c r="K44" s="29">
        <v>199</v>
      </c>
      <c r="L44" s="29">
        <v>136700</v>
      </c>
      <c r="M44" s="29">
        <v>4970</v>
      </c>
      <c r="N44" s="29">
        <v>23.2</v>
      </c>
      <c r="O44" s="29">
        <v>2800</v>
      </c>
      <c r="P44" s="29">
        <v>5600</v>
      </c>
      <c r="Q44" s="29">
        <v>13080</v>
      </c>
      <c r="R44" s="29">
        <v>872</v>
      </c>
      <c r="S44" s="29">
        <v>7.18</v>
      </c>
      <c r="T44" s="29">
        <v>666</v>
      </c>
      <c r="U44" s="29">
        <v>1308</v>
      </c>
      <c r="V44" s="29">
        <v>1333</v>
      </c>
      <c r="W44" s="29">
        <v>543</v>
      </c>
      <c r="X44" s="29">
        <v>8856000</v>
      </c>
      <c r="Y44" s="29">
        <v>20629</v>
      </c>
      <c r="Z44" s="29">
        <v>3.81</v>
      </c>
      <c r="AA44" s="40" t="s">
        <v>122</v>
      </c>
      <c r="AB44" s="40" t="s">
        <v>122</v>
      </c>
      <c r="AC44" s="104">
        <f t="shared" si="0"/>
        <v>52.1</v>
      </c>
    </row>
    <row r="45" spans="1:29" x14ac:dyDescent="0.25">
      <c r="A45" s="26" t="s">
        <v>667</v>
      </c>
      <c r="B45" s="29">
        <v>600</v>
      </c>
      <c r="C45" s="29">
        <v>300</v>
      </c>
      <c r="D45" s="29">
        <v>30</v>
      </c>
      <c r="E45" s="29">
        <v>486</v>
      </c>
      <c r="F45" s="29">
        <v>15.5</v>
      </c>
      <c r="G45" s="30">
        <v>15.5</v>
      </c>
      <c r="H45" s="29">
        <v>5</v>
      </c>
      <c r="I45" s="29">
        <v>31.4</v>
      </c>
      <c r="J45" s="29">
        <v>270</v>
      </c>
      <c r="K45" s="29">
        <v>212</v>
      </c>
      <c r="L45" s="29">
        <v>171000</v>
      </c>
      <c r="M45" s="29">
        <v>5700</v>
      </c>
      <c r="N45" s="29">
        <v>25.2</v>
      </c>
      <c r="O45" s="29">
        <v>3210</v>
      </c>
      <c r="P45" s="29">
        <v>6420</v>
      </c>
      <c r="Q45" s="29">
        <v>13530</v>
      </c>
      <c r="R45" s="29">
        <v>902</v>
      </c>
      <c r="S45" s="29">
        <v>7.08</v>
      </c>
      <c r="T45" s="29">
        <v>691</v>
      </c>
      <c r="U45" s="29">
        <v>1353</v>
      </c>
      <c r="V45" s="29">
        <v>1382</v>
      </c>
      <c r="W45" s="29">
        <v>607</v>
      </c>
      <c r="X45" s="29">
        <v>10965000</v>
      </c>
      <c r="Y45" s="29">
        <v>19605</v>
      </c>
      <c r="Z45" s="29">
        <v>4.8</v>
      </c>
      <c r="AA45" s="40" t="s">
        <v>122</v>
      </c>
      <c r="AB45" s="40" t="s">
        <v>122</v>
      </c>
      <c r="AC45" s="104">
        <f t="shared" si="0"/>
        <v>57</v>
      </c>
    </row>
    <row r="46" spans="1:29" x14ac:dyDescent="0.25">
      <c r="A46" s="26" t="s">
        <v>668</v>
      </c>
      <c r="B46" s="29">
        <v>650</v>
      </c>
      <c r="C46" s="29">
        <v>300</v>
      </c>
      <c r="D46" s="29">
        <v>31</v>
      </c>
      <c r="E46" s="29">
        <v>534</v>
      </c>
      <c r="F46" s="29">
        <v>16</v>
      </c>
      <c r="G46" s="30">
        <v>16</v>
      </c>
      <c r="H46" s="29">
        <v>4.84</v>
      </c>
      <c r="I46" s="29">
        <v>33.4</v>
      </c>
      <c r="J46" s="29">
        <v>286</v>
      </c>
      <c r="K46" s="29">
        <v>225</v>
      </c>
      <c r="L46" s="29">
        <v>210600</v>
      </c>
      <c r="M46" s="29">
        <v>6480</v>
      </c>
      <c r="N46" s="29">
        <v>27.1</v>
      </c>
      <c r="O46" s="29">
        <v>3660</v>
      </c>
      <c r="P46" s="29">
        <v>7320</v>
      </c>
      <c r="Q46" s="29">
        <v>13980</v>
      </c>
      <c r="R46" s="29">
        <v>932</v>
      </c>
      <c r="S46" s="29">
        <v>6.99</v>
      </c>
      <c r="T46" s="29">
        <v>716</v>
      </c>
      <c r="U46" s="29">
        <v>1398</v>
      </c>
      <c r="V46" s="29">
        <v>1433</v>
      </c>
      <c r="W46" s="29">
        <v>676</v>
      </c>
      <c r="X46" s="29">
        <v>13363000</v>
      </c>
      <c r="Y46" s="29">
        <v>18731</v>
      </c>
      <c r="Z46" s="29">
        <v>5.89</v>
      </c>
      <c r="AA46" s="40" t="s">
        <v>122</v>
      </c>
      <c r="AB46" s="40" t="s">
        <v>122</v>
      </c>
      <c r="AC46" s="104">
        <f t="shared" si="0"/>
        <v>61.9</v>
      </c>
    </row>
    <row r="47" spans="1:29" x14ac:dyDescent="0.25">
      <c r="A47" s="26" t="s">
        <v>669</v>
      </c>
      <c r="B47" s="29">
        <v>700</v>
      </c>
      <c r="C47" s="29">
        <v>300</v>
      </c>
      <c r="D47" s="29">
        <v>32</v>
      </c>
      <c r="E47" s="29">
        <v>582</v>
      </c>
      <c r="F47" s="29">
        <v>17</v>
      </c>
      <c r="G47" s="30">
        <v>17</v>
      </c>
      <c r="H47" s="29">
        <v>4.6900000000000004</v>
      </c>
      <c r="I47" s="29">
        <v>34.200000000000003</v>
      </c>
      <c r="J47" s="29">
        <v>306</v>
      </c>
      <c r="K47" s="29">
        <v>241</v>
      </c>
      <c r="L47" s="29">
        <v>256900</v>
      </c>
      <c r="M47" s="29">
        <v>7340</v>
      </c>
      <c r="N47" s="29">
        <v>29</v>
      </c>
      <c r="O47" s="29">
        <v>4160</v>
      </c>
      <c r="P47" s="29">
        <v>8320</v>
      </c>
      <c r="Q47" s="29">
        <v>14440</v>
      </c>
      <c r="R47" s="29">
        <v>963</v>
      </c>
      <c r="S47" s="29">
        <v>6.87</v>
      </c>
      <c r="T47" s="29">
        <v>743</v>
      </c>
      <c r="U47" s="29">
        <v>1445</v>
      </c>
      <c r="V47" s="29">
        <v>1486</v>
      </c>
      <c r="W47" s="29">
        <v>760</v>
      </c>
      <c r="X47" s="29">
        <v>16064000</v>
      </c>
      <c r="Y47" s="29">
        <v>18130</v>
      </c>
      <c r="Z47" s="29">
        <v>6.97</v>
      </c>
      <c r="AA47" s="40" t="s">
        <v>122</v>
      </c>
      <c r="AB47" s="40" t="s">
        <v>122</v>
      </c>
      <c r="AC47" s="104">
        <f t="shared" si="0"/>
        <v>66.8</v>
      </c>
    </row>
    <row r="48" spans="1:29" x14ac:dyDescent="0.25">
      <c r="A48" s="26" t="s">
        <v>670</v>
      </c>
      <c r="B48" s="29">
        <v>800</v>
      </c>
      <c r="C48" s="29">
        <v>300</v>
      </c>
      <c r="D48" s="29">
        <v>33</v>
      </c>
      <c r="E48" s="29">
        <v>674</v>
      </c>
      <c r="F48" s="29">
        <v>17.5</v>
      </c>
      <c r="G48" s="30">
        <v>17.5</v>
      </c>
      <c r="H48" s="29">
        <v>4.55</v>
      </c>
      <c r="I48" s="29">
        <v>38.5</v>
      </c>
      <c r="J48" s="29">
        <v>334</v>
      </c>
      <c r="K48" s="29">
        <v>262</v>
      </c>
      <c r="L48" s="29">
        <v>359100</v>
      </c>
      <c r="M48" s="29">
        <v>8980</v>
      </c>
      <c r="N48" s="29">
        <v>32.799999999999997</v>
      </c>
      <c r="O48" s="29">
        <v>5110</v>
      </c>
      <c r="P48" s="29">
        <v>10220</v>
      </c>
      <c r="Q48" s="29">
        <v>14900</v>
      </c>
      <c r="R48" s="29">
        <v>994</v>
      </c>
      <c r="S48" s="29">
        <v>6.68</v>
      </c>
      <c r="T48" s="29">
        <v>771</v>
      </c>
      <c r="U48" s="29">
        <v>1491</v>
      </c>
      <c r="V48" s="29">
        <v>1541</v>
      </c>
      <c r="W48" s="29">
        <v>850</v>
      </c>
      <c r="X48" s="29">
        <v>21840000</v>
      </c>
      <c r="Y48" s="29">
        <v>16377</v>
      </c>
      <c r="Z48" s="29">
        <v>10.98</v>
      </c>
      <c r="AA48" s="40" t="s">
        <v>122</v>
      </c>
      <c r="AB48" s="40" t="s">
        <v>122</v>
      </c>
      <c r="AC48" s="104">
        <f t="shared" si="0"/>
        <v>76.7</v>
      </c>
    </row>
    <row r="49" spans="1:29" x14ac:dyDescent="0.25">
      <c r="A49" s="26" t="s">
        <v>671</v>
      </c>
      <c r="B49" s="29">
        <v>900</v>
      </c>
      <c r="C49" s="29">
        <v>300</v>
      </c>
      <c r="D49" s="29">
        <v>35</v>
      </c>
      <c r="E49" s="29">
        <v>770</v>
      </c>
      <c r="F49" s="29">
        <v>18.5</v>
      </c>
      <c r="G49" s="30">
        <v>18.5</v>
      </c>
      <c r="H49" s="29">
        <v>4.29</v>
      </c>
      <c r="I49" s="29">
        <v>41.6</v>
      </c>
      <c r="J49" s="29">
        <v>371</v>
      </c>
      <c r="K49" s="29">
        <v>291</v>
      </c>
      <c r="L49" s="29">
        <v>494100</v>
      </c>
      <c r="M49" s="29">
        <v>10980</v>
      </c>
      <c r="N49" s="29">
        <v>36.5</v>
      </c>
      <c r="O49" s="29">
        <v>6290</v>
      </c>
      <c r="P49" s="29">
        <v>12580</v>
      </c>
      <c r="Q49" s="29">
        <v>15820</v>
      </c>
      <c r="R49" s="29">
        <v>1050</v>
      </c>
      <c r="S49" s="29">
        <v>6.53</v>
      </c>
      <c r="T49" s="29">
        <v>823</v>
      </c>
      <c r="U49" s="29">
        <v>1575</v>
      </c>
      <c r="V49" s="29">
        <v>1646</v>
      </c>
      <c r="W49" s="29">
        <v>1033</v>
      </c>
      <c r="X49" s="29">
        <v>29461000</v>
      </c>
      <c r="Y49" s="29">
        <v>15561</v>
      </c>
      <c r="Z49" s="29">
        <v>14.13</v>
      </c>
      <c r="AA49" s="40" t="s">
        <v>122</v>
      </c>
      <c r="AB49" s="40" t="s">
        <v>122</v>
      </c>
      <c r="AC49" s="104">
        <f t="shared" si="0"/>
        <v>86.5</v>
      </c>
    </row>
    <row r="50" spans="1:29" x14ac:dyDescent="0.25">
      <c r="A50" s="26" t="s">
        <v>672</v>
      </c>
      <c r="B50" s="29">
        <v>1000</v>
      </c>
      <c r="C50" s="29">
        <v>300</v>
      </c>
      <c r="D50" s="29">
        <v>36</v>
      </c>
      <c r="E50" s="29">
        <v>868</v>
      </c>
      <c r="F50" s="29">
        <v>19</v>
      </c>
      <c r="G50" s="30">
        <v>19</v>
      </c>
      <c r="H50" s="29">
        <v>4.17</v>
      </c>
      <c r="I50" s="29">
        <v>45.7</v>
      </c>
      <c r="J50" s="29">
        <v>400</v>
      </c>
      <c r="K50" s="29">
        <v>314</v>
      </c>
      <c r="L50" s="29">
        <v>644700</v>
      </c>
      <c r="M50" s="29">
        <v>12890</v>
      </c>
      <c r="N50" s="29">
        <v>40.1</v>
      </c>
      <c r="O50" s="29">
        <v>7430</v>
      </c>
      <c r="P50" s="29">
        <v>14860</v>
      </c>
      <c r="Q50" s="29">
        <v>16280</v>
      </c>
      <c r="R50" s="29">
        <v>1090</v>
      </c>
      <c r="S50" s="29">
        <v>6.38</v>
      </c>
      <c r="T50" s="29">
        <v>852</v>
      </c>
      <c r="U50" s="29">
        <v>1635</v>
      </c>
      <c r="V50" s="29">
        <v>1704</v>
      </c>
      <c r="W50" s="29">
        <v>1145</v>
      </c>
      <c r="X50" s="29">
        <v>37637000</v>
      </c>
      <c r="Y50" s="29">
        <v>14494</v>
      </c>
      <c r="Z50" s="29">
        <v>19.649999999999999</v>
      </c>
      <c r="AA50" s="40" t="s">
        <v>122</v>
      </c>
      <c r="AB50" s="40" t="s">
        <v>122</v>
      </c>
      <c r="AC50" s="104">
        <f t="shared" si="0"/>
        <v>96.4</v>
      </c>
    </row>
    <row r="51" spans="1:29" x14ac:dyDescent="0.25">
      <c r="A51" s="26" t="s">
        <v>123</v>
      </c>
      <c r="B51" s="29">
        <v>96</v>
      </c>
      <c r="C51" s="29">
        <v>100</v>
      </c>
      <c r="D51" s="29">
        <v>8</v>
      </c>
      <c r="E51" s="29">
        <v>56</v>
      </c>
      <c r="F51" s="29">
        <v>5</v>
      </c>
      <c r="G51" s="29">
        <v>12</v>
      </c>
      <c r="H51" s="29">
        <v>6.25</v>
      </c>
      <c r="I51" s="29">
        <v>11.2</v>
      </c>
      <c r="J51" s="29">
        <v>21.2</v>
      </c>
      <c r="K51" s="29">
        <v>16.7</v>
      </c>
      <c r="L51" s="29">
        <v>349</v>
      </c>
      <c r="M51" s="29">
        <v>72.8</v>
      </c>
      <c r="N51" s="29">
        <v>4.0599999999999996</v>
      </c>
      <c r="O51" s="29">
        <v>41.5</v>
      </c>
      <c r="P51" s="29">
        <v>83</v>
      </c>
      <c r="Q51" s="29">
        <v>134</v>
      </c>
      <c r="R51" s="29">
        <v>26.8</v>
      </c>
      <c r="S51" s="29">
        <v>2.5099999999999998</v>
      </c>
      <c r="T51" s="29">
        <v>20.3</v>
      </c>
      <c r="U51" s="29">
        <v>40.200000000000003</v>
      </c>
      <c r="V51" s="29">
        <v>40.5</v>
      </c>
      <c r="W51" s="29">
        <v>3.75</v>
      </c>
      <c r="X51" s="29">
        <v>2581</v>
      </c>
      <c r="Y51" s="29">
        <v>33792</v>
      </c>
      <c r="Z51" s="29">
        <v>0.49</v>
      </c>
      <c r="AA51" s="40" t="s">
        <v>122</v>
      </c>
      <c r="AB51" s="40" t="s">
        <v>122</v>
      </c>
      <c r="AC51" s="104">
        <f t="shared" si="0"/>
        <v>8.8000000000000007</v>
      </c>
    </row>
    <row r="52" spans="1:29" x14ac:dyDescent="0.25">
      <c r="A52" s="26" t="s">
        <v>124</v>
      </c>
      <c r="B52" s="29">
        <v>114</v>
      </c>
      <c r="C52" s="29">
        <v>120</v>
      </c>
      <c r="D52" s="29">
        <v>8</v>
      </c>
      <c r="E52" s="29">
        <v>74</v>
      </c>
      <c r="F52" s="29">
        <v>5</v>
      </c>
      <c r="G52" s="29">
        <v>12</v>
      </c>
      <c r="H52" s="29">
        <v>7.5</v>
      </c>
      <c r="I52" s="29">
        <v>14.8</v>
      </c>
      <c r="J52" s="29">
        <v>25.3</v>
      </c>
      <c r="K52" s="29">
        <v>19.899999999999999</v>
      </c>
      <c r="L52" s="29">
        <v>606</v>
      </c>
      <c r="M52" s="29">
        <v>106</v>
      </c>
      <c r="N52" s="29">
        <v>4.8899999999999997</v>
      </c>
      <c r="O52" s="29">
        <v>59.7</v>
      </c>
      <c r="P52" s="29">
        <v>119</v>
      </c>
      <c r="Q52" s="29">
        <v>231</v>
      </c>
      <c r="R52" s="29">
        <v>38.5</v>
      </c>
      <c r="S52" s="29">
        <v>3.02</v>
      </c>
      <c r="T52" s="29">
        <v>29.1</v>
      </c>
      <c r="U52" s="29">
        <v>57.8</v>
      </c>
      <c r="V52" s="29">
        <v>58.2</v>
      </c>
      <c r="W52" s="29">
        <v>4.5</v>
      </c>
      <c r="X52" s="29">
        <v>6472</v>
      </c>
      <c r="Y52" s="29">
        <v>27716</v>
      </c>
      <c r="Z52" s="29">
        <v>1.05</v>
      </c>
      <c r="AA52" s="40" t="s">
        <v>122</v>
      </c>
      <c r="AB52" s="40" t="s">
        <v>122</v>
      </c>
      <c r="AC52" s="104">
        <f t="shared" si="0"/>
        <v>10.6</v>
      </c>
    </row>
    <row r="53" spans="1:29" x14ac:dyDescent="0.25">
      <c r="A53" s="26" t="s">
        <v>125</v>
      </c>
      <c r="B53" s="29">
        <v>133</v>
      </c>
      <c r="C53" s="29">
        <v>140</v>
      </c>
      <c r="D53" s="29">
        <v>8.5</v>
      </c>
      <c r="E53" s="29">
        <v>92</v>
      </c>
      <c r="F53" s="29">
        <v>5.5</v>
      </c>
      <c r="G53" s="29">
        <v>12</v>
      </c>
      <c r="H53" s="29">
        <v>8.24</v>
      </c>
      <c r="I53" s="29">
        <v>16.73</v>
      </c>
      <c r="J53" s="29">
        <v>31.4</v>
      </c>
      <c r="K53" s="29">
        <v>24.7</v>
      </c>
      <c r="L53" s="29">
        <v>1030</v>
      </c>
      <c r="M53" s="29">
        <v>155</v>
      </c>
      <c r="N53" s="29">
        <v>5.73</v>
      </c>
      <c r="O53" s="29">
        <v>86.7</v>
      </c>
      <c r="P53" s="29">
        <v>173</v>
      </c>
      <c r="Q53" s="29">
        <v>389</v>
      </c>
      <c r="R53" s="29">
        <v>55.6</v>
      </c>
      <c r="S53" s="29">
        <v>3.52</v>
      </c>
      <c r="T53" s="29">
        <v>42.1</v>
      </c>
      <c r="U53" s="29">
        <v>83.4</v>
      </c>
      <c r="V53" s="29">
        <v>84.2</v>
      </c>
      <c r="W53" s="29">
        <v>6.38</v>
      </c>
      <c r="X53" s="29">
        <v>15060</v>
      </c>
      <c r="Y53" s="29">
        <v>25215</v>
      </c>
      <c r="Z53" s="29">
        <v>1.53</v>
      </c>
      <c r="AA53" s="40" t="s">
        <v>122</v>
      </c>
      <c r="AB53" s="40" t="s">
        <v>122</v>
      </c>
      <c r="AC53" s="104">
        <f t="shared" si="0"/>
        <v>12.45</v>
      </c>
    </row>
    <row r="54" spans="1:29" x14ac:dyDescent="0.25">
      <c r="A54" s="26" t="s">
        <v>126</v>
      </c>
      <c r="B54" s="29">
        <v>152</v>
      </c>
      <c r="C54" s="29">
        <v>160</v>
      </c>
      <c r="D54" s="29">
        <v>9</v>
      </c>
      <c r="E54" s="29">
        <v>104</v>
      </c>
      <c r="F54" s="29">
        <v>6</v>
      </c>
      <c r="G54" s="29">
        <v>15</v>
      </c>
      <c r="H54" s="29">
        <v>8.89</v>
      </c>
      <c r="I54" s="29">
        <v>17.329999999999998</v>
      </c>
      <c r="J54" s="29">
        <v>38.799999999999997</v>
      </c>
      <c r="K54" s="29">
        <v>30.4</v>
      </c>
      <c r="L54" s="29">
        <v>1670</v>
      </c>
      <c r="M54" s="29">
        <v>220</v>
      </c>
      <c r="N54" s="29">
        <v>6.56</v>
      </c>
      <c r="O54" s="29">
        <v>123</v>
      </c>
      <c r="P54" s="29">
        <v>246</v>
      </c>
      <c r="Q54" s="29">
        <v>616</v>
      </c>
      <c r="R54" s="29">
        <v>77</v>
      </c>
      <c r="S54" s="29">
        <v>3.98</v>
      </c>
      <c r="T54" s="29">
        <v>58.2</v>
      </c>
      <c r="U54" s="29">
        <v>116</v>
      </c>
      <c r="V54" s="29">
        <v>116</v>
      </c>
      <c r="W54" s="29">
        <v>8.74</v>
      </c>
      <c r="X54" s="29">
        <v>31410</v>
      </c>
      <c r="Y54" s="29">
        <v>23134</v>
      </c>
      <c r="Z54" s="29">
        <v>2.16</v>
      </c>
      <c r="AA54" s="40" t="s">
        <v>122</v>
      </c>
      <c r="AB54" s="40" t="s">
        <v>122</v>
      </c>
      <c r="AC54" s="104">
        <f t="shared" si="0"/>
        <v>14.3</v>
      </c>
    </row>
    <row r="55" spans="1:29" x14ac:dyDescent="0.25">
      <c r="A55" s="26" t="s">
        <v>127</v>
      </c>
      <c r="B55" s="29">
        <v>171</v>
      </c>
      <c r="C55" s="29">
        <v>180</v>
      </c>
      <c r="D55" s="29">
        <v>9.5</v>
      </c>
      <c r="E55" s="29">
        <v>122</v>
      </c>
      <c r="F55" s="29">
        <v>6</v>
      </c>
      <c r="G55" s="29">
        <v>15</v>
      </c>
      <c r="H55" s="29">
        <v>9.4700000000000006</v>
      </c>
      <c r="I55" s="29">
        <v>20.329999999999998</v>
      </c>
      <c r="J55" s="29">
        <v>45.3</v>
      </c>
      <c r="K55" s="29">
        <v>35.5</v>
      </c>
      <c r="L55" s="29">
        <v>2510</v>
      </c>
      <c r="M55" s="29">
        <v>294</v>
      </c>
      <c r="N55" s="29">
        <v>7.44</v>
      </c>
      <c r="O55" s="29">
        <v>162</v>
      </c>
      <c r="P55" s="29">
        <v>324</v>
      </c>
      <c r="Q55" s="29">
        <v>925</v>
      </c>
      <c r="R55" s="29">
        <v>103</v>
      </c>
      <c r="S55" s="29">
        <v>4.5199999999999996</v>
      </c>
      <c r="T55" s="29">
        <v>77.599999999999994</v>
      </c>
      <c r="U55" s="29">
        <v>154</v>
      </c>
      <c r="V55" s="29">
        <v>155</v>
      </c>
      <c r="W55" s="29">
        <v>11.4</v>
      </c>
      <c r="X55" s="29">
        <v>60210</v>
      </c>
      <c r="Y55" s="29">
        <v>21351</v>
      </c>
      <c r="Z55" s="29">
        <v>2.91</v>
      </c>
      <c r="AA55" s="40" t="s">
        <v>122</v>
      </c>
      <c r="AB55" s="40" t="s">
        <v>122</v>
      </c>
      <c r="AC55" s="104">
        <f t="shared" si="0"/>
        <v>16.149999999999999</v>
      </c>
    </row>
    <row r="56" spans="1:29" x14ac:dyDescent="0.25">
      <c r="A56" s="26" t="s">
        <v>128</v>
      </c>
      <c r="B56" s="29">
        <v>190</v>
      </c>
      <c r="C56" s="29">
        <v>200</v>
      </c>
      <c r="D56" s="29">
        <v>10</v>
      </c>
      <c r="E56" s="29">
        <v>134</v>
      </c>
      <c r="F56" s="29">
        <v>6.5</v>
      </c>
      <c r="G56" s="29">
        <v>18</v>
      </c>
      <c r="H56" s="29">
        <v>10</v>
      </c>
      <c r="I56" s="29">
        <v>20.62</v>
      </c>
      <c r="J56" s="29">
        <v>53.8</v>
      </c>
      <c r="K56" s="29">
        <v>42.3</v>
      </c>
      <c r="L56" s="29">
        <v>3690</v>
      </c>
      <c r="M56" s="29">
        <v>389</v>
      </c>
      <c r="N56" s="29">
        <v>8.2799999999999994</v>
      </c>
      <c r="O56" s="29">
        <v>215</v>
      </c>
      <c r="P56" s="29">
        <v>430</v>
      </c>
      <c r="Q56" s="29">
        <v>1340</v>
      </c>
      <c r="R56" s="29">
        <v>134</v>
      </c>
      <c r="S56" s="29">
        <v>4.99</v>
      </c>
      <c r="T56" s="29">
        <v>101</v>
      </c>
      <c r="U56" s="29">
        <v>201</v>
      </c>
      <c r="V56" s="29">
        <v>202</v>
      </c>
      <c r="W56" s="29">
        <v>14.9</v>
      </c>
      <c r="X56" s="29">
        <v>108000</v>
      </c>
      <c r="Y56" s="29">
        <v>20084</v>
      </c>
      <c r="Z56" s="29">
        <v>3.69</v>
      </c>
      <c r="AA56" s="40" t="s">
        <v>122</v>
      </c>
      <c r="AB56" s="40" t="s">
        <v>122</v>
      </c>
      <c r="AC56" s="104">
        <f t="shared" si="0"/>
        <v>18</v>
      </c>
    </row>
    <row r="57" spans="1:29" x14ac:dyDescent="0.25">
      <c r="A57" s="26" t="s">
        <v>129</v>
      </c>
      <c r="B57" s="29">
        <v>210</v>
      </c>
      <c r="C57" s="29">
        <v>220</v>
      </c>
      <c r="D57" s="29">
        <v>11</v>
      </c>
      <c r="E57" s="29">
        <v>152</v>
      </c>
      <c r="F57" s="29">
        <v>7</v>
      </c>
      <c r="G57" s="29">
        <v>18</v>
      </c>
      <c r="H57" s="29">
        <v>10</v>
      </c>
      <c r="I57" s="29">
        <v>21.71</v>
      </c>
      <c r="J57" s="29">
        <v>64.3</v>
      </c>
      <c r="K57" s="29">
        <v>50.5</v>
      </c>
      <c r="L57" s="29">
        <v>5410</v>
      </c>
      <c r="M57" s="29">
        <v>515</v>
      </c>
      <c r="N57" s="29">
        <v>9.17</v>
      </c>
      <c r="O57" s="29">
        <v>284</v>
      </c>
      <c r="P57" s="29">
        <v>568</v>
      </c>
      <c r="Q57" s="29">
        <v>1950</v>
      </c>
      <c r="R57" s="29">
        <v>177</v>
      </c>
      <c r="S57" s="29">
        <v>5.51</v>
      </c>
      <c r="T57" s="29">
        <v>134</v>
      </c>
      <c r="U57" s="29">
        <v>266</v>
      </c>
      <c r="V57" s="29">
        <v>269</v>
      </c>
      <c r="W57" s="29">
        <v>21.7</v>
      </c>
      <c r="X57" s="29">
        <v>193300</v>
      </c>
      <c r="Y57" s="29">
        <v>19998</v>
      </c>
      <c r="Z57" s="29">
        <v>3.76</v>
      </c>
      <c r="AA57" s="40" t="s">
        <v>122</v>
      </c>
      <c r="AB57" s="40" t="s">
        <v>122</v>
      </c>
      <c r="AC57" s="104">
        <f t="shared" si="0"/>
        <v>19.899999999999999</v>
      </c>
    </row>
    <row r="58" spans="1:29" x14ac:dyDescent="0.25">
      <c r="A58" s="26" t="s">
        <v>130</v>
      </c>
      <c r="B58" s="29">
        <v>230</v>
      </c>
      <c r="C58" s="29">
        <v>240</v>
      </c>
      <c r="D58" s="29">
        <v>12</v>
      </c>
      <c r="E58" s="29">
        <v>164</v>
      </c>
      <c r="F58" s="29">
        <v>7.5</v>
      </c>
      <c r="G58" s="29">
        <v>21</v>
      </c>
      <c r="H58" s="29">
        <v>10</v>
      </c>
      <c r="I58" s="29">
        <v>21.87</v>
      </c>
      <c r="J58" s="29">
        <v>76.8</v>
      </c>
      <c r="K58" s="29">
        <v>60.3</v>
      </c>
      <c r="L58" s="29">
        <v>7760</v>
      </c>
      <c r="M58" s="29">
        <v>675</v>
      </c>
      <c r="N58" s="29">
        <v>10.1</v>
      </c>
      <c r="O58" s="29">
        <v>372</v>
      </c>
      <c r="P58" s="29">
        <v>744</v>
      </c>
      <c r="Q58" s="29">
        <v>2770</v>
      </c>
      <c r="R58" s="29">
        <v>231</v>
      </c>
      <c r="S58" s="29">
        <v>6.01</v>
      </c>
      <c r="T58" s="29">
        <v>174</v>
      </c>
      <c r="U58" s="29">
        <v>346</v>
      </c>
      <c r="V58" s="29">
        <v>348</v>
      </c>
      <c r="W58" s="29">
        <v>30.5</v>
      </c>
      <c r="X58" s="29">
        <v>328500</v>
      </c>
      <c r="Y58" s="29">
        <v>19813</v>
      </c>
      <c r="Z58" s="29">
        <v>3.88</v>
      </c>
      <c r="AA58" s="40" t="s">
        <v>122</v>
      </c>
      <c r="AB58" s="40" t="s">
        <v>122</v>
      </c>
      <c r="AC58" s="104">
        <f t="shared" si="0"/>
        <v>21.8</v>
      </c>
    </row>
    <row r="59" spans="1:29" x14ac:dyDescent="0.25">
      <c r="A59" s="26" t="s">
        <v>131</v>
      </c>
      <c r="B59" s="29">
        <v>250</v>
      </c>
      <c r="C59" s="29">
        <v>260</v>
      </c>
      <c r="D59" s="29">
        <v>12.5</v>
      </c>
      <c r="E59" s="29">
        <v>177</v>
      </c>
      <c r="F59" s="29">
        <v>7.5</v>
      </c>
      <c r="G59" s="29">
        <v>24</v>
      </c>
      <c r="H59" s="29">
        <v>10.4</v>
      </c>
      <c r="I59" s="29">
        <v>23.6</v>
      </c>
      <c r="J59" s="29">
        <v>86.8</v>
      </c>
      <c r="K59" s="29">
        <v>68.2</v>
      </c>
      <c r="L59" s="29">
        <v>10450</v>
      </c>
      <c r="M59" s="29">
        <v>836</v>
      </c>
      <c r="N59" s="29">
        <v>11</v>
      </c>
      <c r="O59" s="29">
        <v>460</v>
      </c>
      <c r="P59" s="29">
        <v>920</v>
      </c>
      <c r="Q59" s="29">
        <v>3679</v>
      </c>
      <c r="R59" s="29">
        <v>283</v>
      </c>
      <c r="S59" s="29">
        <v>6.51</v>
      </c>
      <c r="T59" s="29">
        <v>213</v>
      </c>
      <c r="U59" s="29">
        <v>425</v>
      </c>
      <c r="V59" s="29">
        <v>426</v>
      </c>
      <c r="W59" s="29">
        <v>37</v>
      </c>
      <c r="X59" s="29">
        <v>516400</v>
      </c>
      <c r="Y59" s="29">
        <v>18716</v>
      </c>
      <c r="Z59" s="29">
        <v>4.8</v>
      </c>
      <c r="AA59" s="40" t="s">
        <v>122</v>
      </c>
      <c r="AB59" s="40" t="s">
        <v>122</v>
      </c>
      <c r="AC59" s="104">
        <f t="shared" si="0"/>
        <v>23.75</v>
      </c>
    </row>
    <row r="60" spans="1:29" x14ac:dyDescent="0.25">
      <c r="A60" s="26" t="s">
        <v>132</v>
      </c>
      <c r="B60" s="29">
        <v>270</v>
      </c>
      <c r="C60" s="29">
        <v>280</v>
      </c>
      <c r="D60" s="29">
        <v>13</v>
      </c>
      <c r="E60" s="29">
        <v>196</v>
      </c>
      <c r="F60" s="29">
        <v>8</v>
      </c>
      <c r="G60" s="29">
        <v>24</v>
      </c>
      <c r="H60" s="29">
        <v>10.77</v>
      </c>
      <c r="I60" s="29">
        <v>24.5</v>
      </c>
      <c r="J60" s="29">
        <v>97.3</v>
      </c>
      <c r="K60" s="29">
        <v>76.400000000000006</v>
      </c>
      <c r="L60" s="29">
        <v>13670</v>
      </c>
      <c r="M60" s="29">
        <v>1010</v>
      </c>
      <c r="N60" s="29">
        <v>11.9</v>
      </c>
      <c r="O60" s="29">
        <v>556</v>
      </c>
      <c r="P60" s="29">
        <v>1112</v>
      </c>
      <c r="Q60" s="29">
        <v>4760</v>
      </c>
      <c r="R60" s="29">
        <v>340</v>
      </c>
      <c r="S60" s="29">
        <v>6.99</v>
      </c>
      <c r="T60" s="29">
        <v>257</v>
      </c>
      <c r="U60" s="29">
        <v>510</v>
      </c>
      <c r="V60" s="29">
        <v>514</v>
      </c>
      <c r="W60" s="29">
        <v>45.2</v>
      </c>
      <c r="X60" s="29">
        <v>785400</v>
      </c>
      <c r="Y60" s="29">
        <v>18119</v>
      </c>
      <c r="Z60" s="29">
        <v>5.54</v>
      </c>
      <c r="AA60" s="40" t="s">
        <v>122</v>
      </c>
      <c r="AB60" s="40" t="s">
        <v>122</v>
      </c>
      <c r="AC60" s="104">
        <f t="shared" si="0"/>
        <v>25.7</v>
      </c>
    </row>
    <row r="61" spans="1:29" x14ac:dyDescent="0.25">
      <c r="A61" s="26" t="s">
        <v>133</v>
      </c>
      <c r="B61" s="29">
        <v>290</v>
      </c>
      <c r="C61" s="29">
        <v>300</v>
      </c>
      <c r="D61" s="29">
        <v>14</v>
      </c>
      <c r="E61" s="29">
        <v>208</v>
      </c>
      <c r="F61" s="29">
        <v>8.5</v>
      </c>
      <c r="G61" s="29">
        <v>27</v>
      </c>
      <c r="H61" s="29">
        <v>10.71</v>
      </c>
      <c r="I61" s="29">
        <v>24.47</v>
      </c>
      <c r="J61" s="29">
        <v>113</v>
      </c>
      <c r="K61" s="29">
        <v>88.3</v>
      </c>
      <c r="L61" s="29">
        <v>18260</v>
      </c>
      <c r="M61" s="29">
        <v>1260</v>
      </c>
      <c r="N61" s="29">
        <v>12.8</v>
      </c>
      <c r="O61" s="29">
        <v>692</v>
      </c>
      <c r="P61" s="29">
        <v>1384</v>
      </c>
      <c r="Q61" s="29">
        <v>6310</v>
      </c>
      <c r="R61" s="29">
        <v>421</v>
      </c>
      <c r="S61" s="29">
        <v>7.51</v>
      </c>
      <c r="T61" s="29">
        <v>317</v>
      </c>
      <c r="U61" s="29">
        <v>631</v>
      </c>
      <c r="V61" s="29">
        <v>635</v>
      </c>
      <c r="W61" s="29">
        <v>60.2</v>
      </c>
      <c r="X61" s="29">
        <v>1200000</v>
      </c>
      <c r="Y61" s="29">
        <v>17995</v>
      </c>
      <c r="Z61" s="29">
        <v>5.58</v>
      </c>
      <c r="AA61" s="40" t="s">
        <v>122</v>
      </c>
      <c r="AB61" s="40" t="s">
        <v>122</v>
      </c>
      <c r="AC61" s="104">
        <f t="shared" si="0"/>
        <v>27.6</v>
      </c>
    </row>
    <row r="62" spans="1:29" x14ac:dyDescent="0.25">
      <c r="A62" s="26" t="s">
        <v>134</v>
      </c>
      <c r="B62" s="29">
        <v>310</v>
      </c>
      <c r="C62" s="29">
        <v>300</v>
      </c>
      <c r="D62" s="29">
        <v>15.5</v>
      </c>
      <c r="E62" s="29">
        <v>225</v>
      </c>
      <c r="F62" s="29">
        <v>9</v>
      </c>
      <c r="G62" s="29">
        <v>27</v>
      </c>
      <c r="H62" s="29">
        <v>9.68</v>
      </c>
      <c r="I62" s="29">
        <v>25</v>
      </c>
      <c r="J62" s="29">
        <v>124</v>
      </c>
      <c r="K62" s="29">
        <v>97.6</v>
      </c>
      <c r="L62" s="29">
        <v>22930</v>
      </c>
      <c r="M62" s="29">
        <v>1480</v>
      </c>
      <c r="N62" s="29">
        <v>13.6</v>
      </c>
      <c r="O62" s="29">
        <v>814</v>
      </c>
      <c r="P62" s="29">
        <v>1628</v>
      </c>
      <c r="Q62" s="29">
        <v>6990</v>
      </c>
      <c r="R62" s="29">
        <v>466</v>
      </c>
      <c r="S62" s="29">
        <v>7.51</v>
      </c>
      <c r="T62" s="29">
        <v>352</v>
      </c>
      <c r="U62" s="29">
        <v>699</v>
      </c>
      <c r="V62" s="29">
        <v>703</v>
      </c>
      <c r="W62" s="29">
        <v>81.3</v>
      </c>
      <c r="X62" s="29">
        <v>1512000</v>
      </c>
      <c r="Y62" s="29">
        <v>18721</v>
      </c>
      <c r="Z62" s="29">
        <v>4.82</v>
      </c>
      <c r="AA62" s="40" t="s">
        <v>122</v>
      </c>
      <c r="AB62" s="40" t="s">
        <v>122</v>
      </c>
      <c r="AC62" s="104">
        <f t="shared" si="0"/>
        <v>29.45</v>
      </c>
    </row>
    <row r="63" spans="1:29" x14ac:dyDescent="0.25">
      <c r="A63" s="26" t="s">
        <v>135</v>
      </c>
      <c r="B63" s="29">
        <v>330</v>
      </c>
      <c r="C63" s="29">
        <v>300</v>
      </c>
      <c r="D63" s="29">
        <v>16.5</v>
      </c>
      <c r="E63" s="29">
        <v>243</v>
      </c>
      <c r="F63" s="29">
        <v>9.5</v>
      </c>
      <c r="G63" s="29">
        <v>27</v>
      </c>
      <c r="H63" s="29">
        <v>9.09</v>
      </c>
      <c r="I63" s="29">
        <v>25.58</v>
      </c>
      <c r="J63" s="29">
        <v>133</v>
      </c>
      <c r="K63" s="29">
        <v>105</v>
      </c>
      <c r="L63" s="29">
        <v>27690</v>
      </c>
      <c r="M63" s="29">
        <v>1680</v>
      </c>
      <c r="N63" s="29">
        <v>14.4</v>
      </c>
      <c r="O63" s="29">
        <v>925</v>
      </c>
      <c r="P63" s="29">
        <v>1850</v>
      </c>
      <c r="Q63" s="29">
        <v>7440</v>
      </c>
      <c r="R63" s="29">
        <v>496</v>
      </c>
      <c r="S63" s="29">
        <v>7.48</v>
      </c>
      <c r="T63" s="29">
        <v>375</v>
      </c>
      <c r="U63" s="29">
        <v>744</v>
      </c>
      <c r="V63" s="29">
        <v>749</v>
      </c>
      <c r="W63" s="29">
        <v>98.3</v>
      </c>
      <c r="X63" s="29">
        <v>1824000</v>
      </c>
      <c r="Y63" s="29">
        <v>18790</v>
      </c>
      <c r="Z63" s="29">
        <v>4.8</v>
      </c>
      <c r="AA63" s="40" t="s">
        <v>122</v>
      </c>
      <c r="AB63" s="40" t="s">
        <v>122</v>
      </c>
      <c r="AC63" s="104">
        <f t="shared" si="0"/>
        <v>31.35</v>
      </c>
    </row>
    <row r="64" spans="1:29" x14ac:dyDescent="0.25">
      <c r="A64" s="26" t="s">
        <v>136</v>
      </c>
      <c r="B64" s="29">
        <v>350</v>
      </c>
      <c r="C64" s="29">
        <v>300</v>
      </c>
      <c r="D64" s="29">
        <v>17.5</v>
      </c>
      <c r="E64" s="29">
        <v>261</v>
      </c>
      <c r="F64" s="29">
        <v>10</v>
      </c>
      <c r="G64" s="29">
        <v>27</v>
      </c>
      <c r="H64" s="29">
        <v>8.57</v>
      </c>
      <c r="I64" s="29">
        <v>26.1</v>
      </c>
      <c r="J64" s="29">
        <v>143</v>
      </c>
      <c r="K64" s="29">
        <v>112</v>
      </c>
      <c r="L64" s="29">
        <v>33090</v>
      </c>
      <c r="M64" s="29">
        <v>1890</v>
      </c>
      <c r="N64" s="29">
        <v>15.2</v>
      </c>
      <c r="O64" s="29">
        <v>1040</v>
      </c>
      <c r="P64" s="29">
        <v>2080</v>
      </c>
      <c r="Q64" s="29">
        <v>7890</v>
      </c>
      <c r="R64" s="29">
        <v>526</v>
      </c>
      <c r="S64" s="29">
        <v>7.43</v>
      </c>
      <c r="T64" s="29">
        <v>398</v>
      </c>
      <c r="U64" s="29">
        <v>789</v>
      </c>
      <c r="V64" s="29">
        <v>795</v>
      </c>
      <c r="W64" s="29">
        <v>118</v>
      </c>
      <c r="X64" s="29">
        <v>2177000</v>
      </c>
      <c r="Y64" s="29">
        <v>18947</v>
      </c>
      <c r="Z64" s="29">
        <v>4.78</v>
      </c>
      <c r="AA64" s="40" t="s">
        <v>122</v>
      </c>
      <c r="AB64" s="40" t="s">
        <v>122</v>
      </c>
      <c r="AC64" s="104">
        <f t="shared" si="0"/>
        <v>33.25</v>
      </c>
    </row>
    <row r="65" spans="1:29" x14ac:dyDescent="0.25">
      <c r="A65" s="26" t="s">
        <v>137</v>
      </c>
      <c r="B65" s="29">
        <v>390</v>
      </c>
      <c r="C65" s="29">
        <v>300</v>
      </c>
      <c r="D65" s="29">
        <v>19</v>
      </c>
      <c r="E65" s="29">
        <v>298</v>
      </c>
      <c r="F65" s="29">
        <v>11</v>
      </c>
      <c r="G65" s="29">
        <v>27</v>
      </c>
      <c r="H65" s="29">
        <v>7.89</v>
      </c>
      <c r="I65" s="29">
        <v>27.09</v>
      </c>
      <c r="J65" s="29">
        <v>159</v>
      </c>
      <c r="K65" s="29">
        <v>125</v>
      </c>
      <c r="L65" s="29">
        <v>45070</v>
      </c>
      <c r="M65" s="29">
        <v>2310</v>
      </c>
      <c r="N65" s="29">
        <v>16.8</v>
      </c>
      <c r="O65" s="29">
        <v>1280</v>
      </c>
      <c r="P65" s="29">
        <v>2560</v>
      </c>
      <c r="Q65" s="29">
        <v>8560</v>
      </c>
      <c r="R65" s="29">
        <v>571</v>
      </c>
      <c r="S65" s="29">
        <v>7.34</v>
      </c>
      <c r="T65" s="29">
        <v>433</v>
      </c>
      <c r="U65" s="29">
        <v>856</v>
      </c>
      <c r="V65" s="29">
        <v>866</v>
      </c>
      <c r="W65" s="29">
        <v>153</v>
      </c>
      <c r="X65" s="29">
        <v>2942000</v>
      </c>
      <c r="Y65" s="29">
        <v>18625</v>
      </c>
      <c r="Z65" s="29">
        <v>5.27</v>
      </c>
      <c r="AA65" s="40" t="s">
        <v>122</v>
      </c>
      <c r="AB65" s="40" t="s">
        <v>122</v>
      </c>
      <c r="AC65" s="104">
        <f t="shared" si="0"/>
        <v>37.1</v>
      </c>
    </row>
    <row r="66" spans="1:29" x14ac:dyDescent="0.25">
      <c r="A66" s="26" t="s">
        <v>138</v>
      </c>
      <c r="B66" s="29">
        <v>440</v>
      </c>
      <c r="C66" s="29">
        <v>300</v>
      </c>
      <c r="D66" s="29">
        <v>21</v>
      </c>
      <c r="E66" s="29">
        <v>344</v>
      </c>
      <c r="F66" s="29">
        <v>11.5</v>
      </c>
      <c r="G66" s="29">
        <v>27</v>
      </c>
      <c r="H66" s="29">
        <v>7.14</v>
      </c>
      <c r="I66" s="29">
        <v>29.91</v>
      </c>
      <c r="J66" s="29">
        <v>178</v>
      </c>
      <c r="K66" s="29">
        <v>140</v>
      </c>
      <c r="L66" s="29">
        <v>63720</v>
      </c>
      <c r="M66" s="29">
        <v>2900</v>
      </c>
      <c r="N66" s="29">
        <v>18.899999999999999</v>
      </c>
      <c r="O66" s="29">
        <v>1610</v>
      </c>
      <c r="P66" s="29">
        <v>3220</v>
      </c>
      <c r="Q66" s="29">
        <v>9470</v>
      </c>
      <c r="R66" s="29">
        <v>631</v>
      </c>
      <c r="S66" s="29">
        <v>7.29</v>
      </c>
      <c r="T66" s="29">
        <v>479</v>
      </c>
      <c r="U66" s="29">
        <v>947</v>
      </c>
      <c r="V66" s="29">
        <v>958</v>
      </c>
      <c r="W66" s="29">
        <v>205</v>
      </c>
      <c r="X66" s="29">
        <v>4148000</v>
      </c>
      <c r="Y66" s="29">
        <v>18200</v>
      </c>
      <c r="Z66" s="29">
        <v>5.86</v>
      </c>
      <c r="AA66" s="40" t="s">
        <v>122</v>
      </c>
      <c r="AB66" s="40" t="s">
        <v>122</v>
      </c>
      <c r="AC66" s="104">
        <f t="shared" si="0"/>
        <v>41.9</v>
      </c>
    </row>
    <row r="67" spans="1:29" x14ac:dyDescent="0.25">
      <c r="A67" s="26" t="s">
        <v>139</v>
      </c>
      <c r="B67" s="29">
        <v>490</v>
      </c>
      <c r="C67" s="29">
        <v>300</v>
      </c>
      <c r="D67" s="29">
        <v>23</v>
      </c>
      <c r="E67" s="29">
        <v>390</v>
      </c>
      <c r="F67" s="29">
        <v>12</v>
      </c>
      <c r="G67" s="29">
        <v>27</v>
      </c>
      <c r="H67" s="29">
        <v>6.52</v>
      </c>
      <c r="I67" s="29">
        <v>32.5</v>
      </c>
      <c r="J67" s="29">
        <v>198</v>
      </c>
      <c r="K67" s="29">
        <v>155</v>
      </c>
      <c r="L67" s="29">
        <v>86970</v>
      </c>
      <c r="M67" s="29">
        <v>3550</v>
      </c>
      <c r="N67" s="29">
        <v>21</v>
      </c>
      <c r="O67" s="29">
        <v>1970</v>
      </c>
      <c r="P67" s="29">
        <v>3940</v>
      </c>
      <c r="Q67" s="29">
        <v>10370</v>
      </c>
      <c r="R67" s="29">
        <v>691</v>
      </c>
      <c r="S67" s="29">
        <v>7.24</v>
      </c>
      <c r="T67" s="29">
        <v>525</v>
      </c>
      <c r="U67" s="29">
        <v>1037</v>
      </c>
      <c r="V67" s="29">
        <v>1051</v>
      </c>
      <c r="W67" s="29">
        <v>269</v>
      </c>
      <c r="X67" s="29">
        <v>5643000</v>
      </c>
      <c r="Y67" s="29">
        <v>17942</v>
      </c>
      <c r="Z67" s="29">
        <v>6.36</v>
      </c>
      <c r="AA67" s="40" t="s">
        <v>122</v>
      </c>
      <c r="AB67" s="40" t="s">
        <v>122</v>
      </c>
      <c r="AC67" s="104">
        <f t="shared" si="0"/>
        <v>46.7</v>
      </c>
    </row>
    <row r="68" spans="1:29" x14ac:dyDescent="0.25">
      <c r="A68" s="26" t="s">
        <v>140</v>
      </c>
      <c r="B68" s="29">
        <v>540</v>
      </c>
      <c r="C68" s="29">
        <v>300</v>
      </c>
      <c r="D68" s="29">
        <v>24</v>
      </c>
      <c r="E68" s="29">
        <v>438</v>
      </c>
      <c r="F68" s="29">
        <v>12.5</v>
      </c>
      <c r="G68" s="29">
        <v>27</v>
      </c>
      <c r="H68" s="29">
        <v>6.25</v>
      </c>
      <c r="I68" s="29">
        <v>35.04</v>
      </c>
      <c r="J68" s="29">
        <v>212</v>
      </c>
      <c r="K68" s="29">
        <v>166</v>
      </c>
      <c r="L68" s="29">
        <v>111900</v>
      </c>
      <c r="M68" s="29">
        <v>4150</v>
      </c>
      <c r="N68" s="29">
        <v>23</v>
      </c>
      <c r="O68" s="29">
        <v>2310</v>
      </c>
      <c r="P68" s="29">
        <v>4620</v>
      </c>
      <c r="Q68" s="29">
        <v>10829</v>
      </c>
      <c r="R68" s="29">
        <v>722</v>
      </c>
      <c r="S68" s="29">
        <v>7.15</v>
      </c>
      <c r="T68" s="29">
        <v>550</v>
      </c>
      <c r="U68" s="29">
        <v>1083</v>
      </c>
      <c r="V68" s="29">
        <v>1099</v>
      </c>
      <c r="W68" s="29">
        <v>309</v>
      </c>
      <c r="X68" s="29">
        <v>7189000</v>
      </c>
      <c r="Y68" s="29">
        <v>17010</v>
      </c>
      <c r="Z68" s="29">
        <v>8.06</v>
      </c>
      <c r="AA68" s="40" t="s">
        <v>122</v>
      </c>
      <c r="AB68" s="40" t="s">
        <v>122</v>
      </c>
      <c r="AC68" s="104">
        <f t="shared" si="0"/>
        <v>51.6</v>
      </c>
    </row>
    <row r="69" spans="1:29" x14ac:dyDescent="0.25">
      <c r="A69" s="26" t="s">
        <v>141</v>
      </c>
      <c r="B69" s="29">
        <v>590</v>
      </c>
      <c r="C69" s="29">
        <v>300</v>
      </c>
      <c r="D69" s="29">
        <v>25</v>
      </c>
      <c r="E69" s="29">
        <v>486</v>
      </c>
      <c r="F69" s="29">
        <v>13</v>
      </c>
      <c r="G69" s="29">
        <v>27</v>
      </c>
      <c r="H69" s="29">
        <v>6</v>
      </c>
      <c r="I69" s="29">
        <v>37.380000000000003</v>
      </c>
      <c r="J69" s="29">
        <v>226</v>
      </c>
      <c r="K69" s="29">
        <v>178</v>
      </c>
      <c r="L69" s="29">
        <v>141200</v>
      </c>
      <c r="M69" s="29">
        <v>4790</v>
      </c>
      <c r="N69" s="29">
        <v>25</v>
      </c>
      <c r="O69" s="29">
        <v>2680</v>
      </c>
      <c r="P69" s="29">
        <v>5360</v>
      </c>
      <c r="Q69" s="29">
        <v>11270</v>
      </c>
      <c r="R69" s="29">
        <v>751</v>
      </c>
      <c r="S69" s="29">
        <v>7.06</v>
      </c>
      <c r="T69" s="29">
        <v>574</v>
      </c>
      <c r="U69" s="29">
        <v>1127</v>
      </c>
      <c r="V69" s="29">
        <v>1148</v>
      </c>
      <c r="W69" s="29">
        <v>352</v>
      </c>
      <c r="X69" s="29">
        <v>8978000</v>
      </c>
      <c r="Y69" s="29">
        <v>16255</v>
      </c>
      <c r="Z69" s="29">
        <v>9.9</v>
      </c>
      <c r="AA69" s="40" t="s">
        <v>122</v>
      </c>
      <c r="AB69" s="40" t="s">
        <v>122</v>
      </c>
      <c r="AC69" s="104">
        <f t="shared" ref="AC69:AC132" si="1">(B69-D69)/10</f>
        <v>56.5</v>
      </c>
    </row>
    <row r="70" spans="1:29" x14ac:dyDescent="0.25">
      <c r="A70" s="26" t="s">
        <v>142</v>
      </c>
      <c r="B70" s="29">
        <v>640</v>
      </c>
      <c r="C70" s="29">
        <v>300</v>
      </c>
      <c r="D70" s="29">
        <v>26</v>
      </c>
      <c r="E70" s="29">
        <v>534</v>
      </c>
      <c r="F70" s="29">
        <v>13.5</v>
      </c>
      <c r="G70" s="29">
        <v>27</v>
      </c>
      <c r="H70" s="29">
        <v>5.77</v>
      </c>
      <c r="I70" s="29">
        <v>39.56</v>
      </c>
      <c r="J70" s="29">
        <v>242</v>
      </c>
      <c r="K70" s="29">
        <v>190</v>
      </c>
      <c r="L70" s="29">
        <v>175200</v>
      </c>
      <c r="M70" s="29">
        <v>5470</v>
      </c>
      <c r="N70" s="29">
        <v>26.9</v>
      </c>
      <c r="O70" s="29">
        <v>3070</v>
      </c>
      <c r="P70" s="29">
        <v>6140</v>
      </c>
      <c r="Q70" s="29">
        <v>11720</v>
      </c>
      <c r="R70" s="29">
        <v>781</v>
      </c>
      <c r="S70" s="29">
        <v>6.96</v>
      </c>
      <c r="T70" s="29">
        <v>598</v>
      </c>
      <c r="U70" s="29">
        <v>1172</v>
      </c>
      <c r="V70" s="29">
        <v>1197</v>
      </c>
      <c r="W70" s="29">
        <v>400</v>
      </c>
      <c r="X70" s="29">
        <v>11027000</v>
      </c>
      <c r="Y70" s="29">
        <v>15695</v>
      </c>
      <c r="Z70" s="29">
        <v>11.82</v>
      </c>
      <c r="AA70" s="40" t="s">
        <v>122</v>
      </c>
      <c r="AB70" s="40" t="s">
        <v>122</v>
      </c>
      <c r="AC70" s="104">
        <f t="shared" si="1"/>
        <v>61.4</v>
      </c>
    </row>
    <row r="71" spans="1:29" x14ac:dyDescent="0.25">
      <c r="A71" s="26" t="s">
        <v>143</v>
      </c>
      <c r="B71" s="29">
        <v>690</v>
      </c>
      <c r="C71" s="29">
        <v>300</v>
      </c>
      <c r="D71" s="29">
        <v>27</v>
      </c>
      <c r="E71" s="29">
        <v>582</v>
      </c>
      <c r="F71" s="29">
        <v>14.5</v>
      </c>
      <c r="G71" s="29">
        <v>27</v>
      </c>
      <c r="H71" s="29">
        <v>5.56</v>
      </c>
      <c r="I71" s="29">
        <v>40.14</v>
      </c>
      <c r="J71" s="29">
        <v>260</v>
      </c>
      <c r="K71" s="29">
        <v>204</v>
      </c>
      <c r="L71" s="29">
        <v>215300</v>
      </c>
      <c r="M71" s="29">
        <v>6240</v>
      </c>
      <c r="N71" s="29">
        <v>28.8</v>
      </c>
      <c r="O71" s="29">
        <v>3520</v>
      </c>
      <c r="P71" s="29">
        <v>7040</v>
      </c>
      <c r="Q71" s="29">
        <v>12180</v>
      </c>
      <c r="R71" s="29">
        <v>812</v>
      </c>
      <c r="S71" s="29">
        <v>6.84</v>
      </c>
      <c r="T71" s="29">
        <v>624</v>
      </c>
      <c r="U71" s="29">
        <v>1218</v>
      </c>
      <c r="V71" s="29">
        <v>1248</v>
      </c>
      <c r="W71" s="29">
        <v>458</v>
      </c>
      <c r="X71" s="29">
        <v>13352000</v>
      </c>
      <c r="Y71" s="29">
        <v>15270</v>
      </c>
      <c r="Z71" s="29">
        <v>13.64</v>
      </c>
      <c r="AA71" s="40" t="s">
        <v>122</v>
      </c>
      <c r="AB71" s="40" t="s">
        <v>122</v>
      </c>
      <c r="AC71" s="104">
        <f t="shared" si="1"/>
        <v>66.3</v>
      </c>
    </row>
    <row r="72" spans="1:29" x14ac:dyDescent="0.25">
      <c r="A72" s="26" t="s">
        <v>144</v>
      </c>
      <c r="B72" s="29">
        <v>790</v>
      </c>
      <c r="C72" s="29">
        <v>300</v>
      </c>
      <c r="D72" s="29">
        <v>28</v>
      </c>
      <c r="E72" s="29">
        <v>674</v>
      </c>
      <c r="F72" s="29">
        <v>15</v>
      </c>
      <c r="G72" s="29">
        <v>30</v>
      </c>
      <c r="H72" s="29">
        <v>5.36</v>
      </c>
      <c r="I72" s="29">
        <v>44.93</v>
      </c>
      <c r="J72" s="29">
        <v>286</v>
      </c>
      <c r="K72" s="29">
        <v>224</v>
      </c>
      <c r="L72" s="29">
        <v>303400</v>
      </c>
      <c r="M72" s="29">
        <v>7680</v>
      </c>
      <c r="N72" s="29">
        <v>32.6</v>
      </c>
      <c r="O72" s="29">
        <v>4350</v>
      </c>
      <c r="P72" s="29">
        <v>8700</v>
      </c>
      <c r="Q72" s="29">
        <v>12640</v>
      </c>
      <c r="R72" s="29">
        <v>843</v>
      </c>
      <c r="S72" s="29">
        <v>6.65</v>
      </c>
      <c r="T72" s="29">
        <v>651</v>
      </c>
      <c r="U72" s="29">
        <v>1264</v>
      </c>
      <c r="V72" s="29">
        <v>1301</v>
      </c>
      <c r="W72" s="29">
        <v>522</v>
      </c>
      <c r="X72" s="29">
        <v>18290000</v>
      </c>
      <c r="Y72" s="29">
        <v>13882</v>
      </c>
      <c r="Z72" s="29">
        <v>21.05</v>
      </c>
      <c r="AA72" s="40" t="s">
        <v>122</v>
      </c>
      <c r="AB72" s="40" t="s">
        <v>122</v>
      </c>
      <c r="AC72" s="104">
        <f t="shared" si="1"/>
        <v>76.2</v>
      </c>
    </row>
    <row r="73" spans="1:29" x14ac:dyDescent="0.25">
      <c r="A73" s="26" t="s">
        <v>145</v>
      </c>
      <c r="B73" s="29">
        <v>890</v>
      </c>
      <c r="C73" s="29">
        <v>300</v>
      </c>
      <c r="D73" s="29">
        <v>30</v>
      </c>
      <c r="E73" s="29">
        <v>770</v>
      </c>
      <c r="F73" s="29">
        <v>16</v>
      </c>
      <c r="G73" s="29">
        <v>30</v>
      </c>
      <c r="H73" s="29">
        <v>5</v>
      </c>
      <c r="I73" s="29">
        <v>48.13</v>
      </c>
      <c r="J73" s="29">
        <v>320</v>
      </c>
      <c r="K73" s="29">
        <v>252</v>
      </c>
      <c r="L73" s="29">
        <v>422100</v>
      </c>
      <c r="M73" s="29">
        <v>9480</v>
      </c>
      <c r="N73" s="29">
        <v>36.299999999999997</v>
      </c>
      <c r="O73" s="29">
        <v>5410</v>
      </c>
      <c r="P73" s="29">
        <v>10820</v>
      </c>
      <c r="Q73" s="29">
        <v>13550</v>
      </c>
      <c r="R73" s="29">
        <v>903</v>
      </c>
      <c r="S73" s="29">
        <v>6.51</v>
      </c>
      <c r="T73" s="29">
        <v>702</v>
      </c>
      <c r="U73" s="29">
        <v>1355</v>
      </c>
      <c r="V73" s="29">
        <v>1403</v>
      </c>
      <c r="W73" s="29">
        <v>653</v>
      </c>
      <c r="X73" s="29">
        <v>24962000</v>
      </c>
      <c r="Y73" s="29">
        <v>13313</v>
      </c>
      <c r="Z73" s="29">
        <v>26.03</v>
      </c>
      <c r="AA73" s="40" t="s">
        <v>122</v>
      </c>
      <c r="AB73" s="40" t="s">
        <v>122</v>
      </c>
      <c r="AC73" s="104">
        <f t="shared" si="1"/>
        <v>86</v>
      </c>
    </row>
    <row r="74" spans="1:29" x14ac:dyDescent="0.25">
      <c r="A74" s="26" t="s">
        <v>146</v>
      </c>
      <c r="B74" s="29">
        <v>990</v>
      </c>
      <c r="C74" s="29">
        <v>300</v>
      </c>
      <c r="D74" s="29">
        <v>31</v>
      </c>
      <c r="E74" s="29">
        <v>868</v>
      </c>
      <c r="F74" s="29">
        <v>16.5</v>
      </c>
      <c r="G74" s="29">
        <v>30</v>
      </c>
      <c r="H74" s="29">
        <v>4.84</v>
      </c>
      <c r="I74" s="29">
        <v>52.61</v>
      </c>
      <c r="J74" s="29">
        <v>347</v>
      </c>
      <c r="K74" s="29">
        <v>272</v>
      </c>
      <c r="L74" s="29">
        <v>553800</v>
      </c>
      <c r="M74" s="29">
        <v>11490</v>
      </c>
      <c r="N74" s="29">
        <v>39.9</v>
      </c>
      <c r="O74" s="29">
        <v>6410</v>
      </c>
      <c r="P74" s="29">
        <v>12820</v>
      </c>
      <c r="Q74" s="29">
        <v>14000</v>
      </c>
      <c r="R74" s="29">
        <v>933</v>
      </c>
      <c r="S74" s="29">
        <v>6.35</v>
      </c>
      <c r="T74" s="29">
        <v>729</v>
      </c>
      <c r="U74" s="29">
        <v>1400</v>
      </c>
      <c r="V74" s="29">
        <v>1458</v>
      </c>
      <c r="W74" s="29">
        <v>735</v>
      </c>
      <c r="X74" s="29">
        <v>32074000</v>
      </c>
      <c r="Y74" s="29">
        <v>12131</v>
      </c>
      <c r="Z74" s="29">
        <v>37.6</v>
      </c>
      <c r="AA74" s="40" t="s">
        <v>122</v>
      </c>
      <c r="AB74" s="40" t="s">
        <v>122</v>
      </c>
      <c r="AC74" s="104">
        <f t="shared" si="1"/>
        <v>95.9</v>
      </c>
    </row>
    <row r="75" spans="1:29" x14ac:dyDescent="0.25">
      <c r="A75" s="26" t="s">
        <v>147</v>
      </c>
      <c r="B75" s="26">
        <v>120</v>
      </c>
      <c r="C75" s="26">
        <v>106</v>
      </c>
      <c r="D75" s="26">
        <v>20</v>
      </c>
      <c r="E75" s="26">
        <v>56</v>
      </c>
      <c r="F75" s="26">
        <v>12</v>
      </c>
      <c r="G75" s="26">
        <v>12</v>
      </c>
      <c r="H75" s="26">
        <v>2.65</v>
      </c>
      <c r="I75" s="26">
        <v>4.67</v>
      </c>
      <c r="J75" s="26">
        <v>53.2</v>
      </c>
      <c r="K75" s="26">
        <v>41.8</v>
      </c>
      <c r="L75" s="26">
        <v>1140</v>
      </c>
      <c r="M75" s="26">
        <v>190</v>
      </c>
      <c r="N75" s="26">
        <v>4.63</v>
      </c>
      <c r="O75" s="26">
        <v>118</v>
      </c>
      <c r="P75" s="26">
        <v>236</v>
      </c>
      <c r="Q75" s="26">
        <v>399</v>
      </c>
      <c r="R75" s="26">
        <v>75.3</v>
      </c>
      <c r="S75" s="26">
        <v>2.74</v>
      </c>
      <c r="T75" s="26">
        <v>57.6</v>
      </c>
      <c r="U75" s="26">
        <v>113</v>
      </c>
      <c r="V75" s="26">
        <v>115</v>
      </c>
      <c r="W75" s="26">
        <v>61.1</v>
      </c>
      <c r="X75" s="26">
        <v>9925</v>
      </c>
      <c r="Y75" s="26">
        <v>82857</v>
      </c>
      <c r="Z75" s="26">
        <v>1.6E-2</v>
      </c>
      <c r="AA75" s="40" t="s">
        <v>122</v>
      </c>
      <c r="AB75" s="40" t="s">
        <v>122</v>
      </c>
      <c r="AC75" s="104">
        <f t="shared" si="1"/>
        <v>10</v>
      </c>
    </row>
    <row r="76" spans="1:29" x14ac:dyDescent="0.25">
      <c r="A76" s="26" t="s">
        <v>148</v>
      </c>
      <c r="B76" s="26">
        <v>140</v>
      </c>
      <c r="C76" s="26">
        <v>126</v>
      </c>
      <c r="D76" s="26">
        <v>21</v>
      </c>
      <c r="E76" s="26">
        <v>74</v>
      </c>
      <c r="F76" s="26">
        <v>12.5</v>
      </c>
      <c r="G76" s="26">
        <v>12</v>
      </c>
      <c r="H76" s="26">
        <v>3</v>
      </c>
      <c r="I76" s="26">
        <v>5.92</v>
      </c>
      <c r="J76" s="26">
        <v>66.400000000000006</v>
      </c>
      <c r="K76" s="26">
        <v>52.1</v>
      </c>
      <c r="L76" s="26">
        <v>2020</v>
      </c>
      <c r="M76" s="26">
        <v>288</v>
      </c>
      <c r="N76" s="26">
        <v>5.52</v>
      </c>
      <c r="O76" s="26">
        <v>175</v>
      </c>
      <c r="P76" s="26">
        <v>350</v>
      </c>
      <c r="Q76" s="26">
        <v>703</v>
      </c>
      <c r="R76" s="26">
        <v>112</v>
      </c>
      <c r="S76" s="26">
        <v>3.25</v>
      </c>
      <c r="T76" s="26">
        <v>85.3</v>
      </c>
      <c r="U76" s="26">
        <v>167</v>
      </c>
      <c r="V76" s="26">
        <v>171</v>
      </c>
      <c r="W76" s="26">
        <v>84.2</v>
      </c>
      <c r="X76" s="26">
        <v>24790</v>
      </c>
      <c r="Y76" s="26">
        <v>71653</v>
      </c>
      <c r="Z76" s="26">
        <v>2.8000000000000001E-2</v>
      </c>
      <c r="AA76" s="40" t="s">
        <v>122</v>
      </c>
      <c r="AB76" s="40" t="s">
        <v>122</v>
      </c>
      <c r="AC76" s="104">
        <f t="shared" si="1"/>
        <v>11.9</v>
      </c>
    </row>
    <row r="77" spans="1:29" x14ac:dyDescent="0.25">
      <c r="A77" s="26" t="s">
        <v>149</v>
      </c>
      <c r="B77" s="26">
        <v>160</v>
      </c>
      <c r="C77" s="26">
        <v>146</v>
      </c>
      <c r="D77" s="26">
        <v>22</v>
      </c>
      <c r="E77" s="26">
        <v>92</v>
      </c>
      <c r="F77" s="26">
        <v>13</v>
      </c>
      <c r="G77" s="26">
        <v>12</v>
      </c>
      <c r="H77" s="26">
        <v>3.32</v>
      </c>
      <c r="I77" s="26">
        <v>7.08</v>
      </c>
      <c r="J77" s="26">
        <v>80.599999999999994</v>
      </c>
      <c r="K77" s="26">
        <v>63.2</v>
      </c>
      <c r="L77" s="26">
        <v>3290</v>
      </c>
      <c r="M77" s="26">
        <v>411</v>
      </c>
      <c r="N77" s="26">
        <v>6.39</v>
      </c>
      <c r="O77" s="26">
        <v>247</v>
      </c>
      <c r="P77" s="26">
        <v>494</v>
      </c>
      <c r="Q77" s="26">
        <v>1140</v>
      </c>
      <c r="R77" s="26">
        <v>157</v>
      </c>
      <c r="S77" s="26">
        <v>3.76</v>
      </c>
      <c r="T77" s="26">
        <v>120</v>
      </c>
      <c r="U77" s="26">
        <v>236</v>
      </c>
      <c r="V77" s="26">
        <v>239</v>
      </c>
      <c r="W77" s="26">
        <v>112</v>
      </c>
      <c r="X77" s="26">
        <v>54330</v>
      </c>
      <c r="Y77" s="26">
        <v>63849</v>
      </c>
      <c r="Z77" s="26">
        <v>4.2999999999999997E-2</v>
      </c>
      <c r="AA77" s="40" t="s">
        <v>122</v>
      </c>
      <c r="AB77" s="40" t="s">
        <v>122</v>
      </c>
      <c r="AC77" s="104">
        <f t="shared" si="1"/>
        <v>13.8</v>
      </c>
    </row>
    <row r="78" spans="1:29" x14ac:dyDescent="0.25">
      <c r="A78" s="26" t="s">
        <v>150</v>
      </c>
      <c r="B78" s="26">
        <v>180</v>
      </c>
      <c r="C78" s="26">
        <v>166</v>
      </c>
      <c r="D78" s="26">
        <v>23</v>
      </c>
      <c r="E78" s="26">
        <v>104</v>
      </c>
      <c r="F78" s="26">
        <v>14</v>
      </c>
      <c r="G78" s="26">
        <v>15</v>
      </c>
      <c r="H78" s="26">
        <v>3.61</v>
      </c>
      <c r="I78" s="26">
        <v>7.43</v>
      </c>
      <c r="J78" s="26">
        <v>97.1</v>
      </c>
      <c r="K78" s="26">
        <v>76.2</v>
      </c>
      <c r="L78" s="26">
        <v>5100</v>
      </c>
      <c r="M78" s="26">
        <v>566</v>
      </c>
      <c r="N78" s="26">
        <v>7.25</v>
      </c>
      <c r="O78" s="26">
        <v>337</v>
      </c>
      <c r="P78" s="26">
        <v>674</v>
      </c>
      <c r="Q78" s="26">
        <v>1760</v>
      </c>
      <c r="R78" s="26">
        <v>212</v>
      </c>
      <c r="S78" s="26">
        <v>4.26</v>
      </c>
      <c r="T78" s="26">
        <v>162</v>
      </c>
      <c r="U78" s="26">
        <v>318</v>
      </c>
      <c r="V78" s="26">
        <v>323</v>
      </c>
      <c r="W78" s="26">
        <v>147</v>
      </c>
      <c r="X78" s="26">
        <v>108100</v>
      </c>
      <c r="Y78" s="26">
        <v>58246</v>
      </c>
      <c r="Z78" s="26">
        <v>6.0999999999999999E-2</v>
      </c>
      <c r="AA78" s="40" t="s">
        <v>122</v>
      </c>
      <c r="AB78" s="40" t="s">
        <v>122</v>
      </c>
      <c r="AC78" s="104">
        <f t="shared" si="1"/>
        <v>15.7</v>
      </c>
    </row>
    <row r="79" spans="1:29" x14ac:dyDescent="0.25">
      <c r="A79" s="26" t="s">
        <v>151</v>
      </c>
      <c r="B79" s="26">
        <v>200</v>
      </c>
      <c r="C79" s="26">
        <v>186</v>
      </c>
      <c r="D79" s="26">
        <v>24</v>
      </c>
      <c r="E79" s="26">
        <v>122</v>
      </c>
      <c r="F79" s="26">
        <v>14.5</v>
      </c>
      <c r="G79" s="26">
        <v>15</v>
      </c>
      <c r="H79" s="26">
        <v>3.88</v>
      </c>
      <c r="I79" s="26">
        <v>8.41</v>
      </c>
      <c r="J79" s="26">
        <v>113</v>
      </c>
      <c r="K79" s="26">
        <v>88.9</v>
      </c>
      <c r="L79" s="26">
        <v>7480</v>
      </c>
      <c r="M79" s="26">
        <v>748</v>
      </c>
      <c r="N79" s="26">
        <v>8.14</v>
      </c>
      <c r="O79" s="26">
        <v>442</v>
      </c>
      <c r="P79" s="26">
        <v>884</v>
      </c>
      <c r="Q79" s="26">
        <v>2580</v>
      </c>
      <c r="R79" s="26">
        <v>277</v>
      </c>
      <c r="S79" s="26">
        <v>4.78</v>
      </c>
      <c r="T79" s="26">
        <v>212</v>
      </c>
      <c r="U79" s="26">
        <v>416</v>
      </c>
      <c r="V79" s="26">
        <v>423</v>
      </c>
      <c r="W79" s="26">
        <v>187</v>
      </c>
      <c r="X79" s="26">
        <v>199300</v>
      </c>
      <c r="Y79" s="26">
        <v>53624</v>
      </c>
      <c r="Z79" s="26">
        <v>8.3000000000000004E-2</v>
      </c>
      <c r="AA79" s="40" t="s">
        <v>122</v>
      </c>
      <c r="AB79" s="40" t="s">
        <v>122</v>
      </c>
      <c r="AC79" s="104">
        <f t="shared" si="1"/>
        <v>17.600000000000001</v>
      </c>
    </row>
    <row r="80" spans="1:29" x14ac:dyDescent="0.25">
      <c r="A80" s="26" t="s">
        <v>152</v>
      </c>
      <c r="B80" s="26">
        <v>220</v>
      </c>
      <c r="C80" s="26">
        <v>206</v>
      </c>
      <c r="D80" s="26">
        <v>25</v>
      </c>
      <c r="E80" s="26">
        <v>134</v>
      </c>
      <c r="F80" s="26">
        <v>15</v>
      </c>
      <c r="G80" s="26">
        <v>18</v>
      </c>
      <c r="H80" s="26">
        <v>4.12</v>
      </c>
      <c r="I80" s="26">
        <v>8.93</v>
      </c>
      <c r="J80" s="26">
        <v>131</v>
      </c>
      <c r="K80" s="26">
        <v>103</v>
      </c>
      <c r="L80" s="26">
        <v>10640</v>
      </c>
      <c r="M80" s="26">
        <v>967</v>
      </c>
      <c r="N80" s="26">
        <v>9.01</v>
      </c>
      <c r="O80" s="26">
        <v>568</v>
      </c>
      <c r="P80" s="26">
        <v>1136</v>
      </c>
      <c r="Q80" s="26">
        <v>3650</v>
      </c>
      <c r="R80" s="26">
        <v>354</v>
      </c>
      <c r="S80" s="26">
        <v>5.28</v>
      </c>
      <c r="T80" s="26">
        <v>270</v>
      </c>
      <c r="U80" s="26">
        <v>532</v>
      </c>
      <c r="V80" s="26">
        <v>540</v>
      </c>
      <c r="W80" s="26">
        <v>234</v>
      </c>
      <c r="X80" s="26">
        <v>346300</v>
      </c>
      <c r="Y80" s="26">
        <v>49946</v>
      </c>
      <c r="Z80" s="26">
        <v>0.109</v>
      </c>
      <c r="AA80" s="40" t="s">
        <v>122</v>
      </c>
      <c r="AB80" s="40" t="s">
        <v>122</v>
      </c>
      <c r="AC80" s="104">
        <f t="shared" si="1"/>
        <v>19.5</v>
      </c>
    </row>
    <row r="81" spans="1:29" x14ac:dyDescent="0.25">
      <c r="A81" s="26" t="s">
        <v>153</v>
      </c>
      <c r="B81" s="26">
        <v>240</v>
      </c>
      <c r="C81" s="26">
        <v>226</v>
      </c>
      <c r="D81" s="26">
        <v>26</v>
      </c>
      <c r="E81" s="26">
        <v>152</v>
      </c>
      <c r="F81" s="26">
        <v>15.5</v>
      </c>
      <c r="G81" s="26">
        <v>18</v>
      </c>
      <c r="H81" s="26">
        <v>4.3499999999999996</v>
      </c>
      <c r="I81" s="26">
        <v>9.81</v>
      </c>
      <c r="J81" s="26">
        <v>149</v>
      </c>
      <c r="K81" s="26">
        <v>117</v>
      </c>
      <c r="L81" s="26">
        <v>14600</v>
      </c>
      <c r="M81" s="26">
        <v>1220</v>
      </c>
      <c r="N81" s="26">
        <v>9.9</v>
      </c>
      <c r="O81" s="26">
        <v>710</v>
      </c>
      <c r="P81" s="26">
        <v>1420</v>
      </c>
      <c r="Q81" s="26">
        <v>5010</v>
      </c>
      <c r="R81" s="26">
        <v>444</v>
      </c>
      <c r="S81" s="26">
        <v>5.8</v>
      </c>
      <c r="T81" s="26">
        <v>338</v>
      </c>
      <c r="U81" s="26">
        <v>666</v>
      </c>
      <c r="V81" s="26">
        <v>675</v>
      </c>
      <c r="W81" s="26">
        <v>288</v>
      </c>
      <c r="X81" s="26">
        <v>572700</v>
      </c>
      <c r="Y81" s="26">
        <v>46881</v>
      </c>
      <c r="Z81" s="26">
        <v>0.13800000000000001</v>
      </c>
      <c r="AA81" s="40" t="s">
        <v>122</v>
      </c>
      <c r="AB81" s="40" t="s">
        <v>122</v>
      </c>
      <c r="AC81" s="104">
        <f t="shared" si="1"/>
        <v>21.4</v>
      </c>
    </row>
    <row r="82" spans="1:29" x14ac:dyDescent="0.25">
      <c r="A82" s="26" t="s">
        <v>154</v>
      </c>
      <c r="B82" s="26">
        <v>270</v>
      </c>
      <c r="C82" s="26">
        <v>248</v>
      </c>
      <c r="D82" s="26">
        <v>32</v>
      </c>
      <c r="E82" s="26">
        <v>164</v>
      </c>
      <c r="F82" s="26">
        <v>18</v>
      </c>
      <c r="G82" s="26">
        <v>21</v>
      </c>
      <c r="H82" s="26">
        <v>3.88</v>
      </c>
      <c r="I82" s="26">
        <v>9.11</v>
      </c>
      <c r="J82" s="26">
        <v>200</v>
      </c>
      <c r="K82" s="26">
        <v>157</v>
      </c>
      <c r="L82" s="26">
        <v>24290</v>
      </c>
      <c r="M82" s="26">
        <v>1800</v>
      </c>
      <c r="N82" s="26">
        <v>11</v>
      </c>
      <c r="O82" s="26">
        <v>1060</v>
      </c>
      <c r="P82" s="26">
        <v>2120</v>
      </c>
      <c r="Q82" s="26">
        <v>8150</v>
      </c>
      <c r="R82" s="26">
        <v>657</v>
      </c>
      <c r="S82" s="26">
        <v>6.38</v>
      </c>
      <c r="T82" s="26">
        <v>500</v>
      </c>
      <c r="U82" s="26">
        <v>986</v>
      </c>
      <c r="V82" s="26">
        <v>1001</v>
      </c>
      <c r="W82" s="26">
        <v>582</v>
      </c>
      <c r="X82" s="26">
        <v>1152000</v>
      </c>
      <c r="Y82" s="26">
        <v>52311</v>
      </c>
      <c r="Z82" s="26">
        <v>9.0999999999999998E-2</v>
      </c>
      <c r="AA82" s="40" t="s">
        <v>122</v>
      </c>
      <c r="AB82" s="40" t="s">
        <v>122</v>
      </c>
      <c r="AC82" s="104">
        <f t="shared" si="1"/>
        <v>23.8</v>
      </c>
    </row>
    <row r="83" spans="1:29" x14ac:dyDescent="0.25">
      <c r="A83" s="26" t="s">
        <v>155</v>
      </c>
      <c r="B83" s="26">
        <v>290</v>
      </c>
      <c r="C83" s="26">
        <v>268</v>
      </c>
      <c r="D83" s="26">
        <v>32.5</v>
      </c>
      <c r="E83" s="26">
        <v>177</v>
      </c>
      <c r="F83" s="26">
        <v>18</v>
      </c>
      <c r="G83" s="26">
        <v>24</v>
      </c>
      <c r="H83" s="26">
        <v>4.12</v>
      </c>
      <c r="I83" s="26">
        <v>9.83</v>
      </c>
      <c r="J83" s="26">
        <v>220</v>
      </c>
      <c r="K83" s="26">
        <v>172</v>
      </c>
      <c r="L83" s="26">
        <v>31310</v>
      </c>
      <c r="M83" s="26">
        <v>2160</v>
      </c>
      <c r="N83" s="26">
        <v>11.9</v>
      </c>
      <c r="O83" s="26">
        <v>1260</v>
      </c>
      <c r="P83" s="26">
        <v>2520</v>
      </c>
      <c r="Q83" s="26">
        <v>10450</v>
      </c>
      <c r="R83" s="26">
        <v>780</v>
      </c>
      <c r="S83" s="26">
        <v>6.89</v>
      </c>
      <c r="T83" s="26">
        <v>593</v>
      </c>
      <c r="U83" s="26">
        <v>1170</v>
      </c>
      <c r="V83" s="26">
        <v>1185</v>
      </c>
      <c r="W83" s="26">
        <v>657</v>
      </c>
      <c r="X83" s="26">
        <v>1728000</v>
      </c>
      <c r="Y83" s="26">
        <v>48587</v>
      </c>
      <c r="Z83" s="26">
        <v>0.12</v>
      </c>
      <c r="AA83" s="40" t="s">
        <v>122</v>
      </c>
      <c r="AB83" s="40" t="s">
        <v>122</v>
      </c>
      <c r="AC83" s="104">
        <f t="shared" si="1"/>
        <v>25.75</v>
      </c>
    </row>
    <row r="84" spans="1:29" x14ac:dyDescent="0.25">
      <c r="A84" s="26" t="s">
        <v>156</v>
      </c>
      <c r="B84" s="26">
        <v>310</v>
      </c>
      <c r="C84" s="26">
        <v>288</v>
      </c>
      <c r="D84" s="26">
        <v>33</v>
      </c>
      <c r="E84" s="26">
        <v>196</v>
      </c>
      <c r="F84" s="26">
        <v>18.5</v>
      </c>
      <c r="G84" s="26">
        <v>24</v>
      </c>
      <c r="H84" s="26">
        <v>4.3600000000000003</v>
      </c>
      <c r="I84" s="26">
        <v>10.6</v>
      </c>
      <c r="J84" s="26">
        <v>240</v>
      </c>
      <c r="K84" s="26">
        <v>189</v>
      </c>
      <c r="L84" s="26">
        <v>39550</v>
      </c>
      <c r="M84" s="26">
        <v>2550</v>
      </c>
      <c r="N84" s="26">
        <v>12.8</v>
      </c>
      <c r="O84" s="26">
        <v>1480</v>
      </c>
      <c r="P84" s="26">
        <v>2960</v>
      </c>
      <c r="Q84" s="26">
        <v>13160</v>
      </c>
      <c r="R84" s="26">
        <v>914</v>
      </c>
      <c r="S84" s="26">
        <v>7.4</v>
      </c>
      <c r="T84" s="26">
        <v>695</v>
      </c>
      <c r="U84" s="26">
        <v>1371</v>
      </c>
      <c r="V84" s="26">
        <v>1389</v>
      </c>
      <c r="W84" s="26">
        <v>741</v>
      </c>
      <c r="X84" s="26">
        <v>2520000</v>
      </c>
      <c r="Y84" s="26">
        <v>45664</v>
      </c>
      <c r="Z84" s="26">
        <v>0.152</v>
      </c>
      <c r="AA84" s="40" t="s">
        <v>122</v>
      </c>
      <c r="AB84" s="40" t="s">
        <v>122</v>
      </c>
      <c r="AC84" s="104">
        <f t="shared" si="1"/>
        <v>27.7</v>
      </c>
    </row>
    <row r="85" spans="1:29" x14ac:dyDescent="0.25">
      <c r="A85" s="26" t="s">
        <v>157</v>
      </c>
      <c r="B85" s="26">
        <v>340</v>
      </c>
      <c r="C85" s="26">
        <v>310</v>
      </c>
      <c r="D85" s="26">
        <v>39</v>
      </c>
      <c r="E85" s="26">
        <v>208</v>
      </c>
      <c r="F85" s="26">
        <v>21</v>
      </c>
      <c r="G85" s="26">
        <v>27</v>
      </c>
      <c r="H85" s="26">
        <v>3.97</v>
      </c>
      <c r="I85" s="26">
        <v>9.9</v>
      </c>
      <c r="J85" s="26">
        <v>303</v>
      </c>
      <c r="K85" s="26">
        <v>238</v>
      </c>
      <c r="L85" s="26">
        <v>59200</v>
      </c>
      <c r="M85" s="26">
        <v>3480</v>
      </c>
      <c r="N85" s="26">
        <v>14</v>
      </c>
      <c r="O85" s="26">
        <v>2040</v>
      </c>
      <c r="P85" s="26">
        <v>4080</v>
      </c>
      <c r="Q85" s="26">
        <v>19400</v>
      </c>
      <c r="R85" s="26">
        <v>1250</v>
      </c>
      <c r="S85" s="26">
        <v>8</v>
      </c>
      <c r="T85" s="26">
        <v>951</v>
      </c>
      <c r="U85" s="26">
        <v>1875</v>
      </c>
      <c r="V85" s="26">
        <v>1903</v>
      </c>
      <c r="W85" s="26">
        <v>1307</v>
      </c>
      <c r="X85" s="26">
        <v>4386000</v>
      </c>
      <c r="Y85" s="26">
        <v>49912</v>
      </c>
      <c r="Z85" s="26">
        <v>0.108</v>
      </c>
      <c r="AA85" s="40" t="s">
        <v>122</v>
      </c>
      <c r="AB85" s="40" t="s">
        <v>122</v>
      </c>
      <c r="AC85" s="104">
        <f t="shared" si="1"/>
        <v>30.1</v>
      </c>
    </row>
    <row r="86" spans="1:29" x14ac:dyDescent="0.25">
      <c r="A86" s="26" t="s">
        <v>158</v>
      </c>
      <c r="B86" s="26">
        <v>320</v>
      </c>
      <c r="C86" s="26">
        <v>305</v>
      </c>
      <c r="D86" s="26">
        <v>29</v>
      </c>
      <c r="E86" s="26">
        <v>208</v>
      </c>
      <c r="F86" s="26">
        <v>16</v>
      </c>
      <c r="G86" s="26">
        <v>27</v>
      </c>
      <c r="H86" s="26">
        <v>5.26</v>
      </c>
      <c r="I86" s="26">
        <v>13</v>
      </c>
      <c r="J86" s="26">
        <v>225</v>
      </c>
      <c r="K86" s="26">
        <v>177</v>
      </c>
      <c r="L86" s="26">
        <v>40950</v>
      </c>
      <c r="M86" s="26">
        <v>2550</v>
      </c>
      <c r="N86" s="26">
        <v>13.5</v>
      </c>
      <c r="O86" s="26">
        <v>1460</v>
      </c>
      <c r="P86" s="26">
        <v>2920</v>
      </c>
      <c r="Q86" s="26">
        <v>13740</v>
      </c>
      <c r="R86" s="26">
        <v>901</v>
      </c>
      <c r="S86" s="26">
        <v>7.81</v>
      </c>
      <c r="T86" s="26">
        <v>683</v>
      </c>
      <c r="U86" s="26">
        <v>1351</v>
      </c>
      <c r="V86" s="26">
        <v>1366</v>
      </c>
      <c r="W86" s="26">
        <v>532</v>
      </c>
      <c r="X86" s="26">
        <v>2903000</v>
      </c>
      <c r="Y86" s="26">
        <v>37440</v>
      </c>
      <c r="Z86" s="26">
        <v>0.32600000000000001</v>
      </c>
      <c r="AA86" s="40" t="s">
        <v>122</v>
      </c>
      <c r="AB86" s="40" t="s">
        <v>122</v>
      </c>
      <c r="AC86" s="104">
        <f t="shared" si="1"/>
        <v>29.1</v>
      </c>
    </row>
    <row r="87" spans="1:29" x14ac:dyDescent="0.25">
      <c r="A87" s="26" t="s">
        <v>159</v>
      </c>
      <c r="B87" s="26">
        <v>359</v>
      </c>
      <c r="C87" s="26">
        <v>309</v>
      </c>
      <c r="D87" s="26">
        <v>40</v>
      </c>
      <c r="E87" s="26">
        <v>225</v>
      </c>
      <c r="F87" s="26">
        <v>21</v>
      </c>
      <c r="G87" s="26">
        <v>27</v>
      </c>
      <c r="H87" s="26">
        <v>3.86</v>
      </c>
      <c r="I87" s="26">
        <v>10.7</v>
      </c>
      <c r="J87" s="26">
        <v>312</v>
      </c>
      <c r="K87" s="26">
        <v>245</v>
      </c>
      <c r="L87" s="26">
        <v>68130</v>
      </c>
      <c r="M87" s="26">
        <v>3480</v>
      </c>
      <c r="N87" s="26">
        <v>14.8</v>
      </c>
      <c r="O87" s="26">
        <v>2220</v>
      </c>
      <c r="P87" s="26">
        <v>4440</v>
      </c>
      <c r="Q87" s="26">
        <v>19710</v>
      </c>
      <c r="R87" s="26">
        <v>1280</v>
      </c>
      <c r="S87" s="26">
        <v>7.95</v>
      </c>
      <c r="T87" s="26">
        <v>970</v>
      </c>
      <c r="U87" s="26">
        <v>1920</v>
      </c>
      <c r="V87" s="26">
        <v>1940</v>
      </c>
      <c r="W87" s="26">
        <v>1405</v>
      </c>
      <c r="X87" s="26">
        <v>5004000</v>
      </c>
      <c r="Y87" s="26">
        <v>52508</v>
      </c>
      <c r="Z87" s="26">
        <v>0.105</v>
      </c>
      <c r="AA87" s="40" t="s">
        <v>122</v>
      </c>
      <c r="AB87" s="40" t="s">
        <v>122</v>
      </c>
      <c r="AC87" s="104">
        <f t="shared" si="1"/>
        <v>31.9</v>
      </c>
    </row>
    <row r="88" spans="1:29" x14ac:dyDescent="0.25">
      <c r="A88" s="26" t="s">
        <v>160</v>
      </c>
      <c r="B88" s="26">
        <v>377</v>
      </c>
      <c r="C88" s="26">
        <v>309</v>
      </c>
      <c r="D88" s="26">
        <v>40</v>
      </c>
      <c r="E88" s="26">
        <v>243</v>
      </c>
      <c r="F88" s="26">
        <v>21</v>
      </c>
      <c r="G88" s="26">
        <v>27</v>
      </c>
      <c r="H88" s="26">
        <v>3.86</v>
      </c>
      <c r="I88" s="26">
        <v>11.6</v>
      </c>
      <c r="J88" s="26">
        <v>316</v>
      </c>
      <c r="K88" s="26">
        <v>248</v>
      </c>
      <c r="L88" s="26">
        <v>76370</v>
      </c>
      <c r="M88" s="26">
        <v>4050</v>
      </c>
      <c r="N88" s="26">
        <v>15.5</v>
      </c>
      <c r="O88" s="26">
        <v>2360</v>
      </c>
      <c r="P88" s="26">
        <v>4720</v>
      </c>
      <c r="Q88" s="26">
        <v>19710</v>
      </c>
      <c r="R88" s="26">
        <v>1280</v>
      </c>
      <c r="S88" s="26">
        <v>7.9</v>
      </c>
      <c r="T88" s="26">
        <v>971</v>
      </c>
      <c r="U88" s="26">
        <v>1920</v>
      </c>
      <c r="V88" s="26">
        <v>1942</v>
      </c>
      <c r="W88" s="26">
        <v>1410</v>
      </c>
      <c r="X88" s="26">
        <v>5585000</v>
      </c>
      <c r="Y88" s="26">
        <v>45496</v>
      </c>
      <c r="Z88" s="26">
        <v>0.157</v>
      </c>
      <c r="AA88" s="40" t="s">
        <v>122</v>
      </c>
      <c r="AB88" s="40" t="s">
        <v>122</v>
      </c>
      <c r="AC88" s="104">
        <f t="shared" si="1"/>
        <v>33.700000000000003</v>
      </c>
    </row>
    <row r="89" spans="1:29" x14ac:dyDescent="0.25">
      <c r="A89" s="26" t="s">
        <v>161</v>
      </c>
      <c r="B89" s="26">
        <v>395</v>
      </c>
      <c r="C89" s="26">
        <v>308</v>
      </c>
      <c r="D89" s="26">
        <v>40</v>
      </c>
      <c r="E89" s="26">
        <v>261</v>
      </c>
      <c r="F89" s="26">
        <v>21</v>
      </c>
      <c r="G89" s="26">
        <v>27</v>
      </c>
      <c r="H89" s="26">
        <v>3.85</v>
      </c>
      <c r="I89" s="26">
        <v>12.4</v>
      </c>
      <c r="J89" s="26">
        <v>319</v>
      </c>
      <c r="K89" s="26">
        <v>250</v>
      </c>
      <c r="L89" s="26">
        <v>84870</v>
      </c>
      <c r="M89" s="26">
        <v>4300</v>
      </c>
      <c r="N89" s="26">
        <v>16.3</v>
      </c>
      <c r="O89" s="26">
        <v>2490</v>
      </c>
      <c r="P89" s="26">
        <v>4980</v>
      </c>
      <c r="Q89" s="26">
        <v>19520</v>
      </c>
      <c r="R89" s="26">
        <v>1270</v>
      </c>
      <c r="S89" s="26">
        <v>7.82</v>
      </c>
      <c r="T89" s="26">
        <v>966</v>
      </c>
      <c r="U89" s="26">
        <v>1905</v>
      </c>
      <c r="V89" s="26">
        <v>1932</v>
      </c>
      <c r="W89" s="26">
        <v>1411</v>
      </c>
      <c r="X89" s="26">
        <v>6137000</v>
      </c>
      <c r="Y89" s="26">
        <v>43073</v>
      </c>
      <c r="Z89" s="26">
        <v>0.19600000000000001</v>
      </c>
      <c r="AA89" s="40" t="s">
        <v>122</v>
      </c>
      <c r="AB89" s="40" t="s">
        <v>122</v>
      </c>
      <c r="AC89" s="104">
        <f t="shared" si="1"/>
        <v>35.5</v>
      </c>
    </row>
    <row r="90" spans="1:29" x14ac:dyDescent="0.25">
      <c r="A90" s="26" t="s">
        <v>162</v>
      </c>
      <c r="B90" s="26">
        <v>432</v>
      </c>
      <c r="C90" s="26">
        <v>307</v>
      </c>
      <c r="D90" s="26">
        <v>40</v>
      </c>
      <c r="E90" s="26">
        <v>298</v>
      </c>
      <c r="F90" s="26">
        <v>21</v>
      </c>
      <c r="G90" s="26">
        <v>27</v>
      </c>
      <c r="H90" s="26">
        <v>3.84</v>
      </c>
      <c r="I90" s="26">
        <v>14.2</v>
      </c>
      <c r="J90" s="26">
        <v>326</v>
      </c>
      <c r="K90" s="26">
        <v>256</v>
      </c>
      <c r="L90" s="26">
        <v>104100</v>
      </c>
      <c r="M90" s="26">
        <v>4820</v>
      </c>
      <c r="N90" s="26">
        <v>17.899999999999999</v>
      </c>
      <c r="O90" s="26">
        <v>2790</v>
      </c>
      <c r="P90" s="26">
        <v>5580</v>
      </c>
      <c r="Q90" s="26">
        <v>19340</v>
      </c>
      <c r="R90" s="26">
        <v>1260</v>
      </c>
      <c r="S90" s="26">
        <v>7.7</v>
      </c>
      <c r="T90" s="26">
        <v>962</v>
      </c>
      <c r="U90" s="26">
        <v>1890</v>
      </c>
      <c r="V90" s="26">
        <v>1924</v>
      </c>
      <c r="W90" s="26">
        <v>1419</v>
      </c>
      <c r="X90" s="26">
        <v>7410000</v>
      </c>
      <c r="Y90" s="26">
        <v>38944</v>
      </c>
      <c r="Z90" s="26">
        <v>0.29699999999999999</v>
      </c>
      <c r="AA90" s="40" t="s">
        <v>122</v>
      </c>
      <c r="AB90" s="40" t="s">
        <v>122</v>
      </c>
      <c r="AC90" s="104">
        <f t="shared" si="1"/>
        <v>39.200000000000003</v>
      </c>
    </row>
    <row r="91" spans="1:29" x14ac:dyDescent="0.25">
      <c r="A91" s="26" t="s">
        <v>163</v>
      </c>
      <c r="B91" s="26">
        <v>478</v>
      </c>
      <c r="C91" s="26">
        <v>307</v>
      </c>
      <c r="D91" s="26">
        <v>40</v>
      </c>
      <c r="E91" s="26">
        <v>344</v>
      </c>
      <c r="F91" s="26">
        <v>21</v>
      </c>
      <c r="G91" s="26">
        <v>27</v>
      </c>
      <c r="H91" s="26">
        <v>3.84</v>
      </c>
      <c r="I91" s="26">
        <v>16.399999999999999</v>
      </c>
      <c r="J91" s="26">
        <v>335</v>
      </c>
      <c r="K91" s="26">
        <v>263</v>
      </c>
      <c r="L91" s="26">
        <v>131500</v>
      </c>
      <c r="M91" s="26">
        <v>5500</v>
      </c>
      <c r="N91" s="26">
        <v>19.8</v>
      </c>
      <c r="O91" s="26">
        <v>3170</v>
      </c>
      <c r="P91" s="26">
        <v>6340</v>
      </c>
      <c r="Q91" s="26">
        <v>19340</v>
      </c>
      <c r="R91" s="26">
        <v>1260</v>
      </c>
      <c r="S91" s="26">
        <v>7.6</v>
      </c>
      <c r="T91" s="26">
        <v>964</v>
      </c>
      <c r="U91" s="26">
        <v>1890</v>
      </c>
      <c r="V91" s="26">
        <v>1929</v>
      </c>
      <c r="W91" s="26">
        <v>1433</v>
      </c>
      <c r="X91" s="26">
        <v>9252000</v>
      </c>
      <c r="Y91" s="26">
        <v>34770</v>
      </c>
      <c r="Z91" s="26">
        <v>0.47299999999999998</v>
      </c>
      <c r="AA91" s="40" t="s">
        <v>122</v>
      </c>
      <c r="AB91" s="40" t="s">
        <v>122</v>
      </c>
      <c r="AC91" s="104">
        <f t="shared" si="1"/>
        <v>43.8</v>
      </c>
    </row>
    <row r="92" spans="1:29" x14ac:dyDescent="0.25">
      <c r="A92" s="26" t="s">
        <v>164</v>
      </c>
      <c r="B92" s="26">
        <v>524</v>
      </c>
      <c r="C92" s="26">
        <v>306</v>
      </c>
      <c r="D92" s="26">
        <v>40</v>
      </c>
      <c r="E92" s="26">
        <v>390</v>
      </c>
      <c r="F92" s="26">
        <v>21</v>
      </c>
      <c r="G92" s="26">
        <v>27</v>
      </c>
      <c r="H92" s="26">
        <v>3.83</v>
      </c>
      <c r="I92" s="26">
        <v>18.600000000000001</v>
      </c>
      <c r="J92" s="26">
        <v>344</v>
      </c>
      <c r="K92" s="26">
        <v>270</v>
      </c>
      <c r="L92" s="26">
        <v>161900</v>
      </c>
      <c r="M92" s="26">
        <v>6180</v>
      </c>
      <c r="N92" s="26">
        <v>21.7</v>
      </c>
      <c r="O92" s="26">
        <v>3550</v>
      </c>
      <c r="P92" s="26">
        <v>7100</v>
      </c>
      <c r="Q92" s="26">
        <v>19150</v>
      </c>
      <c r="R92" s="26">
        <v>1250</v>
      </c>
      <c r="S92" s="26">
        <v>7.46</v>
      </c>
      <c r="T92" s="26">
        <v>961</v>
      </c>
      <c r="U92" s="26">
        <v>1875</v>
      </c>
      <c r="V92" s="26">
        <v>1922</v>
      </c>
      <c r="W92" s="26">
        <v>1443</v>
      </c>
      <c r="X92" s="26">
        <v>11487000</v>
      </c>
      <c r="Y92" s="26">
        <v>31465</v>
      </c>
      <c r="Z92" s="26">
        <v>0.73899999999999999</v>
      </c>
      <c r="AA92" s="40" t="s">
        <v>122</v>
      </c>
      <c r="AB92" s="40" t="s">
        <v>122</v>
      </c>
      <c r="AC92" s="104">
        <f t="shared" si="1"/>
        <v>48.4</v>
      </c>
    </row>
    <row r="93" spans="1:29" x14ac:dyDescent="0.25">
      <c r="A93" s="26" t="s">
        <v>165</v>
      </c>
      <c r="B93" s="26">
        <v>572</v>
      </c>
      <c r="C93" s="26">
        <v>306</v>
      </c>
      <c r="D93" s="26">
        <v>40</v>
      </c>
      <c r="E93" s="26">
        <v>438</v>
      </c>
      <c r="F93" s="26">
        <v>21</v>
      </c>
      <c r="G93" s="26">
        <v>27</v>
      </c>
      <c r="H93" s="26">
        <v>3.83</v>
      </c>
      <c r="I93" s="26">
        <v>20.9</v>
      </c>
      <c r="J93" s="26">
        <v>354</v>
      </c>
      <c r="K93" s="26">
        <v>278</v>
      </c>
      <c r="L93" s="26">
        <v>198000</v>
      </c>
      <c r="M93" s="26">
        <v>6920</v>
      </c>
      <c r="N93" s="26">
        <v>23.6</v>
      </c>
      <c r="O93" s="26">
        <v>3970</v>
      </c>
      <c r="P93" s="26">
        <v>7940</v>
      </c>
      <c r="Q93" s="26">
        <v>19160</v>
      </c>
      <c r="R93" s="26">
        <v>1250</v>
      </c>
      <c r="S93" s="26">
        <v>7.36</v>
      </c>
      <c r="T93" s="26">
        <v>963</v>
      </c>
      <c r="U93" s="26">
        <v>1875</v>
      </c>
      <c r="V93" s="26">
        <v>1927</v>
      </c>
      <c r="W93" s="26">
        <v>1457</v>
      </c>
      <c r="X93" s="26">
        <v>13516000</v>
      </c>
      <c r="Y93" s="26">
        <v>28652</v>
      </c>
      <c r="Z93" s="26">
        <v>1.0669999999999999</v>
      </c>
      <c r="AA93" s="40" t="s">
        <v>122</v>
      </c>
      <c r="AB93" s="40" t="s">
        <v>122</v>
      </c>
      <c r="AC93" s="104">
        <f t="shared" si="1"/>
        <v>53.2</v>
      </c>
    </row>
    <row r="94" spans="1:29" x14ac:dyDescent="0.25">
      <c r="A94" s="26" t="s">
        <v>166</v>
      </c>
      <c r="B94" s="26">
        <v>620</v>
      </c>
      <c r="C94" s="26">
        <v>305</v>
      </c>
      <c r="D94" s="26">
        <v>40</v>
      </c>
      <c r="E94" s="26">
        <v>486</v>
      </c>
      <c r="F94" s="26">
        <v>21</v>
      </c>
      <c r="G94" s="26">
        <v>27</v>
      </c>
      <c r="H94" s="26">
        <v>3.81</v>
      </c>
      <c r="I94" s="26">
        <v>23.1</v>
      </c>
      <c r="J94" s="26">
        <v>364</v>
      </c>
      <c r="K94" s="26">
        <v>285</v>
      </c>
      <c r="L94" s="26">
        <v>237400</v>
      </c>
      <c r="M94" s="26">
        <v>7660</v>
      </c>
      <c r="N94" s="26">
        <v>25.5</v>
      </c>
      <c r="O94" s="26">
        <v>4390</v>
      </c>
      <c r="P94" s="26">
        <v>8780</v>
      </c>
      <c r="Q94" s="26">
        <v>18980</v>
      </c>
      <c r="R94" s="26">
        <v>1240</v>
      </c>
      <c r="S94" s="26">
        <v>7.22</v>
      </c>
      <c r="T94" s="26">
        <v>960</v>
      </c>
      <c r="U94" s="26">
        <v>1860</v>
      </c>
      <c r="V94" s="26">
        <v>1920</v>
      </c>
      <c r="W94" s="26">
        <v>1468</v>
      </c>
      <c r="X94" s="26">
        <v>15908000</v>
      </c>
      <c r="Y94" s="26">
        <v>26342</v>
      </c>
      <c r="Z94" s="26">
        <v>1.532</v>
      </c>
      <c r="AA94" s="40" t="s">
        <v>122</v>
      </c>
      <c r="AB94" s="40" t="s">
        <v>122</v>
      </c>
      <c r="AC94" s="104">
        <f t="shared" si="1"/>
        <v>58</v>
      </c>
    </row>
    <row r="95" spans="1:29" x14ac:dyDescent="0.25">
      <c r="A95" s="26" t="s">
        <v>167</v>
      </c>
      <c r="B95" s="26">
        <v>668</v>
      </c>
      <c r="C95" s="26">
        <v>305</v>
      </c>
      <c r="D95" s="26">
        <v>40</v>
      </c>
      <c r="E95" s="26">
        <v>534</v>
      </c>
      <c r="F95" s="26">
        <v>21</v>
      </c>
      <c r="G95" s="26">
        <v>27</v>
      </c>
      <c r="H95" s="26">
        <v>3.81</v>
      </c>
      <c r="I95" s="26">
        <v>25.4</v>
      </c>
      <c r="J95" s="26">
        <v>374</v>
      </c>
      <c r="K95" s="26">
        <v>293</v>
      </c>
      <c r="L95" s="26">
        <v>281700</v>
      </c>
      <c r="M95" s="26">
        <v>8430</v>
      </c>
      <c r="N95" s="26">
        <v>27.4</v>
      </c>
      <c r="O95" s="26">
        <v>4830</v>
      </c>
      <c r="P95" s="26">
        <v>9660</v>
      </c>
      <c r="Q95" s="26">
        <v>18980</v>
      </c>
      <c r="R95" s="26">
        <v>1240</v>
      </c>
      <c r="S95" s="26">
        <v>7.12</v>
      </c>
      <c r="T95" s="26">
        <v>963</v>
      </c>
      <c r="U95" s="26">
        <v>1860</v>
      </c>
      <c r="V95" s="26">
        <v>1925</v>
      </c>
      <c r="W95" s="26">
        <v>1483</v>
      </c>
      <c r="X95" s="26">
        <v>18650000</v>
      </c>
      <c r="Y95" s="26">
        <v>24385</v>
      </c>
      <c r="Z95" s="26">
        <v>2.1309999999999998</v>
      </c>
      <c r="AA95" s="40" t="s">
        <v>122</v>
      </c>
      <c r="AB95" s="40" t="s">
        <v>122</v>
      </c>
      <c r="AC95" s="104">
        <f t="shared" si="1"/>
        <v>62.8</v>
      </c>
    </row>
    <row r="96" spans="1:29" x14ac:dyDescent="0.25">
      <c r="A96" s="26" t="s">
        <v>168</v>
      </c>
      <c r="B96" s="26">
        <v>716</v>
      </c>
      <c r="C96" s="26">
        <v>304</v>
      </c>
      <c r="D96" s="26">
        <v>40</v>
      </c>
      <c r="E96" s="26">
        <v>582</v>
      </c>
      <c r="F96" s="26">
        <v>21</v>
      </c>
      <c r="G96" s="26">
        <v>27</v>
      </c>
      <c r="H96" s="26">
        <v>3.8</v>
      </c>
      <c r="I96" s="26">
        <v>27.7</v>
      </c>
      <c r="J96" s="26">
        <v>383</v>
      </c>
      <c r="K96" s="26">
        <v>301</v>
      </c>
      <c r="L96" s="26">
        <v>329300</v>
      </c>
      <c r="M96" s="26">
        <v>9200</v>
      </c>
      <c r="N96" s="26">
        <v>29.3</v>
      </c>
      <c r="O96" s="26">
        <v>5270</v>
      </c>
      <c r="P96" s="26">
        <v>10540</v>
      </c>
      <c r="Q96" s="26">
        <v>18800</v>
      </c>
      <c r="R96" s="26">
        <v>1240</v>
      </c>
      <c r="S96" s="26">
        <v>7.01</v>
      </c>
      <c r="T96" s="26">
        <v>959</v>
      </c>
      <c r="U96" s="26">
        <v>1860</v>
      </c>
      <c r="V96" s="26">
        <v>1918</v>
      </c>
      <c r="W96" s="26">
        <v>1493</v>
      </c>
      <c r="X96" s="26">
        <v>21398000</v>
      </c>
      <c r="Y96" s="26">
        <v>22691</v>
      </c>
      <c r="Z96" s="26">
        <v>2.899</v>
      </c>
      <c r="AA96" s="40" t="s">
        <v>122</v>
      </c>
      <c r="AB96" s="40" t="s">
        <v>122</v>
      </c>
      <c r="AC96" s="104">
        <f t="shared" si="1"/>
        <v>67.599999999999994</v>
      </c>
    </row>
    <row r="97" spans="1:29" x14ac:dyDescent="0.25">
      <c r="A97" s="26" t="s">
        <v>169</v>
      </c>
      <c r="B97" s="26">
        <v>814</v>
      </c>
      <c r="C97" s="26">
        <v>303</v>
      </c>
      <c r="D97" s="26">
        <v>40</v>
      </c>
      <c r="E97" s="26">
        <v>674</v>
      </c>
      <c r="F97" s="26">
        <v>21</v>
      </c>
      <c r="G97" s="26">
        <v>30</v>
      </c>
      <c r="H97" s="26">
        <v>3.79</v>
      </c>
      <c r="I97" s="26">
        <v>32.1</v>
      </c>
      <c r="J97" s="26">
        <v>404</v>
      </c>
      <c r="K97" s="26">
        <v>317</v>
      </c>
      <c r="L97" s="26">
        <v>442600</v>
      </c>
      <c r="M97" s="26">
        <v>10870</v>
      </c>
      <c r="N97" s="26">
        <v>33.1</v>
      </c>
      <c r="O97" s="26">
        <v>6240</v>
      </c>
      <c r="P97" s="26">
        <v>12480</v>
      </c>
      <c r="Q97" s="26">
        <v>18630</v>
      </c>
      <c r="R97" s="26">
        <v>1230</v>
      </c>
      <c r="S97" s="26">
        <v>6.79</v>
      </c>
      <c r="T97" s="26">
        <v>959</v>
      </c>
      <c r="U97" s="26">
        <v>1845</v>
      </c>
      <c r="V97" s="26">
        <v>1917</v>
      </c>
      <c r="W97" s="26">
        <v>1519</v>
      </c>
      <c r="X97" s="26">
        <v>27750000</v>
      </c>
      <c r="Y97" s="26">
        <v>19895</v>
      </c>
      <c r="Z97" s="26">
        <v>5.117</v>
      </c>
      <c r="AA97" s="40" t="s">
        <v>122</v>
      </c>
      <c r="AB97" s="40" t="s">
        <v>122</v>
      </c>
      <c r="AC97" s="104">
        <f t="shared" si="1"/>
        <v>77.400000000000006</v>
      </c>
    </row>
    <row r="98" spans="1:29" x14ac:dyDescent="0.25">
      <c r="A98" s="26" t="s">
        <v>170</v>
      </c>
      <c r="B98" s="26">
        <v>910</v>
      </c>
      <c r="C98" s="26">
        <v>302</v>
      </c>
      <c r="D98" s="26">
        <v>40</v>
      </c>
      <c r="E98" s="26">
        <v>770</v>
      </c>
      <c r="F98" s="26">
        <v>21</v>
      </c>
      <c r="G98" s="26">
        <v>30</v>
      </c>
      <c r="H98" s="26">
        <v>3.78</v>
      </c>
      <c r="I98" s="26">
        <v>36.700000000000003</v>
      </c>
      <c r="J98" s="26">
        <v>424</v>
      </c>
      <c r="K98" s="26">
        <v>333</v>
      </c>
      <c r="L98" s="26">
        <v>570400</v>
      </c>
      <c r="M98" s="26">
        <v>12540</v>
      </c>
      <c r="N98" s="26">
        <v>36.700000000000003</v>
      </c>
      <c r="O98" s="26">
        <v>7220</v>
      </c>
      <c r="P98" s="26">
        <v>14440</v>
      </c>
      <c r="Q98" s="26">
        <v>18450</v>
      </c>
      <c r="R98" s="26">
        <v>1220</v>
      </c>
      <c r="S98" s="26">
        <v>6.6</v>
      </c>
      <c r="T98" s="26">
        <v>958</v>
      </c>
      <c r="U98" s="26">
        <v>1830</v>
      </c>
      <c r="V98" s="26">
        <v>1916</v>
      </c>
      <c r="W98" s="26">
        <v>1545</v>
      </c>
      <c r="X98" s="26">
        <v>34746000</v>
      </c>
      <c r="Y98" s="26">
        <v>17814</v>
      </c>
      <c r="Z98" s="26">
        <v>8.3290000000000006</v>
      </c>
      <c r="AA98" s="40" t="s">
        <v>122</v>
      </c>
      <c r="AB98" s="40" t="s">
        <v>122</v>
      </c>
      <c r="AC98" s="104">
        <f t="shared" si="1"/>
        <v>87</v>
      </c>
    </row>
    <row r="99" spans="1:29" x14ac:dyDescent="0.25">
      <c r="A99" s="26" t="s">
        <v>171</v>
      </c>
      <c r="B99" s="26">
        <v>1008</v>
      </c>
      <c r="C99" s="26">
        <v>302</v>
      </c>
      <c r="D99" s="26">
        <v>40</v>
      </c>
      <c r="E99" s="26">
        <v>868</v>
      </c>
      <c r="F99" s="26">
        <v>21</v>
      </c>
      <c r="G99" s="26">
        <v>30</v>
      </c>
      <c r="H99" s="26">
        <v>3.78</v>
      </c>
      <c r="I99" s="26">
        <v>41.3</v>
      </c>
      <c r="J99" s="26">
        <v>444</v>
      </c>
      <c r="K99" s="26">
        <v>349</v>
      </c>
      <c r="L99" s="26">
        <v>722300</v>
      </c>
      <c r="M99" s="26">
        <v>14330</v>
      </c>
      <c r="N99" s="26">
        <v>40.299999999999997</v>
      </c>
      <c r="O99" s="26">
        <v>8280</v>
      </c>
      <c r="P99" s="26">
        <v>16560</v>
      </c>
      <c r="Q99" s="26">
        <v>18460</v>
      </c>
      <c r="R99" s="26">
        <v>1220</v>
      </c>
      <c r="S99" s="26">
        <v>6.45</v>
      </c>
      <c r="T99" s="26">
        <v>963</v>
      </c>
      <c r="U99" s="26">
        <v>1830</v>
      </c>
      <c r="V99" s="26">
        <v>1926</v>
      </c>
      <c r="W99" s="26">
        <v>1575</v>
      </c>
      <c r="X99" s="26">
        <v>43015000</v>
      </c>
      <c r="Y99" s="26">
        <v>16108</v>
      </c>
      <c r="Z99" s="26">
        <v>12.95</v>
      </c>
      <c r="AA99" s="40" t="s">
        <v>122</v>
      </c>
      <c r="AB99" s="40" t="s">
        <v>122</v>
      </c>
      <c r="AC99" s="104">
        <f t="shared" si="1"/>
        <v>96.8</v>
      </c>
    </row>
    <row r="100" spans="1:29" x14ac:dyDescent="0.25">
      <c r="A100" s="26" t="s">
        <v>673</v>
      </c>
      <c r="B100" s="26">
        <v>80</v>
      </c>
      <c r="C100" s="26">
        <v>46</v>
      </c>
      <c r="D100" s="26">
        <v>5.2</v>
      </c>
      <c r="E100" s="26">
        <v>59</v>
      </c>
      <c r="F100" s="26">
        <v>3.8</v>
      </c>
      <c r="G100" s="26">
        <v>5</v>
      </c>
      <c r="H100" s="26">
        <v>4.42</v>
      </c>
      <c r="I100" s="26">
        <v>15.5</v>
      </c>
      <c r="J100" s="26">
        <v>7.64</v>
      </c>
      <c r="K100" s="26">
        <v>6</v>
      </c>
      <c r="L100" s="26">
        <v>80.099999999999994</v>
      </c>
      <c r="M100" s="26">
        <v>20</v>
      </c>
      <c r="N100" s="26">
        <v>3.24</v>
      </c>
      <c r="O100" s="26">
        <v>11.6</v>
      </c>
      <c r="P100" s="26">
        <v>23</v>
      </c>
      <c r="Q100" s="26">
        <v>8.49</v>
      </c>
      <c r="R100" s="26">
        <v>3.69</v>
      </c>
      <c r="S100" s="26">
        <v>1.05</v>
      </c>
      <c r="T100" s="26">
        <v>2.9</v>
      </c>
      <c r="U100" s="28">
        <f>1.5*R100</f>
        <v>5.5350000000000001</v>
      </c>
      <c r="V100" s="26">
        <v>6</v>
      </c>
      <c r="W100" s="26">
        <v>0.55900000000000005</v>
      </c>
      <c r="X100" s="26">
        <v>118</v>
      </c>
      <c r="Y100" s="26">
        <v>28474</v>
      </c>
      <c r="Z100" s="26">
        <v>1.2</v>
      </c>
      <c r="AA100" s="40" t="s">
        <v>122</v>
      </c>
      <c r="AB100" s="40" t="s">
        <v>122</v>
      </c>
      <c r="AC100" s="104">
        <f t="shared" si="1"/>
        <v>7.4799999999999995</v>
      </c>
    </row>
    <row r="101" spans="1:29" x14ac:dyDescent="0.25">
      <c r="A101" s="26" t="s">
        <v>674</v>
      </c>
      <c r="B101" s="26">
        <v>100</v>
      </c>
      <c r="C101" s="26">
        <v>55</v>
      </c>
      <c r="D101" s="26">
        <v>5.7</v>
      </c>
      <c r="E101" s="26">
        <v>74</v>
      </c>
      <c r="F101" s="26">
        <v>4.0999999999999996</v>
      </c>
      <c r="G101" s="26">
        <v>7</v>
      </c>
      <c r="H101" s="26">
        <v>4.82</v>
      </c>
      <c r="I101" s="26">
        <v>18</v>
      </c>
      <c r="J101" s="26">
        <v>10.3</v>
      </c>
      <c r="K101" s="26">
        <v>8.1</v>
      </c>
      <c r="L101" s="26">
        <v>171</v>
      </c>
      <c r="M101" s="26">
        <v>34.200000000000003</v>
      </c>
      <c r="N101" s="26">
        <v>4.07</v>
      </c>
      <c r="O101" s="26">
        <v>19.7</v>
      </c>
      <c r="P101" s="26">
        <v>39</v>
      </c>
      <c r="Q101" s="26">
        <v>15.9</v>
      </c>
      <c r="R101" s="26">
        <v>5.78</v>
      </c>
      <c r="S101" s="26">
        <v>1.24</v>
      </c>
      <c r="T101" s="26">
        <v>4.5</v>
      </c>
      <c r="U101" s="28">
        <f t="shared" ref="U101:U117" si="2">1.5*R101</f>
        <v>8.67</v>
      </c>
      <c r="V101" s="26">
        <v>9</v>
      </c>
      <c r="W101" s="26">
        <v>0.88300000000000001</v>
      </c>
      <c r="X101" s="26">
        <v>351</v>
      </c>
      <c r="Y101" s="26">
        <v>24335</v>
      </c>
      <c r="Z101" s="26">
        <v>2.2200000000000002</v>
      </c>
      <c r="AA101" s="40" t="s">
        <v>122</v>
      </c>
      <c r="AB101" s="40" t="s">
        <v>122</v>
      </c>
      <c r="AC101" s="104">
        <f t="shared" si="1"/>
        <v>9.43</v>
      </c>
    </row>
    <row r="102" spans="1:29" x14ac:dyDescent="0.25">
      <c r="A102" s="26" t="s">
        <v>675</v>
      </c>
      <c r="B102" s="26">
        <v>120</v>
      </c>
      <c r="C102" s="26">
        <v>64</v>
      </c>
      <c r="D102" s="26">
        <v>6.3</v>
      </c>
      <c r="E102" s="26">
        <v>93</v>
      </c>
      <c r="F102" s="26">
        <v>4.4000000000000004</v>
      </c>
      <c r="G102" s="26">
        <v>7</v>
      </c>
      <c r="H102" s="26">
        <v>5.08</v>
      </c>
      <c r="I102" s="26">
        <v>21.1</v>
      </c>
      <c r="J102" s="26">
        <v>13.2</v>
      </c>
      <c r="K102" s="26">
        <v>10.4</v>
      </c>
      <c r="L102" s="26">
        <v>318</v>
      </c>
      <c r="M102" s="26">
        <v>53</v>
      </c>
      <c r="N102" s="26">
        <v>4.91</v>
      </c>
      <c r="O102" s="26">
        <v>30.4</v>
      </c>
      <c r="P102" s="26">
        <v>61</v>
      </c>
      <c r="Q102" s="26">
        <v>27.7</v>
      </c>
      <c r="R102" s="26">
        <v>8.66</v>
      </c>
      <c r="S102" s="26">
        <v>1.45</v>
      </c>
      <c r="T102" s="26">
        <v>6.7</v>
      </c>
      <c r="U102" s="28">
        <f t="shared" si="2"/>
        <v>12.99</v>
      </c>
      <c r="V102" s="26">
        <v>13</v>
      </c>
      <c r="W102" s="26">
        <v>1.37</v>
      </c>
      <c r="X102" s="26">
        <v>890</v>
      </c>
      <c r="Y102" s="26">
        <v>22163</v>
      </c>
      <c r="Z102" s="26">
        <v>3.22</v>
      </c>
      <c r="AA102" s="40" t="s">
        <v>122</v>
      </c>
      <c r="AB102" s="40" t="s">
        <v>122</v>
      </c>
      <c r="AC102" s="104">
        <f t="shared" si="1"/>
        <v>11.370000000000001</v>
      </c>
    </row>
    <row r="103" spans="1:29" x14ac:dyDescent="0.25">
      <c r="A103" s="26" t="s">
        <v>676</v>
      </c>
      <c r="B103" s="26">
        <v>140</v>
      </c>
      <c r="C103" s="26">
        <v>73</v>
      </c>
      <c r="D103" s="26">
        <v>6.9</v>
      </c>
      <c r="E103" s="26">
        <v>112</v>
      </c>
      <c r="F103" s="26">
        <v>4.7</v>
      </c>
      <c r="G103" s="26">
        <v>7</v>
      </c>
      <c r="H103" s="26">
        <v>5.29</v>
      </c>
      <c r="I103" s="26">
        <v>23.8</v>
      </c>
      <c r="J103" s="26">
        <v>16.399999999999999</v>
      </c>
      <c r="K103" s="26">
        <v>12.9</v>
      </c>
      <c r="L103" s="26">
        <v>541</v>
      </c>
      <c r="M103" s="26">
        <v>77.3</v>
      </c>
      <c r="N103" s="26">
        <v>5.74</v>
      </c>
      <c r="O103" s="26">
        <v>44.2</v>
      </c>
      <c r="P103" s="26">
        <v>88</v>
      </c>
      <c r="Q103" s="26">
        <v>44.9</v>
      </c>
      <c r="R103" s="26">
        <v>12.3</v>
      </c>
      <c r="S103" s="26">
        <v>1.65</v>
      </c>
      <c r="T103" s="26">
        <v>10</v>
      </c>
      <c r="U103" s="28">
        <f t="shared" si="2"/>
        <v>18.450000000000003</v>
      </c>
      <c r="V103" s="26">
        <v>19</v>
      </c>
      <c r="W103" s="26">
        <v>2.04</v>
      </c>
      <c r="X103" s="26">
        <v>1980</v>
      </c>
      <c r="Y103" s="26">
        <v>20636</v>
      </c>
      <c r="Z103" s="26">
        <v>4.2699999999999996</v>
      </c>
      <c r="AA103" s="40" t="s">
        <v>122</v>
      </c>
      <c r="AB103" s="40" t="s">
        <v>122</v>
      </c>
      <c r="AC103" s="104">
        <f t="shared" si="1"/>
        <v>13.309999999999999</v>
      </c>
    </row>
    <row r="104" spans="1:29" x14ac:dyDescent="0.25">
      <c r="A104" s="26" t="s">
        <v>677</v>
      </c>
      <c r="B104" s="26">
        <v>160</v>
      </c>
      <c r="C104" s="26">
        <v>82</v>
      </c>
      <c r="D104" s="26">
        <v>7.4</v>
      </c>
      <c r="E104" s="26">
        <v>127</v>
      </c>
      <c r="F104" s="26">
        <v>5</v>
      </c>
      <c r="G104" s="26">
        <v>9</v>
      </c>
      <c r="H104" s="26">
        <v>5.54</v>
      </c>
      <c r="I104" s="26">
        <v>25.4</v>
      </c>
      <c r="J104" s="26">
        <v>20.100000000000001</v>
      </c>
      <c r="K104" s="26">
        <v>15.8</v>
      </c>
      <c r="L104" s="26">
        <v>86</v>
      </c>
      <c r="M104" s="26">
        <v>109</v>
      </c>
      <c r="N104" s="26">
        <v>6.58</v>
      </c>
      <c r="O104" s="26">
        <v>61.9</v>
      </c>
      <c r="P104" s="26">
        <v>124</v>
      </c>
      <c r="Q104" s="26">
        <v>68.3</v>
      </c>
      <c r="R104" s="26">
        <v>16.7</v>
      </c>
      <c r="S104" s="26">
        <v>1.84</v>
      </c>
      <c r="T104" s="26">
        <v>13</v>
      </c>
      <c r="U104" s="28">
        <f t="shared" si="2"/>
        <v>25.049999999999997</v>
      </c>
      <c r="V104" s="26">
        <v>26</v>
      </c>
      <c r="W104" s="26">
        <v>2.82</v>
      </c>
      <c r="X104" s="26">
        <v>3959</v>
      </c>
      <c r="Y104" s="26">
        <v>19132</v>
      </c>
      <c r="Z104" s="26">
        <v>5.77</v>
      </c>
      <c r="AA104" s="40" t="s">
        <v>122</v>
      </c>
      <c r="AB104" s="40" t="s">
        <v>122</v>
      </c>
      <c r="AC104" s="104">
        <f t="shared" si="1"/>
        <v>15.26</v>
      </c>
    </row>
    <row r="105" spans="1:29" x14ac:dyDescent="0.25">
      <c r="A105" s="26" t="s">
        <v>678</v>
      </c>
      <c r="B105" s="26">
        <v>180</v>
      </c>
      <c r="C105" s="26">
        <v>91</v>
      </c>
      <c r="D105" s="26">
        <v>8</v>
      </c>
      <c r="E105" s="26">
        <v>146</v>
      </c>
      <c r="F105" s="26">
        <v>5.3</v>
      </c>
      <c r="G105" s="26">
        <v>9</v>
      </c>
      <c r="H105" s="26">
        <v>5.69</v>
      </c>
      <c r="I105" s="26">
        <v>27.5</v>
      </c>
      <c r="J105" s="26">
        <v>23.9</v>
      </c>
      <c r="K105" s="26">
        <v>18.8</v>
      </c>
      <c r="L105" s="26">
        <v>1320</v>
      </c>
      <c r="M105" s="26">
        <v>147</v>
      </c>
      <c r="N105" s="26">
        <v>7.43</v>
      </c>
      <c r="O105" s="26">
        <v>83.2</v>
      </c>
      <c r="P105" s="26">
        <v>166</v>
      </c>
      <c r="Q105" s="26">
        <v>101</v>
      </c>
      <c r="R105" s="26">
        <v>22.2</v>
      </c>
      <c r="S105" s="26">
        <v>2.06</v>
      </c>
      <c r="T105" s="26">
        <v>17</v>
      </c>
      <c r="U105" s="28">
        <f t="shared" si="2"/>
        <v>33.299999999999997</v>
      </c>
      <c r="V105" s="26">
        <v>34</v>
      </c>
      <c r="W105" s="26">
        <v>3.92</v>
      </c>
      <c r="X105" s="26">
        <v>7431</v>
      </c>
      <c r="Y105" s="26">
        <v>18217</v>
      </c>
      <c r="Z105" s="26">
        <v>6.91</v>
      </c>
      <c r="AA105" s="40" t="s">
        <v>122</v>
      </c>
      <c r="AB105" s="40" t="s">
        <v>122</v>
      </c>
      <c r="AC105" s="104">
        <f t="shared" si="1"/>
        <v>17.2</v>
      </c>
    </row>
    <row r="106" spans="1:29" x14ac:dyDescent="0.25">
      <c r="A106" s="26" t="s">
        <v>679</v>
      </c>
      <c r="B106" s="26">
        <v>200</v>
      </c>
      <c r="C106" s="26">
        <v>100</v>
      </c>
      <c r="D106" s="26">
        <v>8.5</v>
      </c>
      <c r="E106" s="26">
        <v>159</v>
      </c>
      <c r="F106" s="26">
        <v>5.6</v>
      </c>
      <c r="G106" s="26">
        <v>12</v>
      </c>
      <c r="H106" s="26">
        <v>5.88</v>
      </c>
      <c r="I106" s="26">
        <v>28.4</v>
      </c>
      <c r="J106" s="26">
        <v>28.5</v>
      </c>
      <c r="K106" s="26">
        <v>22.4</v>
      </c>
      <c r="L106" s="26">
        <v>1940</v>
      </c>
      <c r="M106" s="26">
        <v>194</v>
      </c>
      <c r="N106" s="26">
        <v>8.25</v>
      </c>
      <c r="O106" s="26">
        <v>110</v>
      </c>
      <c r="P106" s="26">
        <v>220</v>
      </c>
      <c r="Q106" s="26">
        <v>142</v>
      </c>
      <c r="R106" s="26">
        <v>28.4</v>
      </c>
      <c r="S106" s="26">
        <v>2.23</v>
      </c>
      <c r="T106" s="26">
        <v>22</v>
      </c>
      <c r="U106" s="28">
        <f t="shared" si="2"/>
        <v>42.599999999999994</v>
      </c>
      <c r="V106" s="26">
        <v>44</v>
      </c>
      <c r="W106" s="26">
        <v>5.17</v>
      </c>
      <c r="X106" s="26">
        <v>12990</v>
      </c>
      <c r="Y106" s="26">
        <v>17264</v>
      </c>
      <c r="Z106" s="26">
        <v>8.66</v>
      </c>
      <c r="AA106" s="40" t="s">
        <v>122</v>
      </c>
      <c r="AB106" s="40" t="s">
        <v>122</v>
      </c>
      <c r="AC106" s="104">
        <f t="shared" si="1"/>
        <v>19.149999999999999</v>
      </c>
    </row>
    <row r="107" spans="1:29" x14ac:dyDescent="0.25">
      <c r="A107" s="26" t="s">
        <v>680</v>
      </c>
      <c r="B107" s="26">
        <v>220</v>
      </c>
      <c r="C107" s="26">
        <v>110</v>
      </c>
      <c r="D107" s="26">
        <v>9.1999999999999993</v>
      </c>
      <c r="E107" s="26">
        <v>177</v>
      </c>
      <c r="F107" s="26">
        <v>5.9</v>
      </c>
      <c r="G107" s="26">
        <v>12</v>
      </c>
      <c r="H107" s="26">
        <v>5.98</v>
      </c>
      <c r="I107" s="26">
        <v>30</v>
      </c>
      <c r="J107" s="26">
        <v>33.4</v>
      </c>
      <c r="K107" s="26">
        <v>26.2</v>
      </c>
      <c r="L107" s="26">
        <v>2770</v>
      </c>
      <c r="M107" s="26">
        <v>252</v>
      </c>
      <c r="N107" s="26">
        <v>9.11</v>
      </c>
      <c r="O107" s="26">
        <v>143</v>
      </c>
      <c r="P107" s="26">
        <v>286</v>
      </c>
      <c r="Q107" s="26">
        <v>205</v>
      </c>
      <c r="R107" s="26">
        <v>37.299999999999997</v>
      </c>
      <c r="S107" s="26">
        <v>2.48</v>
      </c>
      <c r="T107" s="26">
        <v>29</v>
      </c>
      <c r="U107" s="28">
        <f t="shared" si="2"/>
        <v>55.949999999999996</v>
      </c>
      <c r="V107" s="26">
        <v>57</v>
      </c>
      <c r="W107" s="26">
        <v>7.09</v>
      </c>
      <c r="X107" s="26">
        <v>22670</v>
      </c>
      <c r="Y107" s="26">
        <v>16869</v>
      </c>
      <c r="Z107" s="26">
        <v>9.36</v>
      </c>
      <c r="AA107" s="40" t="s">
        <v>122</v>
      </c>
      <c r="AB107" s="40" t="s">
        <v>122</v>
      </c>
      <c r="AC107" s="104">
        <f t="shared" si="1"/>
        <v>21.080000000000002</v>
      </c>
    </row>
    <row r="108" spans="1:29" x14ac:dyDescent="0.25">
      <c r="A108" s="26" t="s">
        <v>681</v>
      </c>
      <c r="B108" s="26">
        <v>240</v>
      </c>
      <c r="C108" s="26">
        <v>120</v>
      </c>
      <c r="D108" s="26">
        <v>9.8000000000000007</v>
      </c>
      <c r="E108" s="26">
        <v>190</v>
      </c>
      <c r="F108" s="26">
        <v>6.2</v>
      </c>
      <c r="G108" s="26">
        <v>15</v>
      </c>
      <c r="H108" s="26">
        <v>6.12</v>
      </c>
      <c r="I108" s="26">
        <v>30.6</v>
      </c>
      <c r="J108" s="26">
        <v>39.1</v>
      </c>
      <c r="K108" s="26">
        <v>30.7</v>
      </c>
      <c r="L108" s="26">
        <v>3890</v>
      </c>
      <c r="M108" s="26">
        <v>324</v>
      </c>
      <c r="N108" s="26">
        <v>9.9700000000000006</v>
      </c>
      <c r="O108" s="26">
        <v>183</v>
      </c>
      <c r="P108" s="26">
        <v>366</v>
      </c>
      <c r="Q108" s="26">
        <v>284</v>
      </c>
      <c r="R108" s="26">
        <v>47.3</v>
      </c>
      <c r="S108" s="26">
        <v>2.7</v>
      </c>
      <c r="T108" s="26">
        <v>36</v>
      </c>
      <c r="U108" s="28">
        <f t="shared" si="2"/>
        <v>70.949999999999989</v>
      </c>
      <c r="V108" s="26">
        <v>73</v>
      </c>
      <c r="W108" s="26">
        <v>9.2799999999999994</v>
      </c>
      <c r="X108" s="26">
        <v>37390</v>
      </c>
      <c r="Y108" s="26">
        <v>16220</v>
      </c>
      <c r="Z108" s="26">
        <v>10.78</v>
      </c>
      <c r="AA108" s="40" t="s">
        <v>122</v>
      </c>
      <c r="AB108" s="40" t="s">
        <v>122</v>
      </c>
      <c r="AC108" s="104">
        <f t="shared" si="1"/>
        <v>23.02</v>
      </c>
    </row>
    <row r="109" spans="1:29" x14ac:dyDescent="0.25">
      <c r="A109" s="26" t="s">
        <v>682</v>
      </c>
      <c r="B109" s="26">
        <v>270</v>
      </c>
      <c r="C109" s="26">
        <v>135</v>
      </c>
      <c r="D109" s="26">
        <v>10.199999999999999</v>
      </c>
      <c r="E109" s="26">
        <v>219</v>
      </c>
      <c r="F109" s="26">
        <v>6.6</v>
      </c>
      <c r="G109" s="26">
        <v>15</v>
      </c>
      <c r="H109" s="26">
        <v>6.62</v>
      </c>
      <c r="I109" s="26">
        <v>33.200000000000003</v>
      </c>
      <c r="J109" s="26">
        <v>45.9</v>
      </c>
      <c r="K109" s="26">
        <v>36.1</v>
      </c>
      <c r="L109" s="26">
        <v>5790</v>
      </c>
      <c r="M109" s="26">
        <v>429</v>
      </c>
      <c r="N109" s="26">
        <v>11.2</v>
      </c>
      <c r="O109" s="26">
        <v>242</v>
      </c>
      <c r="P109" s="26">
        <v>484</v>
      </c>
      <c r="Q109" s="26">
        <v>420</v>
      </c>
      <c r="R109" s="26">
        <v>62.2</v>
      </c>
      <c r="S109" s="26">
        <v>3.02</v>
      </c>
      <c r="T109" s="26">
        <v>48</v>
      </c>
      <c r="U109" s="28">
        <f t="shared" si="2"/>
        <v>93.300000000000011</v>
      </c>
      <c r="V109" s="26">
        <v>96</v>
      </c>
      <c r="W109" s="26">
        <v>11.9</v>
      </c>
      <c r="X109" s="26">
        <v>70580</v>
      </c>
      <c r="Y109" s="26">
        <v>15069</v>
      </c>
      <c r="Z109" s="26">
        <v>14.55</v>
      </c>
      <c r="AA109" s="40" t="s">
        <v>122</v>
      </c>
      <c r="AB109" s="40" t="s">
        <v>122</v>
      </c>
      <c r="AC109" s="104">
        <f t="shared" si="1"/>
        <v>25.98</v>
      </c>
    </row>
    <row r="110" spans="1:29" x14ac:dyDescent="0.25">
      <c r="A110" s="26" t="s">
        <v>683</v>
      </c>
      <c r="B110" s="26">
        <v>300</v>
      </c>
      <c r="C110" s="26">
        <v>150</v>
      </c>
      <c r="D110" s="26">
        <v>10.7</v>
      </c>
      <c r="E110" s="26">
        <v>248</v>
      </c>
      <c r="F110" s="26">
        <v>7.1</v>
      </c>
      <c r="G110" s="26">
        <v>15</v>
      </c>
      <c r="H110" s="26">
        <v>7.01</v>
      </c>
      <c r="I110" s="26">
        <v>34.9</v>
      </c>
      <c r="J110" s="26">
        <v>53.8</v>
      </c>
      <c r="K110" s="26">
        <v>42.2</v>
      </c>
      <c r="L110" s="26">
        <v>8360</v>
      </c>
      <c r="M110" s="26">
        <v>557</v>
      </c>
      <c r="N110" s="26">
        <v>12.5</v>
      </c>
      <c r="O110" s="26">
        <v>314</v>
      </c>
      <c r="P110" s="26">
        <v>628</v>
      </c>
      <c r="Q110" s="26">
        <v>604</v>
      </c>
      <c r="R110" s="26">
        <v>80.5</v>
      </c>
      <c r="S110" s="26">
        <v>3.35</v>
      </c>
      <c r="T110" s="26">
        <v>62</v>
      </c>
      <c r="U110" s="28">
        <f t="shared" si="2"/>
        <v>120.75</v>
      </c>
      <c r="V110" s="26">
        <v>124</v>
      </c>
      <c r="W110" s="26">
        <v>15.6</v>
      </c>
      <c r="X110" s="26">
        <v>125900</v>
      </c>
      <c r="Y110" s="26">
        <v>14336</v>
      </c>
      <c r="Z110" s="26">
        <v>17.920000000000002</v>
      </c>
      <c r="AA110" s="40" t="s">
        <v>122</v>
      </c>
      <c r="AB110" s="40" t="s">
        <v>122</v>
      </c>
      <c r="AC110" s="104">
        <f t="shared" si="1"/>
        <v>28.93</v>
      </c>
    </row>
    <row r="111" spans="1:29" x14ac:dyDescent="0.25">
      <c r="A111" s="26" t="s">
        <v>684</v>
      </c>
      <c r="B111" s="26">
        <v>330</v>
      </c>
      <c r="C111" s="26">
        <v>160</v>
      </c>
      <c r="D111" s="26">
        <v>11.5</v>
      </c>
      <c r="E111" s="26">
        <v>271</v>
      </c>
      <c r="F111" s="26">
        <v>7.5</v>
      </c>
      <c r="G111" s="26">
        <v>18</v>
      </c>
      <c r="H111" s="26">
        <v>6.96</v>
      </c>
      <c r="I111" s="26">
        <v>36.1</v>
      </c>
      <c r="J111" s="26">
        <v>62.6</v>
      </c>
      <c r="K111" s="26">
        <v>49.1</v>
      </c>
      <c r="L111" s="26">
        <v>11770</v>
      </c>
      <c r="M111" s="26">
        <v>713</v>
      </c>
      <c r="N111" s="26">
        <v>13.7</v>
      </c>
      <c r="O111" s="26">
        <v>402</v>
      </c>
      <c r="P111" s="26">
        <v>804</v>
      </c>
      <c r="Q111" s="26">
        <v>788</v>
      </c>
      <c r="R111" s="26">
        <v>98.5</v>
      </c>
      <c r="S111" s="26">
        <v>3.55</v>
      </c>
      <c r="T111" s="26">
        <v>76</v>
      </c>
      <c r="U111" s="28">
        <f t="shared" si="2"/>
        <v>147.75</v>
      </c>
      <c r="V111" s="26">
        <v>152</v>
      </c>
      <c r="W111" s="26">
        <v>20.5</v>
      </c>
      <c r="X111" s="26">
        <v>199100</v>
      </c>
      <c r="Y111" s="26">
        <v>13876</v>
      </c>
      <c r="Z111" s="26">
        <v>20.45</v>
      </c>
      <c r="AA111" s="40" t="s">
        <v>122</v>
      </c>
      <c r="AB111" s="40" t="s">
        <v>122</v>
      </c>
      <c r="AC111" s="104">
        <f t="shared" si="1"/>
        <v>31.85</v>
      </c>
    </row>
    <row r="112" spans="1:29" x14ac:dyDescent="0.25">
      <c r="A112" s="26" t="s">
        <v>685</v>
      </c>
      <c r="B112" s="26">
        <v>360</v>
      </c>
      <c r="C112" s="26">
        <v>170</v>
      </c>
      <c r="D112" s="26">
        <v>12.7</v>
      </c>
      <c r="E112" s="26">
        <v>298</v>
      </c>
      <c r="F112" s="26">
        <v>7.8</v>
      </c>
      <c r="G112" s="26">
        <v>18</v>
      </c>
      <c r="H112" s="26">
        <v>6.69</v>
      </c>
      <c r="I112" s="26">
        <v>37.299999999999997</v>
      </c>
      <c r="J112" s="26">
        <v>72.7</v>
      </c>
      <c r="K112" s="26">
        <v>57.1</v>
      </c>
      <c r="L112" s="26">
        <v>16270</v>
      </c>
      <c r="M112" s="26">
        <v>904</v>
      </c>
      <c r="N112" s="26">
        <v>15</v>
      </c>
      <c r="O112" s="26">
        <v>510</v>
      </c>
      <c r="P112" s="26">
        <v>1020</v>
      </c>
      <c r="Q112" s="26">
        <v>1040</v>
      </c>
      <c r="R112" s="26">
        <v>123</v>
      </c>
      <c r="S112" s="26">
        <v>3.78</v>
      </c>
      <c r="T112" s="26">
        <v>94</v>
      </c>
      <c r="U112" s="28">
        <f t="shared" si="2"/>
        <v>184.5</v>
      </c>
      <c r="V112" s="26">
        <v>189</v>
      </c>
      <c r="W112" s="26">
        <v>28.9</v>
      </c>
      <c r="X112" s="26">
        <v>313600</v>
      </c>
      <c r="Y112" s="26">
        <v>14004</v>
      </c>
      <c r="Z112" s="26">
        <v>19.760000000000002</v>
      </c>
      <c r="AA112" s="40" t="s">
        <v>122</v>
      </c>
      <c r="AB112" s="40" t="s">
        <v>122</v>
      </c>
      <c r="AC112" s="104">
        <f t="shared" si="1"/>
        <v>34.730000000000004</v>
      </c>
    </row>
    <row r="113" spans="1:29" x14ac:dyDescent="0.25">
      <c r="A113" s="26" t="s">
        <v>686</v>
      </c>
      <c r="B113" s="26">
        <v>400</v>
      </c>
      <c r="C113" s="26">
        <v>180</v>
      </c>
      <c r="D113" s="26">
        <v>13.5</v>
      </c>
      <c r="E113" s="26">
        <v>331</v>
      </c>
      <c r="F113" s="26">
        <v>8.6</v>
      </c>
      <c r="G113" s="26">
        <v>21</v>
      </c>
      <c r="H113" s="26">
        <v>6.67</v>
      </c>
      <c r="I113" s="26">
        <v>38.5</v>
      </c>
      <c r="J113" s="26">
        <v>84.5</v>
      </c>
      <c r="K113" s="26">
        <v>66.3</v>
      </c>
      <c r="L113" s="26">
        <v>23130</v>
      </c>
      <c r="M113" s="26">
        <v>1160</v>
      </c>
      <c r="N113" s="26">
        <v>16.5</v>
      </c>
      <c r="O113" s="26">
        <v>654</v>
      </c>
      <c r="P113" s="26">
        <v>1308</v>
      </c>
      <c r="Q113" s="26">
        <v>1320</v>
      </c>
      <c r="R113" s="26">
        <v>146</v>
      </c>
      <c r="S113" s="26">
        <v>3.95</v>
      </c>
      <c r="T113" s="26">
        <v>113</v>
      </c>
      <c r="U113" s="28">
        <f t="shared" si="2"/>
        <v>219</v>
      </c>
      <c r="V113" s="26">
        <v>226</v>
      </c>
      <c r="W113" s="26">
        <v>37.4</v>
      </c>
      <c r="X113" s="26">
        <v>490000</v>
      </c>
      <c r="Y113" s="26">
        <v>13383</v>
      </c>
      <c r="Z113" s="26">
        <v>23.93</v>
      </c>
      <c r="AA113" s="40" t="s">
        <v>122</v>
      </c>
      <c r="AB113" s="40" t="s">
        <v>122</v>
      </c>
      <c r="AC113" s="104">
        <f t="shared" si="1"/>
        <v>38.65</v>
      </c>
    </row>
    <row r="114" spans="1:29" x14ac:dyDescent="0.25">
      <c r="A114" s="26" t="s">
        <v>687</v>
      </c>
      <c r="B114" s="26">
        <v>450</v>
      </c>
      <c r="C114" s="26">
        <v>190</v>
      </c>
      <c r="D114" s="26">
        <v>14.6</v>
      </c>
      <c r="E114" s="26">
        <v>378</v>
      </c>
      <c r="F114" s="26">
        <v>9.4</v>
      </c>
      <c r="G114" s="26">
        <v>21</v>
      </c>
      <c r="H114" s="26">
        <v>6.51</v>
      </c>
      <c r="I114" s="26">
        <v>40.200000000000003</v>
      </c>
      <c r="J114" s="26">
        <v>98.8</v>
      </c>
      <c r="K114" s="26">
        <v>77.599999999999994</v>
      </c>
      <c r="L114" s="26">
        <v>33740</v>
      </c>
      <c r="M114" s="26">
        <v>1500</v>
      </c>
      <c r="N114" s="26">
        <v>18.5</v>
      </c>
      <c r="O114" s="26">
        <v>851</v>
      </c>
      <c r="P114" s="26">
        <v>1702</v>
      </c>
      <c r="Q114" s="26">
        <v>1680</v>
      </c>
      <c r="R114" s="26">
        <v>176</v>
      </c>
      <c r="S114" s="26">
        <v>4.12</v>
      </c>
      <c r="T114" s="26">
        <v>136</v>
      </c>
      <c r="U114" s="28">
        <f t="shared" si="2"/>
        <v>264</v>
      </c>
      <c r="V114" s="26">
        <v>273</v>
      </c>
      <c r="W114" s="26">
        <v>51.1</v>
      </c>
      <c r="X114" s="26">
        <v>791000</v>
      </c>
      <c r="Y114" s="26">
        <v>13076</v>
      </c>
      <c r="Z114" s="26">
        <v>27.24</v>
      </c>
      <c r="AA114" s="40" t="s">
        <v>122</v>
      </c>
      <c r="AB114" s="40" t="s">
        <v>122</v>
      </c>
      <c r="AC114" s="104">
        <f t="shared" si="1"/>
        <v>43.54</v>
      </c>
    </row>
    <row r="115" spans="1:29" x14ac:dyDescent="0.25">
      <c r="A115" s="26" t="s">
        <v>688</v>
      </c>
      <c r="B115" s="26">
        <v>500</v>
      </c>
      <c r="C115" s="26">
        <v>200</v>
      </c>
      <c r="D115" s="26">
        <v>16</v>
      </c>
      <c r="E115" s="26">
        <v>426</v>
      </c>
      <c r="F115" s="26">
        <v>10.199999999999999</v>
      </c>
      <c r="G115" s="26">
        <v>21</v>
      </c>
      <c r="H115" s="26">
        <v>6.25</v>
      </c>
      <c r="I115" s="26">
        <v>41.8</v>
      </c>
      <c r="J115" s="26">
        <v>116</v>
      </c>
      <c r="K115" s="26">
        <v>90.7</v>
      </c>
      <c r="L115" s="26">
        <v>48200</v>
      </c>
      <c r="M115" s="26">
        <v>1930</v>
      </c>
      <c r="N115" s="26">
        <v>20.399999999999999</v>
      </c>
      <c r="O115" s="26">
        <v>1100</v>
      </c>
      <c r="P115" s="26">
        <v>2200</v>
      </c>
      <c r="Q115" s="26">
        <v>2140</v>
      </c>
      <c r="R115" s="26">
        <v>214</v>
      </c>
      <c r="S115" s="26">
        <v>4.3</v>
      </c>
      <c r="T115" s="26">
        <v>166</v>
      </c>
      <c r="U115" s="28">
        <f t="shared" si="2"/>
        <v>321</v>
      </c>
      <c r="V115" s="26">
        <v>332</v>
      </c>
      <c r="W115" s="26">
        <v>71.2</v>
      </c>
      <c r="X115" s="26">
        <v>1249000</v>
      </c>
      <c r="Y115" s="26">
        <v>12995</v>
      </c>
      <c r="Z115" s="26">
        <v>28.81</v>
      </c>
      <c r="AA115" s="40" t="s">
        <v>122</v>
      </c>
      <c r="AB115" s="40" t="s">
        <v>122</v>
      </c>
      <c r="AC115" s="104">
        <f t="shared" si="1"/>
        <v>48.4</v>
      </c>
    </row>
    <row r="116" spans="1:29" x14ac:dyDescent="0.25">
      <c r="A116" s="26" t="s">
        <v>689</v>
      </c>
      <c r="B116" s="26">
        <v>550</v>
      </c>
      <c r="C116" s="26">
        <v>210</v>
      </c>
      <c r="D116" s="26">
        <v>17.2</v>
      </c>
      <c r="E116" s="26">
        <v>467</v>
      </c>
      <c r="F116" s="26">
        <v>11.1</v>
      </c>
      <c r="G116" s="26">
        <v>24</v>
      </c>
      <c r="H116" s="26">
        <v>6.1</v>
      </c>
      <c r="I116" s="26">
        <v>42.1</v>
      </c>
      <c r="J116" s="26">
        <v>134</v>
      </c>
      <c r="K116" s="26">
        <v>106</v>
      </c>
      <c r="L116" s="26">
        <v>77120</v>
      </c>
      <c r="M116" s="26">
        <v>2440</v>
      </c>
      <c r="N116" s="26">
        <v>22.4</v>
      </c>
      <c r="O116" s="26">
        <v>1390</v>
      </c>
      <c r="P116" s="26">
        <v>2780</v>
      </c>
      <c r="Q116" s="26">
        <v>2670</v>
      </c>
      <c r="R116" s="26">
        <v>254</v>
      </c>
      <c r="S116" s="26">
        <v>4.46</v>
      </c>
      <c r="T116" s="26">
        <v>198</v>
      </c>
      <c r="U116" s="28">
        <f t="shared" si="2"/>
        <v>381</v>
      </c>
      <c r="V116" s="26">
        <v>395</v>
      </c>
      <c r="W116" s="26">
        <v>94.7</v>
      </c>
      <c r="X116" s="26">
        <v>1884000</v>
      </c>
      <c r="Y116" s="26">
        <v>12747</v>
      </c>
      <c r="Z116" s="26">
        <v>31.41</v>
      </c>
      <c r="AA116" s="40" t="s">
        <v>122</v>
      </c>
      <c r="AB116" s="40" t="s">
        <v>122</v>
      </c>
      <c r="AC116" s="104">
        <f t="shared" si="1"/>
        <v>53.279999999999994</v>
      </c>
    </row>
    <row r="117" spans="1:29" x14ac:dyDescent="0.25">
      <c r="A117" s="26" t="s">
        <v>690</v>
      </c>
      <c r="B117" s="26">
        <v>600</v>
      </c>
      <c r="C117" s="26">
        <v>220</v>
      </c>
      <c r="D117" s="26">
        <v>19</v>
      </c>
      <c r="E117" s="26">
        <v>514</v>
      </c>
      <c r="F117" s="26">
        <v>12</v>
      </c>
      <c r="G117" s="26">
        <v>24</v>
      </c>
      <c r="H117" s="26">
        <v>5.79</v>
      </c>
      <c r="I117" s="26">
        <v>42.8</v>
      </c>
      <c r="J117" s="26">
        <v>156</v>
      </c>
      <c r="K117" s="26">
        <v>122</v>
      </c>
      <c r="L117" s="26">
        <v>92080</v>
      </c>
      <c r="M117" s="26">
        <v>3070</v>
      </c>
      <c r="N117" s="26">
        <v>24.3</v>
      </c>
      <c r="O117" s="26">
        <v>1760</v>
      </c>
      <c r="P117" s="26">
        <v>3520</v>
      </c>
      <c r="Q117" s="26">
        <v>3390</v>
      </c>
      <c r="R117" s="26">
        <v>308</v>
      </c>
      <c r="S117" s="26">
        <v>4.66</v>
      </c>
      <c r="T117" s="26">
        <v>240</v>
      </c>
      <c r="U117" s="28">
        <f t="shared" si="2"/>
        <v>462</v>
      </c>
      <c r="V117" s="26">
        <v>480</v>
      </c>
      <c r="W117" s="26">
        <v>133</v>
      </c>
      <c r="X117" s="26">
        <v>2846000</v>
      </c>
      <c r="Y117" s="26">
        <v>12950</v>
      </c>
      <c r="Z117" s="26">
        <v>30.04</v>
      </c>
      <c r="AA117" s="40" t="s">
        <v>122</v>
      </c>
      <c r="AB117" s="40" t="s">
        <v>122</v>
      </c>
      <c r="AC117" s="104">
        <f t="shared" si="1"/>
        <v>58.1</v>
      </c>
    </row>
    <row r="118" spans="1:29" x14ac:dyDescent="0.25">
      <c r="A118" s="26" t="s">
        <v>691</v>
      </c>
      <c r="B118" s="26">
        <v>1118</v>
      </c>
      <c r="C118" s="26">
        <v>405</v>
      </c>
      <c r="D118" s="26">
        <v>45</v>
      </c>
      <c r="E118" s="26">
        <v>976</v>
      </c>
      <c r="F118" s="26">
        <v>25.9</v>
      </c>
      <c r="G118" s="26">
        <v>33.299999999999997</v>
      </c>
      <c r="H118" s="26">
        <v>4.51</v>
      </c>
      <c r="I118" s="26">
        <v>37.700000000000003</v>
      </c>
      <c r="J118" s="26">
        <v>634.20000000000005</v>
      </c>
      <c r="K118" s="26">
        <v>498.5</v>
      </c>
      <c r="L118" s="26">
        <v>1294480</v>
      </c>
      <c r="M118" s="26">
        <v>23106</v>
      </c>
      <c r="N118" s="26">
        <v>45.21</v>
      </c>
      <c r="O118" s="26">
        <v>13274</v>
      </c>
      <c r="P118" s="26">
        <v>26547</v>
      </c>
      <c r="Q118" s="26">
        <v>49948</v>
      </c>
      <c r="R118" s="26">
        <v>2458</v>
      </c>
      <c r="S118" s="26">
        <v>8.86</v>
      </c>
      <c r="T118" s="26">
        <v>1934</v>
      </c>
      <c r="U118" s="26">
        <v>3687</v>
      </c>
      <c r="V118" s="26">
        <v>3867</v>
      </c>
      <c r="W118" s="26">
        <v>3097</v>
      </c>
      <c r="X118" s="26">
        <v>143935224</v>
      </c>
      <c r="Y118" s="26">
        <v>16754</v>
      </c>
      <c r="Z118" s="26">
        <v>107</v>
      </c>
      <c r="AA118" s="40" t="s">
        <v>122</v>
      </c>
      <c r="AB118" s="40" t="s">
        <v>122</v>
      </c>
      <c r="AC118" s="104">
        <f t="shared" si="1"/>
        <v>107.3</v>
      </c>
    </row>
    <row r="119" spans="1:29" x14ac:dyDescent="0.25">
      <c r="A119" s="26" t="s">
        <v>692</v>
      </c>
      <c r="B119" s="26">
        <v>1108</v>
      </c>
      <c r="C119" s="26">
        <v>402</v>
      </c>
      <c r="D119" s="26">
        <v>40.1</v>
      </c>
      <c r="E119" s="26">
        <v>976</v>
      </c>
      <c r="F119" s="26">
        <v>22.1</v>
      </c>
      <c r="G119" s="26">
        <v>31.7</v>
      </c>
      <c r="H119" s="26">
        <v>5.01</v>
      </c>
      <c r="I119" s="26">
        <v>44.2</v>
      </c>
      <c r="J119" s="26">
        <v>553.5</v>
      </c>
      <c r="K119" s="26">
        <v>431.6</v>
      </c>
      <c r="L119" s="26">
        <v>1127987</v>
      </c>
      <c r="M119" s="26">
        <v>20320</v>
      </c>
      <c r="N119" s="26">
        <v>45.21</v>
      </c>
      <c r="O119" s="26">
        <v>11635</v>
      </c>
      <c r="P119" s="26">
        <v>23270</v>
      </c>
      <c r="Q119" s="26">
        <v>43704</v>
      </c>
      <c r="R119" s="26">
        <v>2179</v>
      </c>
      <c r="S119" s="26">
        <v>8.89</v>
      </c>
      <c r="T119" s="26">
        <v>1688</v>
      </c>
      <c r="U119" s="26">
        <v>3269</v>
      </c>
      <c r="V119" s="26">
        <v>3376</v>
      </c>
      <c r="W119" s="26">
        <v>2144</v>
      </c>
      <c r="X119" s="26">
        <v>124332106</v>
      </c>
      <c r="Y119" s="26">
        <v>14755</v>
      </c>
      <c r="Z119" s="26">
        <v>173</v>
      </c>
      <c r="AA119" s="40" t="s">
        <v>122</v>
      </c>
      <c r="AB119" s="40" t="s">
        <v>122</v>
      </c>
      <c r="AC119" s="104">
        <f t="shared" si="1"/>
        <v>106.79</v>
      </c>
    </row>
    <row r="120" spans="1:29" x14ac:dyDescent="0.25">
      <c r="A120" s="26" t="s">
        <v>693</v>
      </c>
      <c r="B120" s="26">
        <v>1100</v>
      </c>
      <c r="C120" s="26">
        <v>400</v>
      </c>
      <c r="D120" s="26">
        <v>36.1</v>
      </c>
      <c r="E120" s="26">
        <v>976</v>
      </c>
      <c r="F120" s="26">
        <v>20.100000000000001</v>
      </c>
      <c r="G120" s="26">
        <v>30.2</v>
      </c>
      <c r="H120" s="26">
        <v>5.55</v>
      </c>
      <c r="I120" s="26">
        <v>48.7</v>
      </c>
      <c r="J120" s="26">
        <v>498.1</v>
      </c>
      <c r="K120" s="26">
        <v>389.9</v>
      </c>
      <c r="L120" s="26">
        <v>1007280</v>
      </c>
      <c r="M120" s="26">
        <v>18354</v>
      </c>
      <c r="N120" s="26">
        <v>44.96</v>
      </c>
      <c r="O120" s="26">
        <v>10406</v>
      </c>
      <c r="P120" s="26">
        <v>20812</v>
      </c>
      <c r="Q120" s="26">
        <v>38585</v>
      </c>
      <c r="R120" s="26">
        <v>1934</v>
      </c>
      <c r="S120" s="26">
        <v>8.7899999999999991</v>
      </c>
      <c r="T120" s="26">
        <v>1499</v>
      </c>
      <c r="U120" s="26">
        <v>2901</v>
      </c>
      <c r="V120" s="26">
        <v>2999</v>
      </c>
      <c r="W120" s="26">
        <v>1569</v>
      </c>
      <c r="X120" s="26">
        <v>109025562</v>
      </c>
      <c r="Y120" s="26">
        <v>13307</v>
      </c>
      <c r="Z120" s="26">
        <v>259</v>
      </c>
      <c r="AA120" s="40" t="s">
        <v>122</v>
      </c>
      <c r="AB120" s="40" t="s">
        <v>122</v>
      </c>
      <c r="AC120" s="104">
        <f t="shared" si="1"/>
        <v>106.39000000000001</v>
      </c>
    </row>
    <row r="121" spans="1:29" x14ac:dyDescent="0.25">
      <c r="A121" s="26" t="s">
        <v>694</v>
      </c>
      <c r="B121" s="26">
        <v>1090</v>
      </c>
      <c r="C121" s="26">
        <v>400</v>
      </c>
      <c r="D121" s="26">
        <v>31</v>
      </c>
      <c r="E121" s="26">
        <v>976</v>
      </c>
      <c r="F121" s="26">
        <v>18</v>
      </c>
      <c r="G121" s="26">
        <v>28.6</v>
      </c>
      <c r="H121" s="26">
        <v>6.45</v>
      </c>
      <c r="I121" s="26">
        <v>54.1</v>
      </c>
      <c r="J121" s="26">
        <v>436.8</v>
      </c>
      <c r="K121" s="26">
        <v>342.3</v>
      </c>
      <c r="L121" s="26">
        <v>885761</v>
      </c>
      <c r="M121" s="26">
        <v>15879</v>
      </c>
      <c r="N121" s="26">
        <v>44.45</v>
      </c>
      <c r="O121" s="26">
        <v>9013</v>
      </c>
      <c r="P121" s="26">
        <v>18026</v>
      </c>
      <c r="Q121" s="26">
        <v>33132</v>
      </c>
      <c r="R121" s="26">
        <v>1655</v>
      </c>
      <c r="S121" s="26">
        <v>8.7100000000000009</v>
      </c>
      <c r="T121" s="26">
        <v>1286</v>
      </c>
      <c r="U121" s="26">
        <v>2483</v>
      </c>
      <c r="V121" s="26">
        <v>2573</v>
      </c>
      <c r="W121" s="26">
        <v>1036</v>
      </c>
      <c r="X121" s="26">
        <v>92913410</v>
      </c>
      <c r="Y121" s="26">
        <v>11652</v>
      </c>
      <c r="Z121" s="26">
        <v>446</v>
      </c>
      <c r="AA121" s="40" t="s">
        <v>122</v>
      </c>
      <c r="AB121" s="40" t="s">
        <v>122</v>
      </c>
      <c r="AC121" s="104">
        <f t="shared" si="1"/>
        <v>105.9</v>
      </c>
    </row>
    <row r="122" spans="1:29" x14ac:dyDescent="0.25">
      <c r="A122" s="26" t="s">
        <v>695</v>
      </c>
      <c r="B122" s="26">
        <v>1092</v>
      </c>
      <c r="C122" s="26">
        <v>424</v>
      </c>
      <c r="D122" s="26">
        <v>82</v>
      </c>
      <c r="E122" s="26">
        <v>8.75</v>
      </c>
      <c r="F122" s="26">
        <v>45.5</v>
      </c>
      <c r="G122" s="26">
        <v>52.4</v>
      </c>
      <c r="H122" s="26">
        <v>2.58</v>
      </c>
      <c r="I122" s="26">
        <v>19.2</v>
      </c>
      <c r="J122" s="26">
        <v>1123</v>
      </c>
      <c r="K122" s="26">
        <v>882.5</v>
      </c>
      <c r="L122" s="26">
        <v>2097806</v>
      </c>
      <c r="M122" s="26">
        <v>38346</v>
      </c>
      <c r="N122" s="26">
        <v>43.18</v>
      </c>
      <c r="O122" s="26">
        <v>22614</v>
      </c>
      <c r="P122" s="26">
        <v>45228</v>
      </c>
      <c r="Q122" s="26">
        <v>104890</v>
      </c>
      <c r="R122" s="26">
        <v>4949</v>
      </c>
      <c r="S122" s="26">
        <v>9.68</v>
      </c>
      <c r="T122" s="26">
        <v>3941</v>
      </c>
      <c r="U122" s="26">
        <v>7423</v>
      </c>
      <c r="V122" s="26">
        <v>7882</v>
      </c>
      <c r="W122" s="26">
        <v>18772</v>
      </c>
      <c r="X122" s="26">
        <v>265581972</v>
      </c>
      <c r="Y122" s="26">
        <v>33026</v>
      </c>
      <c r="Z122" s="26">
        <v>7.09</v>
      </c>
      <c r="AA122" s="40" t="s">
        <v>122</v>
      </c>
      <c r="AB122" s="40" t="s">
        <v>122</v>
      </c>
      <c r="AC122" s="104">
        <f t="shared" si="1"/>
        <v>101</v>
      </c>
    </row>
    <row r="123" spans="1:29" x14ac:dyDescent="0.25">
      <c r="A123" s="26" t="s">
        <v>696</v>
      </c>
      <c r="B123" s="26">
        <v>1068</v>
      </c>
      <c r="C123" s="26">
        <v>417</v>
      </c>
      <c r="D123" s="26">
        <v>70.099999999999994</v>
      </c>
      <c r="E123" s="26">
        <v>8.75</v>
      </c>
      <c r="F123" s="26">
        <v>39.1</v>
      </c>
      <c r="G123" s="26">
        <v>49.2</v>
      </c>
      <c r="H123" s="26">
        <v>2.97</v>
      </c>
      <c r="I123" s="26">
        <v>22.4</v>
      </c>
      <c r="J123" s="26">
        <v>964.8</v>
      </c>
      <c r="K123" s="26">
        <v>748.5</v>
      </c>
      <c r="L123" s="26">
        <v>1735685</v>
      </c>
      <c r="M123" s="26">
        <v>32446</v>
      </c>
      <c r="N123" s="26">
        <v>42.67</v>
      </c>
      <c r="O123" s="26">
        <v>18845</v>
      </c>
      <c r="P123" s="26">
        <v>37690</v>
      </c>
      <c r="Q123" s="26">
        <v>85327</v>
      </c>
      <c r="R123" s="26">
        <v>4097</v>
      </c>
      <c r="S123" s="26">
        <v>9.4499999999999993</v>
      </c>
      <c r="T123" s="26">
        <v>3228</v>
      </c>
      <c r="U123" s="26">
        <v>6145</v>
      </c>
      <c r="V123" s="26">
        <v>6457</v>
      </c>
      <c r="W123" s="26">
        <v>7742</v>
      </c>
      <c r="X123" s="26">
        <v>174279777</v>
      </c>
      <c r="Y123" s="26">
        <v>28337</v>
      </c>
      <c r="Z123" s="26">
        <v>13</v>
      </c>
      <c r="AA123" s="40" t="s">
        <v>122</v>
      </c>
      <c r="AB123" s="40" t="s">
        <v>122</v>
      </c>
      <c r="AC123" s="104">
        <f t="shared" si="1"/>
        <v>99.789999999999992</v>
      </c>
    </row>
    <row r="124" spans="1:29" x14ac:dyDescent="0.25">
      <c r="A124" s="26" t="s">
        <v>697</v>
      </c>
      <c r="B124" s="26">
        <v>1048</v>
      </c>
      <c r="C124" s="26">
        <v>412</v>
      </c>
      <c r="D124" s="26">
        <v>59.9</v>
      </c>
      <c r="E124" s="26">
        <v>8.75</v>
      </c>
      <c r="F124" s="26">
        <v>34</v>
      </c>
      <c r="G124" s="26">
        <v>47.6</v>
      </c>
      <c r="H124" s="26">
        <v>3.44</v>
      </c>
      <c r="I124" s="26">
        <v>25.7</v>
      </c>
      <c r="J124" s="26">
        <v>819.4</v>
      </c>
      <c r="K124" s="26">
        <v>641.4</v>
      </c>
      <c r="L124" s="26">
        <v>1448485</v>
      </c>
      <c r="M124" s="26">
        <v>27694</v>
      </c>
      <c r="N124" s="26">
        <v>42.16</v>
      </c>
      <c r="O124" s="26">
        <v>15977</v>
      </c>
      <c r="P124" s="26">
        <v>31955</v>
      </c>
      <c r="Q124" s="26">
        <v>70343</v>
      </c>
      <c r="R124" s="26">
        <v>3409</v>
      </c>
      <c r="S124" s="26">
        <v>9.27</v>
      </c>
      <c r="T124" s="26">
        <v>2679</v>
      </c>
      <c r="U124" s="26">
        <v>5113</v>
      </c>
      <c r="V124" s="26">
        <v>5359</v>
      </c>
      <c r="W124" s="26">
        <v>5910</v>
      </c>
      <c r="X124" s="26">
        <v>154945195</v>
      </c>
      <c r="Y124" s="26">
        <v>24476</v>
      </c>
      <c r="Z124" s="26">
        <v>23.1</v>
      </c>
      <c r="AA124" s="40" t="s">
        <v>122</v>
      </c>
      <c r="AB124" s="40" t="s">
        <v>122</v>
      </c>
      <c r="AC124" s="104">
        <f t="shared" si="1"/>
        <v>98.81</v>
      </c>
    </row>
    <row r="125" spans="1:29" x14ac:dyDescent="0.25">
      <c r="A125" s="26" t="s">
        <v>698</v>
      </c>
      <c r="B125" s="26">
        <v>1032</v>
      </c>
      <c r="C125" s="26">
        <v>408</v>
      </c>
      <c r="D125" s="26">
        <v>52.1</v>
      </c>
      <c r="E125" s="26">
        <v>8.75</v>
      </c>
      <c r="F125" s="26">
        <v>29.5</v>
      </c>
      <c r="G125" s="26">
        <v>44.5</v>
      </c>
      <c r="H125" s="26">
        <v>3.92</v>
      </c>
      <c r="I125" s="26">
        <v>29.7</v>
      </c>
      <c r="J125" s="26">
        <v>703.2</v>
      </c>
      <c r="K125" s="26">
        <v>553.6</v>
      </c>
      <c r="L125" s="26">
        <v>1232045</v>
      </c>
      <c r="M125" s="26">
        <v>23925</v>
      </c>
      <c r="N125" s="26">
        <v>41.66</v>
      </c>
      <c r="O125" s="26">
        <v>13683</v>
      </c>
      <c r="P125" s="26">
        <v>27366</v>
      </c>
      <c r="Q125" s="26">
        <v>59105</v>
      </c>
      <c r="R125" s="26">
        <v>2901</v>
      </c>
      <c r="S125" s="26">
        <v>9.14</v>
      </c>
      <c r="T125" s="26">
        <v>2270</v>
      </c>
      <c r="U125" s="26">
        <v>4351</v>
      </c>
      <c r="V125" s="26">
        <v>4539</v>
      </c>
      <c r="W125" s="26">
        <v>4537</v>
      </c>
      <c r="X125" s="26">
        <v>137221828</v>
      </c>
      <c r="Y125" s="26">
        <v>21374</v>
      </c>
      <c r="Z125" s="26">
        <v>39.1</v>
      </c>
      <c r="AA125" s="40" t="s">
        <v>122</v>
      </c>
      <c r="AB125" s="40" t="s">
        <v>122</v>
      </c>
      <c r="AC125" s="104">
        <f t="shared" si="1"/>
        <v>97.99</v>
      </c>
    </row>
    <row r="126" spans="1:29" x14ac:dyDescent="0.25">
      <c r="A126" s="26" t="s">
        <v>699</v>
      </c>
      <c r="B126" s="26">
        <v>1018</v>
      </c>
      <c r="C126" s="26">
        <v>404</v>
      </c>
      <c r="D126" s="26">
        <v>45</v>
      </c>
      <c r="E126" s="26">
        <v>8.75</v>
      </c>
      <c r="F126" s="26">
        <v>25.4</v>
      </c>
      <c r="G126" s="26">
        <v>42.9</v>
      </c>
      <c r="H126" s="26">
        <v>4.49</v>
      </c>
      <c r="I126" s="26">
        <v>34.4</v>
      </c>
      <c r="J126" s="26">
        <v>607.1</v>
      </c>
      <c r="K126" s="26">
        <v>477.7</v>
      </c>
      <c r="L126" s="26">
        <v>1044741</v>
      </c>
      <c r="M126" s="26">
        <v>20484</v>
      </c>
      <c r="N126" s="26">
        <v>41.4</v>
      </c>
      <c r="O126" s="26">
        <v>11635</v>
      </c>
      <c r="P126" s="26">
        <v>23270</v>
      </c>
      <c r="Q126" s="26">
        <v>49532</v>
      </c>
      <c r="R126" s="26">
        <v>2458</v>
      </c>
      <c r="S126" s="26">
        <v>9.0399999999999991</v>
      </c>
      <c r="T126" s="26">
        <v>1917</v>
      </c>
      <c r="U126" s="26">
        <v>3687</v>
      </c>
      <c r="V126" s="26">
        <v>3835</v>
      </c>
      <c r="W126" s="26">
        <v>3305</v>
      </c>
      <c r="X126" s="26">
        <v>119766996</v>
      </c>
      <c r="Y126" s="26">
        <v>18547</v>
      </c>
      <c r="Z126" s="26">
        <v>68.2</v>
      </c>
      <c r="AA126" s="40" t="s">
        <v>122</v>
      </c>
      <c r="AB126" s="40" t="s">
        <v>122</v>
      </c>
      <c r="AC126" s="104">
        <f t="shared" si="1"/>
        <v>97.3</v>
      </c>
    </row>
    <row r="127" spans="1:29" x14ac:dyDescent="0.25">
      <c r="A127" s="26" t="s">
        <v>700</v>
      </c>
      <c r="B127" s="26">
        <v>1012</v>
      </c>
      <c r="C127" s="26">
        <v>402</v>
      </c>
      <c r="D127" s="26">
        <v>41.9</v>
      </c>
      <c r="E127" s="26">
        <v>8.75</v>
      </c>
      <c r="F127" s="26">
        <v>23.6</v>
      </c>
      <c r="G127" s="26">
        <v>42.9</v>
      </c>
      <c r="H127" s="26">
        <v>4.8</v>
      </c>
      <c r="I127" s="26">
        <v>37</v>
      </c>
      <c r="J127" s="26">
        <v>563.9</v>
      </c>
      <c r="K127" s="26">
        <v>442</v>
      </c>
      <c r="L127" s="26">
        <v>965657</v>
      </c>
      <c r="M127" s="26">
        <v>19173</v>
      </c>
      <c r="N127" s="26">
        <v>41.4</v>
      </c>
      <c r="O127" s="26">
        <v>10897</v>
      </c>
      <c r="P127" s="26">
        <v>21795</v>
      </c>
      <c r="Q127" s="26">
        <v>45369</v>
      </c>
      <c r="R127" s="26">
        <v>2261</v>
      </c>
      <c r="S127" s="26">
        <v>8.99</v>
      </c>
      <c r="T127" s="26">
        <v>1762</v>
      </c>
      <c r="U127" s="26">
        <v>3392</v>
      </c>
      <c r="V127" s="26">
        <v>3523</v>
      </c>
      <c r="W127" s="26">
        <v>2547</v>
      </c>
      <c r="X127" s="26">
        <v>106608739</v>
      </c>
      <c r="Y127" s="26">
        <v>17237</v>
      </c>
      <c r="Z127" s="26">
        <v>89.2</v>
      </c>
      <c r="AA127" s="40" t="s">
        <v>122</v>
      </c>
      <c r="AB127" s="40" t="s">
        <v>122</v>
      </c>
      <c r="AC127" s="104">
        <f t="shared" si="1"/>
        <v>97.01</v>
      </c>
    </row>
    <row r="128" spans="1:29" x14ac:dyDescent="0.25">
      <c r="A128" s="26" t="s">
        <v>701</v>
      </c>
      <c r="B128" s="26">
        <v>1008</v>
      </c>
      <c r="C128" s="26">
        <v>402</v>
      </c>
      <c r="D128" s="26">
        <v>40</v>
      </c>
      <c r="E128" s="26">
        <v>8.75</v>
      </c>
      <c r="F128" s="26">
        <v>21.1</v>
      </c>
      <c r="G128" s="26">
        <v>41.3</v>
      </c>
      <c r="H128" s="26">
        <v>5.03</v>
      </c>
      <c r="I128" s="26">
        <v>41.5</v>
      </c>
      <c r="J128" s="26">
        <v>524.5</v>
      </c>
      <c r="K128" s="26">
        <v>412.2</v>
      </c>
      <c r="L128" s="26">
        <v>911547</v>
      </c>
      <c r="M128" s="26">
        <v>18026</v>
      </c>
      <c r="N128" s="26">
        <v>41.66</v>
      </c>
      <c r="O128" s="26">
        <v>10242</v>
      </c>
      <c r="P128" s="26">
        <v>20484</v>
      </c>
      <c r="Q128" s="26">
        <v>43288</v>
      </c>
      <c r="R128" s="26">
        <v>2163</v>
      </c>
      <c r="S128" s="26">
        <v>9.09</v>
      </c>
      <c r="T128" s="26">
        <v>1671</v>
      </c>
      <c r="U128" s="26">
        <v>3245</v>
      </c>
      <c r="V128" s="26">
        <v>3343</v>
      </c>
      <c r="W128" s="26">
        <v>2127</v>
      </c>
      <c r="X128" s="26">
        <v>101506558</v>
      </c>
      <c r="Y128" s="26">
        <v>16203</v>
      </c>
      <c r="Z128" s="26">
        <v>113</v>
      </c>
      <c r="AA128" s="40" t="s">
        <v>122</v>
      </c>
      <c r="AB128" s="40" t="s">
        <v>122</v>
      </c>
      <c r="AC128" s="104">
        <f t="shared" si="1"/>
        <v>96.8</v>
      </c>
    </row>
    <row r="129" spans="1:29" x14ac:dyDescent="0.25">
      <c r="A129" s="26" t="s">
        <v>702</v>
      </c>
      <c r="B129" s="26">
        <v>1000</v>
      </c>
      <c r="C129" s="26">
        <v>400</v>
      </c>
      <c r="D129" s="26">
        <v>36.1</v>
      </c>
      <c r="E129" s="26">
        <v>8.75</v>
      </c>
      <c r="F129" s="26">
        <v>19.100000000000001</v>
      </c>
      <c r="G129" s="26">
        <v>39.700000000000003</v>
      </c>
      <c r="H129" s="26">
        <v>5.0549999999999997</v>
      </c>
      <c r="I129" s="26">
        <v>45.9</v>
      </c>
      <c r="J129" s="26">
        <v>472.9</v>
      </c>
      <c r="K129" s="26">
        <v>370.6</v>
      </c>
      <c r="L129" s="26">
        <v>811651</v>
      </c>
      <c r="M129" s="26">
        <v>16256</v>
      </c>
      <c r="N129" s="26">
        <v>41.4</v>
      </c>
      <c r="O129" s="26">
        <v>9177</v>
      </c>
      <c r="P129" s="26">
        <v>18354</v>
      </c>
      <c r="Q129" s="26">
        <v>38543</v>
      </c>
      <c r="R129" s="26">
        <v>1934</v>
      </c>
      <c r="S129" s="26">
        <v>9.0399999999999991</v>
      </c>
      <c r="T129" s="26">
        <v>1491</v>
      </c>
      <c r="U129" s="26">
        <v>2901</v>
      </c>
      <c r="V129" s="26">
        <v>2982</v>
      </c>
      <c r="W129" s="26">
        <v>1569</v>
      </c>
      <c r="X129" s="26">
        <v>89422444</v>
      </c>
      <c r="Y129" s="26">
        <v>14617</v>
      </c>
      <c r="Z129" s="26">
        <v>167</v>
      </c>
      <c r="AA129" s="40" t="s">
        <v>122</v>
      </c>
      <c r="AB129" s="40" t="s">
        <v>122</v>
      </c>
      <c r="AC129" s="104">
        <f t="shared" si="1"/>
        <v>96.39</v>
      </c>
    </row>
    <row r="130" spans="1:29" x14ac:dyDescent="0.25">
      <c r="A130" s="26" t="s">
        <v>703</v>
      </c>
      <c r="B130" s="26">
        <v>990</v>
      </c>
      <c r="C130" s="26">
        <v>400</v>
      </c>
      <c r="D130" s="26">
        <v>31</v>
      </c>
      <c r="E130" s="26">
        <v>8.75</v>
      </c>
      <c r="F130" s="26">
        <v>16.5</v>
      </c>
      <c r="G130" s="26">
        <v>38.1</v>
      </c>
      <c r="H130" s="26">
        <v>6.45</v>
      </c>
      <c r="I130" s="26">
        <v>53</v>
      </c>
      <c r="J130" s="26">
        <v>408.4</v>
      </c>
      <c r="K130" s="26">
        <v>320</v>
      </c>
      <c r="L130" s="26">
        <v>695106</v>
      </c>
      <c r="M130" s="26">
        <v>14060</v>
      </c>
      <c r="N130" s="26">
        <v>41.15</v>
      </c>
      <c r="O130" s="26">
        <v>7890</v>
      </c>
      <c r="P130" s="26">
        <v>15781</v>
      </c>
      <c r="Q130" s="26">
        <v>33132</v>
      </c>
      <c r="R130" s="26">
        <v>1655</v>
      </c>
      <c r="S130" s="26">
        <v>8.99</v>
      </c>
      <c r="T130" s="26">
        <v>1278</v>
      </c>
      <c r="U130" s="26">
        <v>2483</v>
      </c>
      <c r="V130" s="26">
        <v>2556</v>
      </c>
      <c r="W130" s="26">
        <v>1016</v>
      </c>
      <c r="X130" s="26">
        <v>75995650</v>
      </c>
      <c r="Y130" s="26">
        <v>12617</v>
      </c>
      <c r="Z130" s="26">
        <v>295</v>
      </c>
      <c r="AA130" s="40" t="s">
        <v>122</v>
      </c>
      <c r="AB130" s="40" t="s">
        <v>122</v>
      </c>
      <c r="AC130" s="104">
        <f t="shared" si="1"/>
        <v>95.9</v>
      </c>
    </row>
    <row r="131" spans="1:29" x14ac:dyDescent="0.25">
      <c r="A131" s="26" t="s">
        <v>704</v>
      </c>
      <c r="B131" s="26">
        <v>982</v>
      </c>
      <c r="C131" s="26">
        <v>400</v>
      </c>
      <c r="D131" s="26">
        <v>27.1</v>
      </c>
      <c r="E131" s="26">
        <v>8.75</v>
      </c>
      <c r="F131" s="26">
        <v>16.5</v>
      </c>
      <c r="G131" s="26">
        <v>38.1</v>
      </c>
      <c r="H131" s="26">
        <v>7.39</v>
      </c>
      <c r="I131" s="26">
        <v>53</v>
      </c>
      <c r="J131" s="26">
        <v>376.8</v>
      </c>
      <c r="K131" s="26">
        <v>296.10000000000002</v>
      </c>
      <c r="L131" s="26">
        <v>620185</v>
      </c>
      <c r="M131" s="26">
        <v>12602</v>
      </c>
      <c r="N131" s="26">
        <v>40.64</v>
      </c>
      <c r="O131" s="26">
        <v>7112</v>
      </c>
      <c r="P131" s="26">
        <v>14224</v>
      </c>
      <c r="Q131" s="26">
        <v>28928</v>
      </c>
      <c r="R131" s="26">
        <v>1445</v>
      </c>
      <c r="S131" s="26">
        <v>8.76</v>
      </c>
      <c r="T131" s="26">
        <v>1123</v>
      </c>
      <c r="U131" s="26">
        <v>2168</v>
      </c>
      <c r="V131" s="26">
        <v>2245</v>
      </c>
      <c r="W131" s="26">
        <v>753.4</v>
      </c>
      <c r="X131" s="26">
        <v>65791287</v>
      </c>
      <c r="Y131" s="26">
        <v>11652</v>
      </c>
      <c r="Z131" s="26">
        <v>427</v>
      </c>
      <c r="AA131" s="40" t="s">
        <v>122</v>
      </c>
      <c r="AB131" s="40" t="s">
        <v>122</v>
      </c>
      <c r="AC131" s="104">
        <f t="shared" si="1"/>
        <v>95.49</v>
      </c>
    </row>
    <row r="132" spans="1:29" x14ac:dyDescent="0.25">
      <c r="A132" s="26" t="s">
        <v>705</v>
      </c>
      <c r="B132" s="26">
        <v>970</v>
      </c>
      <c r="C132" s="26">
        <v>400</v>
      </c>
      <c r="D132" s="26">
        <v>21.1</v>
      </c>
      <c r="E132" s="26">
        <v>8.75</v>
      </c>
      <c r="F132" s="26">
        <v>16.5</v>
      </c>
      <c r="G132" s="26">
        <v>38.1</v>
      </c>
      <c r="H132" s="26">
        <v>9.49</v>
      </c>
      <c r="I132" s="26">
        <v>53</v>
      </c>
      <c r="J132" s="26">
        <v>329.7</v>
      </c>
      <c r="K132" s="26">
        <v>258.89999999999998</v>
      </c>
      <c r="L132" s="26">
        <v>507802</v>
      </c>
      <c r="M132" s="26">
        <v>10471</v>
      </c>
      <c r="N132" s="26">
        <v>39.369999999999997</v>
      </c>
      <c r="O132" s="26">
        <v>5858</v>
      </c>
      <c r="P132" s="26">
        <v>11717</v>
      </c>
      <c r="Q132" s="26">
        <v>22518</v>
      </c>
      <c r="R132" s="26">
        <v>1127</v>
      </c>
      <c r="S132" s="26">
        <v>8.2799999999999994</v>
      </c>
      <c r="T132" s="26">
        <v>877</v>
      </c>
      <c r="U132" s="26">
        <v>1691</v>
      </c>
      <c r="V132" s="26">
        <v>1753</v>
      </c>
      <c r="W132" s="26">
        <v>466.2</v>
      </c>
      <c r="X132" s="26">
        <v>50753279</v>
      </c>
      <c r="Y132" s="26">
        <v>10342</v>
      </c>
      <c r="Z132" s="26">
        <v>757</v>
      </c>
      <c r="AA132" s="40" t="s">
        <v>122</v>
      </c>
      <c r="AB132" s="40" t="s">
        <v>122</v>
      </c>
      <c r="AC132" s="104">
        <f t="shared" si="1"/>
        <v>94.89</v>
      </c>
    </row>
    <row r="133" spans="1:29" x14ac:dyDescent="0.25">
      <c r="A133" s="26" t="s">
        <v>706</v>
      </c>
      <c r="B133" s="26">
        <v>1078</v>
      </c>
      <c r="C133" s="26">
        <v>321</v>
      </c>
      <c r="D133" s="26">
        <v>74.900000000000006</v>
      </c>
      <c r="E133" s="26">
        <v>8.75</v>
      </c>
      <c r="F133" s="26">
        <v>42.4</v>
      </c>
      <c r="G133" s="26">
        <v>50.8</v>
      </c>
      <c r="H133" s="26">
        <v>2.14</v>
      </c>
      <c r="I133" s="26">
        <v>20.6</v>
      </c>
      <c r="J133" s="26">
        <v>883.9</v>
      </c>
      <c r="K133" s="26">
        <v>693.5</v>
      </c>
      <c r="L133" s="26">
        <v>1510920</v>
      </c>
      <c r="M133" s="26">
        <v>28022</v>
      </c>
      <c r="N133" s="26">
        <v>41.4</v>
      </c>
      <c r="O133" s="26">
        <v>16797</v>
      </c>
      <c r="P133" s="26">
        <v>33593</v>
      </c>
      <c r="Q133" s="26">
        <v>42039</v>
      </c>
      <c r="R133" s="26">
        <v>2622</v>
      </c>
      <c r="S133" s="26">
        <v>6.91</v>
      </c>
      <c r="T133" s="26">
        <v>2147</v>
      </c>
      <c r="U133" s="26">
        <v>3933</v>
      </c>
      <c r="V133" s="26">
        <v>4293</v>
      </c>
      <c r="W133" s="26">
        <v>11530</v>
      </c>
      <c r="X133" s="26">
        <v>105534596</v>
      </c>
      <c r="Y133" s="26">
        <v>31440</v>
      </c>
      <c r="Z133" s="26">
        <v>9.9499999999999993</v>
      </c>
      <c r="AA133" s="40" t="s">
        <v>122</v>
      </c>
      <c r="AB133" s="40" t="s">
        <v>122</v>
      </c>
      <c r="AC133" s="104">
        <f t="shared" ref="AC133:AC196" si="3">(B133-D133)/10</f>
        <v>100.31</v>
      </c>
    </row>
    <row r="134" spans="1:29" x14ac:dyDescent="0.25">
      <c r="A134" s="26" t="s">
        <v>707</v>
      </c>
      <c r="B134" s="26">
        <v>1056</v>
      </c>
      <c r="C134" s="26">
        <v>314</v>
      </c>
      <c r="D134" s="26">
        <v>64</v>
      </c>
      <c r="E134" s="26">
        <v>8.75</v>
      </c>
      <c r="F134" s="26">
        <v>36.1</v>
      </c>
      <c r="G134" s="26">
        <v>47.6</v>
      </c>
      <c r="H134" s="26">
        <v>2.4500000000000002</v>
      </c>
      <c r="I134" s="26">
        <v>24.3</v>
      </c>
      <c r="J134" s="26">
        <v>741.9</v>
      </c>
      <c r="K134" s="26">
        <v>583.4</v>
      </c>
      <c r="L134" s="26">
        <v>1244532</v>
      </c>
      <c r="M134" s="26">
        <v>23597</v>
      </c>
      <c r="N134" s="26">
        <v>40.89</v>
      </c>
      <c r="O134" s="26">
        <v>14011</v>
      </c>
      <c r="P134" s="26">
        <v>28022</v>
      </c>
      <c r="Q134" s="26">
        <v>33423</v>
      </c>
      <c r="R134" s="26">
        <v>2130</v>
      </c>
      <c r="S134" s="26">
        <v>6.71</v>
      </c>
      <c r="T134" s="26">
        <v>1737</v>
      </c>
      <c r="U134" s="26">
        <v>3195</v>
      </c>
      <c r="V134" s="26">
        <v>3474</v>
      </c>
      <c r="W134" s="26">
        <v>7159</v>
      </c>
      <c r="X134" s="26">
        <v>82171975</v>
      </c>
      <c r="Y134" s="26">
        <v>27027</v>
      </c>
      <c r="Z134" s="26">
        <v>17.899999999999999</v>
      </c>
      <c r="AA134" s="40" t="s">
        <v>122</v>
      </c>
      <c r="AB134" s="40" t="s">
        <v>122</v>
      </c>
      <c r="AC134" s="104">
        <f t="shared" si="3"/>
        <v>99.2</v>
      </c>
    </row>
    <row r="135" spans="1:29" x14ac:dyDescent="0.25">
      <c r="A135" s="26" t="s">
        <v>708</v>
      </c>
      <c r="B135" s="26">
        <v>1036</v>
      </c>
      <c r="C135" s="26">
        <v>309</v>
      </c>
      <c r="D135" s="26">
        <v>54.1</v>
      </c>
      <c r="E135" s="26">
        <v>8.75</v>
      </c>
      <c r="F135" s="26">
        <v>31</v>
      </c>
      <c r="G135" s="26">
        <v>46</v>
      </c>
      <c r="H135" s="26">
        <v>2.86</v>
      </c>
      <c r="I135" s="26">
        <v>28.2</v>
      </c>
      <c r="J135" s="26">
        <v>629.70000000000005</v>
      </c>
      <c r="K135" s="26">
        <v>492.6</v>
      </c>
      <c r="L135" s="26">
        <v>1028092</v>
      </c>
      <c r="M135" s="26">
        <v>19828</v>
      </c>
      <c r="N135" s="26">
        <v>40.39</v>
      </c>
      <c r="O135" s="26">
        <v>11717</v>
      </c>
      <c r="P135" s="26">
        <v>23434</v>
      </c>
      <c r="Q135" s="26">
        <v>26889</v>
      </c>
      <c r="R135" s="26">
        <v>1737</v>
      </c>
      <c r="S135" s="26">
        <v>6.53</v>
      </c>
      <c r="T135" s="26">
        <v>1409</v>
      </c>
      <c r="U135" s="26">
        <v>2606</v>
      </c>
      <c r="V135" s="26">
        <v>2819</v>
      </c>
      <c r="W135" s="26">
        <v>4412</v>
      </c>
      <c r="X135" s="26">
        <v>64985680</v>
      </c>
      <c r="Y135" s="26">
        <v>23166</v>
      </c>
      <c r="Z135" s="26">
        <v>32.799999999999997</v>
      </c>
      <c r="AA135" s="40" t="s">
        <v>122</v>
      </c>
      <c r="AB135" s="40" t="s">
        <v>122</v>
      </c>
      <c r="AC135" s="104">
        <f t="shared" si="3"/>
        <v>98.19</v>
      </c>
    </row>
    <row r="136" spans="1:29" x14ac:dyDescent="0.25">
      <c r="A136" s="26" t="s">
        <v>709</v>
      </c>
      <c r="B136" s="26">
        <v>1020</v>
      </c>
      <c r="C136" s="26">
        <v>304</v>
      </c>
      <c r="D136" s="26">
        <v>46</v>
      </c>
      <c r="E136" s="26">
        <v>8.75</v>
      </c>
      <c r="F136" s="26">
        <v>25.9</v>
      </c>
      <c r="G136" s="26">
        <v>42.9</v>
      </c>
      <c r="H136" s="26">
        <v>3.31</v>
      </c>
      <c r="I136" s="26">
        <v>33.799999999999997</v>
      </c>
      <c r="J136" s="26">
        <v>527.70000000000005</v>
      </c>
      <c r="K136" s="26">
        <v>413.7</v>
      </c>
      <c r="L136" s="26">
        <v>853274</v>
      </c>
      <c r="M136" s="26">
        <v>16715</v>
      </c>
      <c r="N136" s="26">
        <v>40.130000000000003</v>
      </c>
      <c r="O136" s="26">
        <v>9750</v>
      </c>
      <c r="P136" s="26">
        <v>19501</v>
      </c>
      <c r="Q136" s="26">
        <v>21686</v>
      </c>
      <c r="R136" s="26">
        <v>1427</v>
      </c>
      <c r="S136" s="26">
        <v>6.4</v>
      </c>
      <c r="T136" s="26">
        <v>1147</v>
      </c>
      <c r="U136" s="26">
        <v>2141</v>
      </c>
      <c r="V136" s="26">
        <v>2294</v>
      </c>
      <c r="W136" s="26">
        <v>2693</v>
      </c>
      <c r="X136" s="26">
        <v>51558886</v>
      </c>
      <c r="Y136" s="26">
        <v>19719</v>
      </c>
      <c r="Z136" s="26">
        <v>61.2</v>
      </c>
      <c r="AA136" s="40" t="s">
        <v>122</v>
      </c>
      <c r="AB136" s="40" t="s">
        <v>122</v>
      </c>
      <c r="AC136" s="104">
        <f t="shared" si="3"/>
        <v>97.4</v>
      </c>
    </row>
    <row r="137" spans="1:29" x14ac:dyDescent="0.25">
      <c r="A137" s="26" t="s">
        <v>710</v>
      </c>
      <c r="B137" s="26">
        <v>1016</v>
      </c>
      <c r="C137" s="26">
        <v>303</v>
      </c>
      <c r="D137" s="26">
        <v>43.9</v>
      </c>
      <c r="E137" s="26">
        <v>8.75</v>
      </c>
      <c r="F137" s="26">
        <v>24.4</v>
      </c>
      <c r="G137" s="26">
        <v>42.9</v>
      </c>
      <c r="H137" s="26">
        <v>3.45</v>
      </c>
      <c r="I137" s="26">
        <v>35.9</v>
      </c>
      <c r="J137" s="26">
        <v>500.6</v>
      </c>
      <c r="K137" s="26">
        <v>392.9</v>
      </c>
      <c r="L137" s="26">
        <v>807489</v>
      </c>
      <c r="M137" s="26">
        <v>15912</v>
      </c>
      <c r="N137" s="26">
        <v>40.130000000000003</v>
      </c>
      <c r="O137" s="26">
        <v>9259</v>
      </c>
      <c r="P137" s="26">
        <v>18517</v>
      </c>
      <c r="Q137" s="26">
        <v>20520</v>
      </c>
      <c r="R137" s="26">
        <v>1354</v>
      </c>
      <c r="S137" s="26">
        <v>6.4</v>
      </c>
      <c r="T137" s="26">
        <v>1082</v>
      </c>
      <c r="U137" s="26">
        <v>2030</v>
      </c>
      <c r="V137" s="26">
        <v>2163</v>
      </c>
      <c r="W137" s="26">
        <v>2335</v>
      </c>
      <c r="X137" s="26">
        <v>48604992</v>
      </c>
      <c r="Y137" s="26">
        <v>18754</v>
      </c>
      <c r="Z137" s="26">
        <v>73.8</v>
      </c>
      <c r="AA137" s="40" t="s">
        <v>122</v>
      </c>
      <c r="AB137" s="40" t="s">
        <v>122</v>
      </c>
      <c r="AC137" s="104">
        <f t="shared" si="3"/>
        <v>97.210000000000008</v>
      </c>
    </row>
    <row r="138" spans="1:29" x14ac:dyDescent="0.25">
      <c r="A138" s="26" t="s">
        <v>711</v>
      </c>
      <c r="B138" s="26">
        <v>1008</v>
      </c>
      <c r="C138" s="26">
        <v>302</v>
      </c>
      <c r="D138" s="26">
        <v>40</v>
      </c>
      <c r="E138" s="26">
        <v>8.75</v>
      </c>
      <c r="F138" s="26">
        <v>21.1</v>
      </c>
      <c r="G138" s="26">
        <v>41.3</v>
      </c>
      <c r="H138" s="26">
        <v>3.77</v>
      </c>
      <c r="I138" s="26">
        <v>41.5</v>
      </c>
      <c r="J138" s="26">
        <v>444.5</v>
      </c>
      <c r="K138" s="26">
        <v>349.7</v>
      </c>
      <c r="L138" s="26">
        <v>724243</v>
      </c>
      <c r="M138" s="26">
        <v>14322</v>
      </c>
      <c r="N138" s="26">
        <v>40.39</v>
      </c>
      <c r="O138" s="26">
        <v>8275</v>
      </c>
      <c r="P138" s="26">
        <v>16551</v>
      </c>
      <c r="Q138" s="26">
        <v>18481</v>
      </c>
      <c r="R138" s="26">
        <v>1222</v>
      </c>
      <c r="S138" s="26">
        <v>6.45</v>
      </c>
      <c r="T138" s="26">
        <v>967</v>
      </c>
      <c r="U138" s="26">
        <v>1834</v>
      </c>
      <c r="V138" s="26">
        <v>1934</v>
      </c>
      <c r="W138" s="26">
        <v>1719</v>
      </c>
      <c r="X138" s="26">
        <v>43234275</v>
      </c>
      <c r="Y138" s="26">
        <v>16754</v>
      </c>
      <c r="Z138" s="26">
        <v>112</v>
      </c>
      <c r="AA138" s="40" t="s">
        <v>122</v>
      </c>
      <c r="AB138" s="40" t="s">
        <v>122</v>
      </c>
      <c r="AC138" s="104">
        <f t="shared" si="3"/>
        <v>96.8</v>
      </c>
    </row>
    <row r="139" spans="1:29" x14ac:dyDescent="0.25">
      <c r="A139" s="26" t="s">
        <v>712</v>
      </c>
      <c r="B139" s="26">
        <v>1000</v>
      </c>
      <c r="C139" s="26">
        <v>300</v>
      </c>
      <c r="D139" s="26">
        <v>35.9</v>
      </c>
      <c r="E139" s="26">
        <v>8.75</v>
      </c>
      <c r="F139" s="26">
        <v>19.100000000000001</v>
      </c>
      <c r="G139" s="26">
        <v>39.700000000000003</v>
      </c>
      <c r="H139" s="26">
        <v>4.17</v>
      </c>
      <c r="I139" s="26">
        <v>45.9</v>
      </c>
      <c r="J139" s="26">
        <v>400</v>
      </c>
      <c r="K139" s="26">
        <v>314</v>
      </c>
      <c r="L139" s="26">
        <v>645159</v>
      </c>
      <c r="M139" s="26">
        <v>12864</v>
      </c>
      <c r="N139" s="26">
        <v>40.130000000000003</v>
      </c>
      <c r="O139" s="26">
        <v>7415</v>
      </c>
      <c r="P139" s="26">
        <v>14830</v>
      </c>
      <c r="Q139" s="26">
        <v>16233</v>
      </c>
      <c r="R139" s="26">
        <v>1083</v>
      </c>
      <c r="S139" s="26">
        <v>6.38</v>
      </c>
      <c r="T139" s="26">
        <v>860</v>
      </c>
      <c r="U139" s="26">
        <v>1625</v>
      </c>
      <c r="V139" s="26">
        <v>1721</v>
      </c>
      <c r="W139" s="26">
        <v>1265</v>
      </c>
      <c r="X139" s="26">
        <v>37595021</v>
      </c>
      <c r="Y139" s="26">
        <v>15168</v>
      </c>
      <c r="Z139" s="26">
        <v>166</v>
      </c>
      <c r="AA139" s="40" t="s">
        <v>122</v>
      </c>
      <c r="AB139" s="40" t="s">
        <v>122</v>
      </c>
      <c r="AC139" s="104">
        <f t="shared" si="3"/>
        <v>96.41</v>
      </c>
    </row>
    <row r="140" spans="1:29" x14ac:dyDescent="0.25">
      <c r="A140" s="26" t="s">
        <v>713</v>
      </c>
      <c r="B140" s="26">
        <v>990</v>
      </c>
      <c r="C140" s="26">
        <v>300</v>
      </c>
      <c r="D140" s="26">
        <v>31</v>
      </c>
      <c r="E140" s="26">
        <v>8.75</v>
      </c>
      <c r="F140" s="26">
        <v>16.5</v>
      </c>
      <c r="G140" s="26">
        <v>38.1</v>
      </c>
      <c r="H140" s="26">
        <v>4.84</v>
      </c>
      <c r="I140" s="26">
        <v>53</v>
      </c>
      <c r="J140" s="26">
        <v>346.5</v>
      </c>
      <c r="K140" s="26">
        <v>272.3</v>
      </c>
      <c r="L140" s="26">
        <v>553588</v>
      </c>
      <c r="M140" s="26">
        <v>11176</v>
      </c>
      <c r="N140" s="26">
        <v>39.880000000000003</v>
      </c>
      <c r="O140" s="26">
        <v>63.99</v>
      </c>
      <c r="P140" s="26">
        <v>12798</v>
      </c>
      <c r="Q140" s="26">
        <v>13985</v>
      </c>
      <c r="R140" s="26">
        <v>932</v>
      </c>
      <c r="S140" s="26">
        <v>6.35</v>
      </c>
      <c r="T140" s="26">
        <v>734</v>
      </c>
      <c r="U140" s="26">
        <v>1399</v>
      </c>
      <c r="V140" s="26">
        <v>1468</v>
      </c>
      <c r="W140" s="26">
        <v>815.8</v>
      </c>
      <c r="X140" s="26">
        <v>31955768</v>
      </c>
      <c r="Y140" s="26">
        <v>13100</v>
      </c>
      <c r="Z140" s="26">
        <v>288</v>
      </c>
      <c r="AA140" s="40" t="s">
        <v>122</v>
      </c>
      <c r="AB140" s="40" t="s">
        <v>122</v>
      </c>
      <c r="AC140" s="104">
        <f t="shared" si="3"/>
        <v>95.9</v>
      </c>
    </row>
    <row r="141" spans="1:29" x14ac:dyDescent="0.25">
      <c r="A141" s="26" t="s">
        <v>714</v>
      </c>
      <c r="B141" s="26">
        <v>980</v>
      </c>
      <c r="C141" s="26">
        <v>300</v>
      </c>
      <c r="D141" s="26">
        <v>26</v>
      </c>
      <c r="E141" s="26">
        <v>8.75</v>
      </c>
      <c r="F141" s="26">
        <v>16.5</v>
      </c>
      <c r="G141" s="26">
        <v>38.1</v>
      </c>
      <c r="H141" s="26">
        <v>5.76</v>
      </c>
      <c r="I141" s="26">
        <v>53</v>
      </c>
      <c r="J141" s="26">
        <v>316.8</v>
      </c>
      <c r="K141" s="26">
        <v>248.5</v>
      </c>
      <c r="L141" s="26">
        <v>482828</v>
      </c>
      <c r="M141" s="26">
        <v>9816</v>
      </c>
      <c r="N141" s="26">
        <v>38.86</v>
      </c>
      <c r="O141" s="26">
        <v>56.7</v>
      </c>
      <c r="P141" s="26">
        <v>11340</v>
      </c>
      <c r="Q141" s="26">
        <v>11779</v>
      </c>
      <c r="R141" s="26">
        <v>785</v>
      </c>
      <c r="S141" s="26">
        <v>6.1</v>
      </c>
      <c r="T141" s="26">
        <v>623</v>
      </c>
      <c r="U141" s="26">
        <v>1177</v>
      </c>
      <c r="V141" s="26">
        <v>1245</v>
      </c>
      <c r="W141" s="26">
        <v>582.70000000000005</v>
      </c>
      <c r="X141" s="26">
        <v>26665612</v>
      </c>
      <c r="Y141" s="26">
        <v>12066</v>
      </c>
      <c r="Z141" s="26">
        <v>431</v>
      </c>
      <c r="AA141" s="40" t="s">
        <v>122</v>
      </c>
      <c r="AB141" s="40" t="s">
        <v>122</v>
      </c>
      <c r="AC141" s="104">
        <f t="shared" si="3"/>
        <v>95.4</v>
      </c>
    </row>
    <row r="142" spans="1:29" x14ac:dyDescent="0.25">
      <c r="A142" s="26" t="s">
        <v>715</v>
      </c>
      <c r="B142" s="26">
        <v>970</v>
      </c>
      <c r="C142" s="26">
        <v>300</v>
      </c>
      <c r="D142" s="26">
        <v>21.1</v>
      </c>
      <c r="E142" s="26">
        <v>8.75</v>
      </c>
      <c r="F142" s="26">
        <v>16</v>
      </c>
      <c r="G142" s="26">
        <v>38.1</v>
      </c>
      <c r="H142" s="26">
        <v>7.11</v>
      </c>
      <c r="I142" s="26">
        <v>54.7</v>
      </c>
      <c r="J142" s="26">
        <v>282.60000000000002</v>
      </c>
      <c r="K142" s="26">
        <v>221.7</v>
      </c>
      <c r="L142" s="26">
        <v>407074</v>
      </c>
      <c r="M142" s="26">
        <v>8390</v>
      </c>
      <c r="N142" s="26">
        <v>37.85</v>
      </c>
      <c r="O142" s="26">
        <v>48.92</v>
      </c>
      <c r="P142" s="26">
        <v>9783</v>
      </c>
      <c r="Q142" s="26">
        <v>9532</v>
      </c>
      <c r="R142" s="26">
        <v>636</v>
      </c>
      <c r="S142" s="26">
        <v>5.82</v>
      </c>
      <c r="T142" s="26">
        <v>510</v>
      </c>
      <c r="U142" s="26">
        <v>954</v>
      </c>
      <c r="V142" s="26">
        <v>1019</v>
      </c>
      <c r="W142" s="26">
        <v>399.6</v>
      </c>
      <c r="X142" s="26">
        <v>21375455</v>
      </c>
      <c r="Y142" s="26">
        <v>11101</v>
      </c>
      <c r="Z142" s="26">
        <v>661</v>
      </c>
      <c r="AA142" s="40" t="s">
        <v>122</v>
      </c>
      <c r="AB142" s="40" t="s">
        <v>122</v>
      </c>
      <c r="AC142" s="104">
        <f t="shared" si="3"/>
        <v>94.89</v>
      </c>
    </row>
    <row r="143" spans="1:29" x14ac:dyDescent="0.25">
      <c r="A143" s="26" t="s">
        <v>716</v>
      </c>
      <c r="B143" s="26">
        <v>1078</v>
      </c>
      <c r="C143" s="26">
        <v>461</v>
      </c>
      <c r="D143" s="26">
        <v>115</v>
      </c>
      <c r="E143" s="26">
        <v>799</v>
      </c>
      <c r="F143" s="26">
        <v>64</v>
      </c>
      <c r="G143" s="26">
        <v>57.2</v>
      </c>
      <c r="H143" s="26">
        <v>2</v>
      </c>
      <c r="I143" s="26">
        <v>12.5</v>
      </c>
      <c r="J143" s="26">
        <v>1606</v>
      </c>
      <c r="K143" s="26">
        <v>1262</v>
      </c>
      <c r="L143" s="26">
        <v>2805400</v>
      </c>
      <c r="M143" s="26">
        <v>51947</v>
      </c>
      <c r="N143" s="26">
        <v>41.66</v>
      </c>
      <c r="O143" s="26">
        <v>31381</v>
      </c>
      <c r="P143" s="26">
        <v>62762</v>
      </c>
      <c r="Q143" s="26">
        <v>189385</v>
      </c>
      <c r="R143" s="26">
        <v>8210</v>
      </c>
      <c r="S143" s="26">
        <v>10.85</v>
      </c>
      <c r="T143" s="26">
        <v>6547</v>
      </c>
      <c r="U143" s="26">
        <v>12315</v>
      </c>
      <c r="V143" s="26">
        <v>13093</v>
      </c>
      <c r="W143" s="26">
        <v>52861</v>
      </c>
      <c r="X143" s="26">
        <v>435028104</v>
      </c>
      <c r="Y143" s="26">
        <v>48953</v>
      </c>
      <c r="Z143" s="26">
        <v>1.49</v>
      </c>
      <c r="AA143" s="40" t="s">
        <v>122</v>
      </c>
      <c r="AB143" s="40" t="s">
        <v>122</v>
      </c>
      <c r="AC143" s="104">
        <f t="shared" si="3"/>
        <v>96.3</v>
      </c>
    </row>
    <row r="144" spans="1:29" x14ac:dyDescent="0.25">
      <c r="A144" s="26" t="s">
        <v>717</v>
      </c>
      <c r="B144" s="26">
        <v>1066</v>
      </c>
      <c r="C144" s="26">
        <v>457</v>
      </c>
      <c r="D144" s="26">
        <v>109</v>
      </c>
      <c r="E144" s="26">
        <v>799</v>
      </c>
      <c r="F144" s="26">
        <v>60.5</v>
      </c>
      <c r="G144" s="26">
        <v>55.6</v>
      </c>
      <c r="H144" s="26">
        <v>2.1</v>
      </c>
      <c r="I144" s="26">
        <v>13.2</v>
      </c>
      <c r="J144" s="26">
        <v>1510</v>
      </c>
      <c r="K144" s="26">
        <v>1188</v>
      </c>
      <c r="L144" s="26">
        <v>2605609</v>
      </c>
      <c r="M144" s="26">
        <v>48833</v>
      </c>
      <c r="N144" s="26">
        <v>41.66</v>
      </c>
      <c r="O144" s="26">
        <v>29251</v>
      </c>
      <c r="P144" s="26">
        <v>58502</v>
      </c>
      <c r="Q144" s="26">
        <v>174817</v>
      </c>
      <c r="R144" s="26">
        <v>7653</v>
      </c>
      <c r="S144" s="26">
        <v>10.77</v>
      </c>
      <c r="T144" s="26">
        <v>6088</v>
      </c>
      <c r="U144" s="26">
        <v>11479</v>
      </c>
      <c r="V144" s="26">
        <v>12176</v>
      </c>
      <c r="W144" s="26">
        <v>44537</v>
      </c>
      <c r="X144" s="26">
        <v>397433082</v>
      </c>
      <c r="Y144" s="26">
        <v>46333</v>
      </c>
      <c r="Z144" s="26">
        <v>1.83</v>
      </c>
      <c r="AA144" s="40" t="s">
        <v>122</v>
      </c>
      <c r="AB144" s="40" t="s">
        <v>122</v>
      </c>
      <c r="AC144" s="104">
        <f t="shared" si="3"/>
        <v>95.7</v>
      </c>
    </row>
    <row r="145" spans="1:29" x14ac:dyDescent="0.25">
      <c r="A145" s="26" t="s">
        <v>718</v>
      </c>
      <c r="B145" s="26">
        <v>1028</v>
      </c>
      <c r="C145" s="26">
        <v>446</v>
      </c>
      <c r="D145" s="26">
        <v>89.9</v>
      </c>
      <c r="E145" s="26">
        <v>799</v>
      </c>
      <c r="F145" s="26">
        <v>50</v>
      </c>
      <c r="G145" s="26">
        <v>50.8</v>
      </c>
      <c r="H145" s="26">
        <v>2.48</v>
      </c>
      <c r="I145" s="26">
        <v>16</v>
      </c>
      <c r="J145" s="26">
        <v>1226</v>
      </c>
      <c r="K145" s="26">
        <v>967.3</v>
      </c>
      <c r="L145" s="26">
        <v>2035372</v>
      </c>
      <c r="M145" s="26">
        <v>39657</v>
      </c>
      <c r="N145" s="26">
        <v>40.64</v>
      </c>
      <c r="O145" s="26">
        <v>23270</v>
      </c>
      <c r="P145" s="26">
        <v>46539</v>
      </c>
      <c r="Q145" s="26">
        <v>134443</v>
      </c>
      <c r="R145" s="26">
        <v>6014</v>
      </c>
      <c r="S145" s="26">
        <v>10.46</v>
      </c>
      <c r="T145" s="26">
        <v>4752</v>
      </c>
      <c r="U145" s="26">
        <v>9021</v>
      </c>
      <c r="V145" s="26">
        <v>9504</v>
      </c>
      <c r="W145" s="26">
        <v>24974</v>
      </c>
      <c r="X145" s="26">
        <v>292704095</v>
      </c>
      <c r="Y145" s="26">
        <v>38542</v>
      </c>
      <c r="Z145" s="26">
        <v>3.68</v>
      </c>
      <c r="AA145" s="40" t="s">
        <v>122</v>
      </c>
      <c r="AB145" s="40" t="s">
        <v>122</v>
      </c>
      <c r="AC145" s="104">
        <f t="shared" si="3"/>
        <v>93.81</v>
      </c>
    </row>
    <row r="146" spans="1:29" x14ac:dyDescent="0.25">
      <c r="A146" s="26" t="s">
        <v>719</v>
      </c>
      <c r="B146" s="26">
        <v>996</v>
      </c>
      <c r="C146" s="26">
        <v>437</v>
      </c>
      <c r="D146" s="26">
        <v>73.900000000000006</v>
      </c>
      <c r="E146" s="26">
        <v>799</v>
      </c>
      <c r="F146" s="26">
        <v>40.9</v>
      </c>
      <c r="G146" s="26">
        <v>44.5</v>
      </c>
      <c r="H146" s="26">
        <v>2.96</v>
      </c>
      <c r="I146" s="26">
        <v>19.5</v>
      </c>
      <c r="J146" s="26">
        <v>993.5</v>
      </c>
      <c r="K146" s="26">
        <v>784.3</v>
      </c>
      <c r="L146" s="26">
        <v>1594166</v>
      </c>
      <c r="M146" s="26">
        <v>31955</v>
      </c>
      <c r="N146" s="26">
        <v>40.130000000000003</v>
      </c>
      <c r="O146" s="26">
        <v>18599</v>
      </c>
      <c r="P146" s="26">
        <v>37199</v>
      </c>
      <c r="Q146" s="26">
        <v>103642</v>
      </c>
      <c r="R146" s="26">
        <v>4736</v>
      </c>
      <c r="S146" s="26">
        <v>10.210000000000001</v>
      </c>
      <c r="T146" s="26">
        <v>3720</v>
      </c>
      <c r="U146" s="26">
        <v>7104</v>
      </c>
      <c r="V146" s="26">
        <v>7440</v>
      </c>
      <c r="W146" s="26">
        <v>13736</v>
      </c>
      <c r="X146" s="26">
        <v>219125267</v>
      </c>
      <c r="Y146" s="26">
        <v>31923</v>
      </c>
      <c r="Z146" s="26">
        <v>7.68</v>
      </c>
      <c r="AA146" s="40" t="s">
        <v>122</v>
      </c>
      <c r="AB146" s="40" t="s">
        <v>122</v>
      </c>
      <c r="AC146" s="104">
        <f t="shared" si="3"/>
        <v>92.210000000000008</v>
      </c>
    </row>
    <row r="147" spans="1:29" x14ac:dyDescent="0.25">
      <c r="A147" s="26" t="s">
        <v>720</v>
      </c>
      <c r="B147" s="26">
        <v>972</v>
      </c>
      <c r="C147" s="26">
        <v>431</v>
      </c>
      <c r="D147" s="26">
        <v>62</v>
      </c>
      <c r="E147" s="26">
        <v>799</v>
      </c>
      <c r="F147" s="26">
        <v>34.5</v>
      </c>
      <c r="G147" s="26">
        <v>41.3</v>
      </c>
      <c r="H147" s="26">
        <v>3.48</v>
      </c>
      <c r="I147" s="26">
        <v>23.1</v>
      </c>
      <c r="J147" s="26">
        <v>825.8</v>
      </c>
      <c r="K147" s="26">
        <v>653.29999999999995</v>
      </c>
      <c r="L147" s="26">
        <v>1290317</v>
      </c>
      <c r="M147" s="26">
        <v>26547</v>
      </c>
      <c r="N147" s="26">
        <v>39.619999999999997</v>
      </c>
      <c r="O147" s="26">
        <v>15240</v>
      </c>
      <c r="P147" s="26">
        <v>30480</v>
      </c>
      <c r="Q147" s="26">
        <v>82830</v>
      </c>
      <c r="R147" s="26">
        <v>3851</v>
      </c>
      <c r="S147" s="26">
        <v>10.029999999999999</v>
      </c>
      <c r="T147" s="26">
        <v>3007</v>
      </c>
      <c r="U147" s="26">
        <v>5776</v>
      </c>
      <c r="V147" s="26">
        <v>6014</v>
      </c>
      <c r="W147" s="26">
        <v>8117</v>
      </c>
      <c r="X147" s="26">
        <v>171057347</v>
      </c>
      <c r="Y147" s="26">
        <v>26890</v>
      </c>
      <c r="Z147" s="26">
        <v>14.8</v>
      </c>
      <c r="AA147" s="40" t="s">
        <v>122</v>
      </c>
      <c r="AB147" s="40" t="s">
        <v>122</v>
      </c>
      <c r="AC147" s="104">
        <f t="shared" si="3"/>
        <v>91</v>
      </c>
    </row>
    <row r="148" spans="1:29" x14ac:dyDescent="0.25">
      <c r="A148" s="26" t="s">
        <v>721</v>
      </c>
      <c r="B148" s="26">
        <v>960</v>
      </c>
      <c r="C148" s="26">
        <v>427</v>
      </c>
      <c r="D148" s="26">
        <v>55.9</v>
      </c>
      <c r="E148" s="26">
        <v>799</v>
      </c>
      <c r="F148" s="26">
        <v>31</v>
      </c>
      <c r="G148" s="26">
        <v>41.3</v>
      </c>
      <c r="H148" s="26">
        <v>3.83</v>
      </c>
      <c r="I148" s="26">
        <v>25.8</v>
      </c>
      <c r="J148" s="26">
        <v>741.9</v>
      </c>
      <c r="K148" s="26">
        <v>584.79999999999995</v>
      </c>
      <c r="L148" s="26">
        <v>1144636</v>
      </c>
      <c r="M148" s="26">
        <v>23761</v>
      </c>
      <c r="N148" s="26">
        <v>39.369999999999997</v>
      </c>
      <c r="O148" s="26">
        <v>13601</v>
      </c>
      <c r="P148" s="26">
        <v>27203</v>
      </c>
      <c r="Q148" s="26">
        <v>72840</v>
      </c>
      <c r="R148" s="26">
        <v>3409</v>
      </c>
      <c r="S148" s="26">
        <v>9.91</v>
      </c>
      <c r="T148" s="26">
        <v>2663</v>
      </c>
      <c r="U148" s="26">
        <v>5113</v>
      </c>
      <c r="V148" s="26">
        <v>5326</v>
      </c>
      <c r="W148" s="26">
        <v>5952</v>
      </c>
      <c r="X148" s="26">
        <v>148768870</v>
      </c>
      <c r="Y148" s="26">
        <v>24407</v>
      </c>
      <c r="Z148" s="26">
        <v>21.9</v>
      </c>
      <c r="AA148" s="40" t="s">
        <v>122</v>
      </c>
      <c r="AB148" s="40" t="s">
        <v>122</v>
      </c>
      <c r="AC148" s="104">
        <f t="shared" si="3"/>
        <v>90.41</v>
      </c>
    </row>
    <row r="149" spans="1:29" x14ac:dyDescent="0.25">
      <c r="A149" s="26" t="s">
        <v>722</v>
      </c>
      <c r="B149" s="26">
        <v>950</v>
      </c>
      <c r="C149" s="26">
        <v>425</v>
      </c>
      <c r="D149" s="26">
        <v>51.1</v>
      </c>
      <c r="E149" s="26">
        <v>799</v>
      </c>
      <c r="F149" s="26">
        <v>28.4</v>
      </c>
      <c r="G149" s="26">
        <v>39.700000000000003</v>
      </c>
      <c r="H149" s="26">
        <v>4.16</v>
      </c>
      <c r="I149" s="26">
        <v>28.1</v>
      </c>
      <c r="J149" s="26">
        <v>677.4</v>
      </c>
      <c r="K149" s="26">
        <v>534.29999999999995</v>
      </c>
      <c r="L149" s="26">
        <v>1032254</v>
      </c>
      <c r="M149" s="26">
        <v>21631</v>
      </c>
      <c r="N149" s="26">
        <v>39.119999999999997</v>
      </c>
      <c r="O149" s="26">
        <v>12372</v>
      </c>
      <c r="P149" s="26">
        <v>24744</v>
      </c>
      <c r="Q149" s="26">
        <v>65348</v>
      </c>
      <c r="R149" s="26">
        <v>3081</v>
      </c>
      <c r="S149" s="26">
        <v>9.83</v>
      </c>
      <c r="T149" s="26">
        <v>2393</v>
      </c>
      <c r="U149" s="26">
        <v>4621</v>
      </c>
      <c r="V149" s="26">
        <v>4785</v>
      </c>
      <c r="W149" s="26">
        <v>4537</v>
      </c>
      <c r="X149" s="26">
        <v>132388182</v>
      </c>
      <c r="Y149" s="26">
        <v>22339</v>
      </c>
      <c r="Z149" s="26">
        <v>30.9</v>
      </c>
      <c r="AA149" s="40" t="s">
        <v>122</v>
      </c>
      <c r="AB149" s="40" t="s">
        <v>122</v>
      </c>
      <c r="AC149" s="104">
        <f t="shared" si="3"/>
        <v>89.89</v>
      </c>
    </row>
    <row r="150" spans="1:29" x14ac:dyDescent="0.25">
      <c r="A150" s="26" t="s">
        <v>723</v>
      </c>
      <c r="B150" s="26">
        <v>942</v>
      </c>
      <c r="C150" s="26">
        <v>422</v>
      </c>
      <c r="D150" s="26">
        <v>47</v>
      </c>
      <c r="E150" s="26">
        <v>799</v>
      </c>
      <c r="F150" s="26">
        <v>25.9</v>
      </c>
      <c r="G150" s="26">
        <v>38.1</v>
      </c>
      <c r="H150" s="26">
        <v>4.49</v>
      </c>
      <c r="I150" s="26">
        <v>30.8</v>
      </c>
      <c r="J150" s="26">
        <v>621.9</v>
      </c>
      <c r="K150" s="26">
        <v>488.1</v>
      </c>
      <c r="L150" s="26">
        <v>936521</v>
      </c>
      <c r="M150" s="26">
        <v>19828</v>
      </c>
      <c r="N150" s="26">
        <v>38.86</v>
      </c>
      <c r="O150" s="26">
        <v>11307</v>
      </c>
      <c r="P150" s="26">
        <v>22614</v>
      </c>
      <c r="Q150" s="26">
        <v>59105</v>
      </c>
      <c r="R150" s="26">
        <v>2802</v>
      </c>
      <c r="S150" s="26">
        <v>9.75</v>
      </c>
      <c r="T150" s="26">
        <v>2171</v>
      </c>
      <c r="U150" s="26">
        <v>4203</v>
      </c>
      <c r="V150" s="26">
        <v>4343</v>
      </c>
      <c r="W150" s="26">
        <v>3517</v>
      </c>
      <c r="X150" s="26">
        <v>118424317</v>
      </c>
      <c r="Y150" s="26">
        <v>20546</v>
      </c>
      <c r="Z150" s="26">
        <v>42.9</v>
      </c>
      <c r="AA150" s="40" t="s">
        <v>122</v>
      </c>
      <c r="AB150" s="40" t="s">
        <v>122</v>
      </c>
      <c r="AC150" s="104">
        <f t="shared" si="3"/>
        <v>89.5</v>
      </c>
    </row>
    <row r="151" spans="1:29" x14ac:dyDescent="0.25">
      <c r="A151" s="26" t="s">
        <v>724</v>
      </c>
      <c r="B151" s="26">
        <v>933</v>
      </c>
      <c r="C151" s="26">
        <v>423</v>
      </c>
      <c r="D151" s="26">
        <v>42.7</v>
      </c>
      <c r="E151" s="26">
        <v>799</v>
      </c>
      <c r="F151" s="26">
        <v>24</v>
      </c>
      <c r="G151" s="26">
        <v>38.1</v>
      </c>
      <c r="H151" s="26">
        <v>4.96</v>
      </c>
      <c r="I151" s="26">
        <v>33.299999999999997</v>
      </c>
      <c r="J151" s="26">
        <v>569.70000000000005</v>
      </c>
      <c r="K151" s="26">
        <v>446.4</v>
      </c>
      <c r="L151" s="26">
        <v>844950</v>
      </c>
      <c r="M151" s="26">
        <v>18190</v>
      </c>
      <c r="N151" s="26">
        <v>38.61</v>
      </c>
      <c r="O151" s="26">
        <v>10324</v>
      </c>
      <c r="P151" s="26">
        <v>20648</v>
      </c>
      <c r="Q151" s="26">
        <v>54110</v>
      </c>
      <c r="R151" s="26">
        <v>2556</v>
      </c>
      <c r="S151" s="26">
        <v>9.73</v>
      </c>
      <c r="T151" s="26">
        <v>1975</v>
      </c>
      <c r="U151" s="26">
        <v>3835</v>
      </c>
      <c r="V151" s="26">
        <v>3949</v>
      </c>
      <c r="W151" s="26">
        <v>2672</v>
      </c>
      <c r="X151" s="26">
        <v>106877275</v>
      </c>
      <c r="Y151" s="26">
        <v>18754</v>
      </c>
      <c r="Z151" s="26">
        <v>61.6</v>
      </c>
      <c r="AA151" s="40" t="s">
        <v>122</v>
      </c>
      <c r="AB151" s="40" t="s">
        <v>122</v>
      </c>
      <c r="AC151" s="104">
        <f t="shared" si="3"/>
        <v>89.03</v>
      </c>
    </row>
    <row r="152" spans="1:29" x14ac:dyDescent="0.25">
      <c r="A152" s="26" t="s">
        <v>725</v>
      </c>
      <c r="B152" s="26">
        <v>928</v>
      </c>
      <c r="C152" s="26">
        <v>422</v>
      </c>
      <c r="D152" s="26">
        <v>39.9</v>
      </c>
      <c r="E152" s="26">
        <v>799</v>
      </c>
      <c r="F152" s="26">
        <v>22.5</v>
      </c>
      <c r="G152" s="26">
        <v>38.1</v>
      </c>
      <c r="H152" s="26">
        <v>5.29</v>
      </c>
      <c r="I152" s="26">
        <v>35.5</v>
      </c>
      <c r="J152" s="26">
        <v>531.6</v>
      </c>
      <c r="K152" s="26">
        <v>416.7</v>
      </c>
      <c r="L152" s="26">
        <v>786677</v>
      </c>
      <c r="M152" s="26">
        <v>16879</v>
      </c>
      <c r="N152" s="26">
        <v>38.35</v>
      </c>
      <c r="O152" s="26">
        <v>9586</v>
      </c>
      <c r="P152" s="26">
        <v>19173</v>
      </c>
      <c r="Q152" s="26">
        <v>49948</v>
      </c>
      <c r="R152" s="26">
        <v>2360</v>
      </c>
      <c r="S152" s="26">
        <v>9.68</v>
      </c>
      <c r="T152" s="26">
        <v>1827</v>
      </c>
      <c r="U152" s="26">
        <v>3540</v>
      </c>
      <c r="V152" s="26">
        <v>3654</v>
      </c>
      <c r="W152" s="26">
        <v>2189</v>
      </c>
      <c r="X152" s="26">
        <v>98284127</v>
      </c>
      <c r="Y152" s="26">
        <v>17651</v>
      </c>
      <c r="Z152" s="26">
        <v>78.5</v>
      </c>
      <c r="AA152" s="40" t="s">
        <v>122</v>
      </c>
      <c r="AB152" s="40" t="s">
        <v>122</v>
      </c>
      <c r="AC152" s="104">
        <f t="shared" si="3"/>
        <v>88.81</v>
      </c>
    </row>
    <row r="153" spans="1:29" x14ac:dyDescent="0.25">
      <c r="A153" s="26" t="s">
        <v>726</v>
      </c>
      <c r="B153" s="26">
        <v>921</v>
      </c>
      <c r="C153" s="26">
        <v>420</v>
      </c>
      <c r="D153" s="26">
        <v>36.6</v>
      </c>
      <c r="E153" s="26">
        <v>799</v>
      </c>
      <c r="F153" s="26">
        <v>21.3</v>
      </c>
      <c r="G153" s="26">
        <v>38.1</v>
      </c>
      <c r="H153" s="26">
        <v>5.75</v>
      </c>
      <c r="I153" s="26">
        <v>37.4</v>
      </c>
      <c r="J153" s="26">
        <v>493.5</v>
      </c>
      <c r="K153" s="26">
        <v>386.9</v>
      </c>
      <c r="L153" s="26">
        <v>720080</v>
      </c>
      <c r="M153" s="26">
        <v>15617</v>
      </c>
      <c r="N153" s="26">
        <v>38.1</v>
      </c>
      <c r="O153" s="26">
        <v>8849</v>
      </c>
      <c r="P153" s="26">
        <v>17698</v>
      </c>
      <c r="Q153" s="26">
        <v>45369</v>
      </c>
      <c r="R153" s="26">
        <v>2163</v>
      </c>
      <c r="S153" s="26">
        <v>9.6</v>
      </c>
      <c r="T153" s="26">
        <v>1671</v>
      </c>
      <c r="U153" s="26">
        <v>3245</v>
      </c>
      <c r="V153" s="26">
        <v>3343</v>
      </c>
      <c r="W153" s="26">
        <v>1727</v>
      </c>
      <c r="X153" s="26">
        <v>88616836</v>
      </c>
      <c r="Y153" s="26">
        <v>16341</v>
      </c>
      <c r="Z153" s="26">
        <v>107</v>
      </c>
      <c r="AA153" s="40" t="s">
        <v>122</v>
      </c>
      <c r="AB153" s="40" t="s">
        <v>122</v>
      </c>
      <c r="AC153" s="104">
        <f t="shared" si="3"/>
        <v>88.44</v>
      </c>
    </row>
    <row r="154" spans="1:29" x14ac:dyDescent="0.25">
      <c r="A154" s="26" t="s">
        <v>727</v>
      </c>
      <c r="B154" s="26">
        <v>916</v>
      </c>
      <c r="C154" s="26">
        <v>419</v>
      </c>
      <c r="D154" s="26">
        <v>34.299999999999997</v>
      </c>
      <c r="E154" s="26">
        <v>799</v>
      </c>
      <c r="F154" s="26">
        <v>20.3</v>
      </c>
      <c r="G154" s="26">
        <v>36.5</v>
      </c>
      <c r="H154" s="26">
        <v>6.11</v>
      </c>
      <c r="I154" s="26">
        <v>39.299999999999997</v>
      </c>
      <c r="J154" s="26">
        <v>465.2</v>
      </c>
      <c r="K154" s="26">
        <v>364.6</v>
      </c>
      <c r="L154" s="26">
        <v>670133</v>
      </c>
      <c r="M154" s="26">
        <v>14666</v>
      </c>
      <c r="N154" s="26">
        <v>38.1</v>
      </c>
      <c r="O154" s="26">
        <v>8275</v>
      </c>
      <c r="P154" s="26">
        <v>16551</v>
      </c>
      <c r="Q154" s="26">
        <v>42039</v>
      </c>
      <c r="R154" s="26">
        <v>2016</v>
      </c>
      <c r="S154" s="26">
        <v>9.5299999999999994</v>
      </c>
      <c r="T154" s="26">
        <v>1557</v>
      </c>
      <c r="U154" s="26">
        <v>3023</v>
      </c>
      <c r="V154" s="26">
        <v>3114</v>
      </c>
      <c r="W154" s="26">
        <v>1440</v>
      </c>
      <c r="X154" s="26">
        <v>82171975</v>
      </c>
      <c r="Y154" s="26">
        <v>15375</v>
      </c>
      <c r="Z154" s="26">
        <v>135</v>
      </c>
      <c r="AA154" s="40" t="s">
        <v>122</v>
      </c>
      <c r="AB154" s="40" t="s">
        <v>122</v>
      </c>
      <c r="AC154" s="104">
        <f t="shared" si="3"/>
        <v>88.17</v>
      </c>
    </row>
    <row r="155" spans="1:29" x14ac:dyDescent="0.25">
      <c r="A155" s="26" t="s">
        <v>728</v>
      </c>
      <c r="B155" s="26">
        <v>912</v>
      </c>
      <c r="C155" s="26">
        <v>418</v>
      </c>
      <c r="D155" s="26">
        <v>32</v>
      </c>
      <c r="E155" s="26">
        <v>799</v>
      </c>
      <c r="F155" s="26">
        <v>19.3</v>
      </c>
      <c r="G155" s="26">
        <v>36.5</v>
      </c>
      <c r="H155" s="26">
        <v>6.54</v>
      </c>
      <c r="I155" s="26">
        <v>41.4</v>
      </c>
      <c r="J155" s="26">
        <v>436.1</v>
      </c>
      <c r="K155" s="26">
        <v>342.3</v>
      </c>
      <c r="L155" s="26">
        <v>624347</v>
      </c>
      <c r="M155" s="26">
        <v>13716</v>
      </c>
      <c r="N155" s="26">
        <v>37.85</v>
      </c>
      <c r="O155" s="26">
        <v>7727</v>
      </c>
      <c r="P155" s="26">
        <v>15453</v>
      </c>
      <c r="Q155" s="26">
        <v>39126</v>
      </c>
      <c r="R155" s="26">
        <v>1868</v>
      </c>
      <c r="S155" s="26">
        <v>9.4700000000000006</v>
      </c>
      <c r="T155" s="26">
        <v>1442</v>
      </c>
      <c r="U155" s="26">
        <v>2802</v>
      </c>
      <c r="V155" s="26">
        <v>2884</v>
      </c>
      <c r="W155" s="26">
        <v>1190</v>
      </c>
      <c r="X155" s="26">
        <v>75727114</v>
      </c>
      <c r="Y155" s="26">
        <v>14479</v>
      </c>
      <c r="Z155" s="26">
        <v>172</v>
      </c>
      <c r="AA155" s="40" t="s">
        <v>122</v>
      </c>
      <c r="AB155" s="40" t="s">
        <v>122</v>
      </c>
      <c r="AC155" s="104">
        <f t="shared" si="3"/>
        <v>88</v>
      </c>
    </row>
    <row r="156" spans="1:29" x14ac:dyDescent="0.25">
      <c r="A156" s="26" t="s">
        <v>729</v>
      </c>
      <c r="B156" s="26">
        <v>951</v>
      </c>
      <c r="C156" s="26">
        <v>310</v>
      </c>
      <c r="D156" s="26">
        <v>43.9</v>
      </c>
      <c r="E156" s="26">
        <v>816</v>
      </c>
      <c r="F156" s="26">
        <v>24.4</v>
      </c>
      <c r="G156" s="26">
        <v>33.299999999999997</v>
      </c>
      <c r="H156" s="26">
        <v>3.53</v>
      </c>
      <c r="I156" s="26">
        <v>33.5</v>
      </c>
      <c r="J156" s="26">
        <v>486.5</v>
      </c>
      <c r="K156" s="26">
        <v>381</v>
      </c>
      <c r="L156" s="26">
        <v>699269</v>
      </c>
      <c r="M156" s="26">
        <v>14666</v>
      </c>
      <c r="N156" s="26">
        <v>37.85</v>
      </c>
      <c r="O156" s="26">
        <v>8521</v>
      </c>
      <c r="P156" s="26">
        <v>17043</v>
      </c>
      <c r="Q156" s="26">
        <v>21977</v>
      </c>
      <c r="R156" s="26">
        <v>1417</v>
      </c>
      <c r="S156" s="26">
        <v>6.73</v>
      </c>
      <c r="T156" s="26">
        <v>1123</v>
      </c>
      <c r="U156" s="26">
        <v>2126</v>
      </c>
      <c r="V156" s="26">
        <v>2245</v>
      </c>
      <c r="W156" s="26">
        <v>2219</v>
      </c>
      <c r="X156" s="26">
        <v>45114026</v>
      </c>
      <c r="Y156" s="26">
        <v>19581</v>
      </c>
      <c r="Z156" s="26">
        <v>60.4</v>
      </c>
      <c r="AA156" s="40" t="s">
        <v>122</v>
      </c>
      <c r="AB156" s="40" t="s">
        <v>122</v>
      </c>
      <c r="AC156" s="104">
        <f t="shared" si="3"/>
        <v>90.710000000000008</v>
      </c>
    </row>
    <row r="157" spans="1:29" x14ac:dyDescent="0.25">
      <c r="A157" s="26" t="s">
        <v>730</v>
      </c>
      <c r="B157" s="26">
        <v>943</v>
      </c>
      <c r="C157" s="26">
        <v>308</v>
      </c>
      <c r="D157" s="26">
        <v>39.9</v>
      </c>
      <c r="E157" s="26">
        <v>816</v>
      </c>
      <c r="F157" s="26">
        <v>22.1</v>
      </c>
      <c r="G157" s="26">
        <v>31.8</v>
      </c>
      <c r="H157" s="26">
        <v>3.86</v>
      </c>
      <c r="I157" s="26">
        <v>36.9</v>
      </c>
      <c r="J157" s="26">
        <v>439.4</v>
      </c>
      <c r="K157" s="26">
        <v>345.3</v>
      </c>
      <c r="L157" s="26">
        <v>624347</v>
      </c>
      <c r="M157" s="26">
        <v>13257</v>
      </c>
      <c r="N157" s="26">
        <v>37.590000000000003</v>
      </c>
      <c r="O157" s="26">
        <v>7669</v>
      </c>
      <c r="P157" s="26">
        <v>15338</v>
      </c>
      <c r="Q157" s="26">
        <v>19480</v>
      </c>
      <c r="R157" s="26">
        <v>1265</v>
      </c>
      <c r="S157" s="26">
        <v>6.65</v>
      </c>
      <c r="T157" s="26">
        <v>1000</v>
      </c>
      <c r="U157" s="26">
        <v>1898</v>
      </c>
      <c r="V157" s="26">
        <v>1999</v>
      </c>
      <c r="W157" s="26">
        <v>1657</v>
      </c>
      <c r="X157" s="26">
        <v>39743308</v>
      </c>
      <c r="Y157" s="26">
        <v>17788</v>
      </c>
      <c r="Z157" s="26">
        <v>87.5</v>
      </c>
      <c r="AA157" s="40" t="s">
        <v>122</v>
      </c>
      <c r="AB157" s="40" t="s">
        <v>122</v>
      </c>
      <c r="AC157" s="104">
        <f t="shared" si="3"/>
        <v>90.31</v>
      </c>
    </row>
    <row r="158" spans="1:29" x14ac:dyDescent="0.25">
      <c r="A158" s="26" t="s">
        <v>731</v>
      </c>
      <c r="B158" s="26">
        <v>932</v>
      </c>
      <c r="C158" s="26">
        <v>309</v>
      </c>
      <c r="D158" s="26">
        <v>34.5</v>
      </c>
      <c r="E158" s="26">
        <v>816</v>
      </c>
      <c r="F158" s="26">
        <v>21.1</v>
      </c>
      <c r="G158" s="26">
        <v>31.8</v>
      </c>
      <c r="H158" s="26">
        <v>4.4800000000000004</v>
      </c>
      <c r="I158" s="26">
        <v>38.700000000000003</v>
      </c>
      <c r="J158" s="26">
        <v>398.7</v>
      </c>
      <c r="K158" s="26">
        <v>312.5</v>
      </c>
      <c r="L158" s="26">
        <v>549425</v>
      </c>
      <c r="M158" s="26">
        <v>11782</v>
      </c>
      <c r="N158" s="26">
        <v>37.08</v>
      </c>
      <c r="O158" s="26">
        <v>6825</v>
      </c>
      <c r="P158" s="26">
        <v>13650</v>
      </c>
      <c r="Q158" s="26">
        <v>17107</v>
      </c>
      <c r="R158" s="26">
        <v>1106</v>
      </c>
      <c r="S158" s="26">
        <v>6.55</v>
      </c>
      <c r="T158" s="26">
        <v>877</v>
      </c>
      <c r="U158" s="26">
        <v>1659</v>
      </c>
      <c r="V158" s="26">
        <v>1753</v>
      </c>
      <c r="W158" s="26">
        <v>1165</v>
      </c>
      <c r="X158" s="26">
        <v>34372591</v>
      </c>
      <c r="Y158" s="26">
        <v>15996</v>
      </c>
      <c r="Z158" s="26">
        <v>138</v>
      </c>
      <c r="AA158" s="40" t="s">
        <v>122</v>
      </c>
      <c r="AB158" s="40" t="s">
        <v>122</v>
      </c>
      <c r="AC158" s="104">
        <f t="shared" si="3"/>
        <v>89.75</v>
      </c>
    </row>
    <row r="159" spans="1:29" x14ac:dyDescent="0.25">
      <c r="A159" s="26" t="s">
        <v>732</v>
      </c>
      <c r="B159" s="26">
        <v>927</v>
      </c>
      <c r="C159" s="26">
        <v>308</v>
      </c>
      <c r="D159" s="26">
        <v>32</v>
      </c>
      <c r="E159" s="26">
        <v>816</v>
      </c>
      <c r="F159" s="26">
        <v>19.399999999999999</v>
      </c>
      <c r="G159" s="26">
        <v>30.2</v>
      </c>
      <c r="H159" s="26">
        <v>4.8099999999999996</v>
      </c>
      <c r="I159" s="26">
        <v>42</v>
      </c>
      <c r="J159" s="26">
        <v>367.7</v>
      </c>
      <c r="K159" s="26">
        <v>288.7</v>
      </c>
      <c r="L159" s="26">
        <v>503640</v>
      </c>
      <c r="M159" s="26">
        <v>10881</v>
      </c>
      <c r="N159" s="26">
        <v>37.08</v>
      </c>
      <c r="O159" s="26">
        <v>6284</v>
      </c>
      <c r="P159" s="26">
        <v>12569</v>
      </c>
      <c r="Q159" s="26">
        <v>15609</v>
      </c>
      <c r="R159" s="26">
        <v>1014</v>
      </c>
      <c r="S159" s="26">
        <v>6.5</v>
      </c>
      <c r="T159" s="26">
        <v>801</v>
      </c>
      <c r="U159" s="26">
        <v>1522</v>
      </c>
      <c r="V159" s="26">
        <v>1601</v>
      </c>
      <c r="W159" s="26">
        <v>924</v>
      </c>
      <c r="X159" s="26">
        <v>31150161</v>
      </c>
      <c r="Y159" s="26">
        <v>14755</v>
      </c>
      <c r="Z159" s="26">
        <v>186</v>
      </c>
      <c r="AA159" s="40" t="s">
        <v>122</v>
      </c>
      <c r="AB159" s="40" t="s">
        <v>122</v>
      </c>
      <c r="AC159" s="104">
        <f t="shared" si="3"/>
        <v>89.5</v>
      </c>
    </row>
    <row r="160" spans="1:29" x14ac:dyDescent="0.25">
      <c r="A160" s="26" t="s">
        <v>733</v>
      </c>
      <c r="B160" s="26">
        <v>923</v>
      </c>
      <c r="C160" s="26">
        <v>307</v>
      </c>
      <c r="D160" s="26">
        <v>30</v>
      </c>
      <c r="E160" s="26">
        <v>816</v>
      </c>
      <c r="F160" s="26">
        <v>18.399999999999999</v>
      </c>
      <c r="G160" s="26">
        <v>30.2</v>
      </c>
      <c r="H160" s="26">
        <v>5.12</v>
      </c>
      <c r="I160" s="26">
        <v>44.3</v>
      </c>
      <c r="J160" s="26">
        <v>345.8</v>
      </c>
      <c r="K160" s="26">
        <v>270.8</v>
      </c>
      <c r="L160" s="26">
        <v>470342</v>
      </c>
      <c r="M160" s="26">
        <v>10209</v>
      </c>
      <c r="N160" s="26">
        <v>36.83</v>
      </c>
      <c r="O160" s="26">
        <v>5883</v>
      </c>
      <c r="P160" s="26">
        <v>11766</v>
      </c>
      <c r="Q160" s="26">
        <v>14443</v>
      </c>
      <c r="R160" s="26">
        <v>944</v>
      </c>
      <c r="S160" s="26">
        <v>6.48</v>
      </c>
      <c r="T160" s="26">
        <v>743</v>
      </c>
      <c r="U160" s="26">
        <v>1416</v>
      </c>
      <c r="V160" s="26">
        <v>1486</v>
      </c>
      <c r="W160" s="26">
        <v>766</v>
      </c>
      <c r="X160" s="26">
        <v>28733338</v>
      </c>
      <c r="Y160" s="26">
        <v>13927</v>
      </c>
      <c r="Z160" s="26">
        <v>238</v>
      </c>
      <c r="AA160" s="40" t="s">
        <v>122</v>
      </c>
      <c r="AB160" s="40" t="s">
        <v>122</v>
      </c>
      <c r="AC160" s="104">
        <f t="shared" si="3"/>
        <v>89.3</v>
      </c>
    </row>
    <row r="161" spans="1:29" x14ac:dyDescent="0.25">
      <c r="A161" s="26" t="s">
        <v>734</v>
      </c>
      <c r="B161" s="26">
        <v>919</v>
      </c>
      <c r="C161" s="26">
        <v>306</v>
      </c>
      <c r="D161" s="26">
        <v>27.9</v>
      </c>
      <c r="E161" s="26">
        <v>816</v>
      </c>
      <c r="F161" s="26">
        <v>17.3</v>
      </c>
      <c r="G161" s="26">
        <v>30.2</v>
      </c>
      <c r="H161" s="26">
        <v>5.47</v>
      </c>
      <c r="I161" s="26">
        <v>47.2</v>
      </c>
      <c r="J161" s="26">
        <v>322.60000000000002</v>
      </c>
      <c r="K161" s="26">
        <v>253</v>
      </c>
      <c r="L161" s="26">
        <v>437043</v>
      </c>
      <c r="M161" s="26">
        <v>9504</v>
      </c>
      <c r="N161" s="26">
        <v>36.83</v>
      </c>
      <c r="O161" s="26">
        <v>5473</v>
      </c>
      <c r="P161" s="26">
        <v>10947</v>
      </c>
      <c r="Q161" s="26">
        <v>13319</v>
      </c>
      <c r="R161" s="26">
        <v>872</v>
      </c>
      <c r="S161" s="26">
        <v>6.43</v>
      </c>
      <c r="T161" s="26">
        <v>687</v>
      </c>
      <c r="U161" s="26">
        <v>1308</v>
      </c>
      <c r="V161" s="26">
        <v>1373</v>
      </c>
      <c r="W161" s="26">
        <v>629</v>
      </c>
      <c r="X161" s="26">
        <v>26450783</v>
      </c>
      <c r="Y161" s="26">
        <v>13100</v>
      </c>
      <c r="Z161" s="26">
        <v>305</v>
      </c>
      <c r="AA161" s="40" t="s">
        <v>122</v>
      </c>
      <c r="AB161" s="40" t="s">
        <v>122</v>
      </c>
      <c r="AC161" s="104">
        <f t="shared" si="3"/>
        <v>89.11</v>
      </c>
    </row>
    <row r="162" spans="1:29" x14ac:dyDescent="0.25">
      <c r="A162" s="26" t="s">
        <v>735</v>
      </c>
      <c r="B162" s="26">
        <v>911</v>
      </c>
      <c r="C162" s="26">
        <v>304</v>
      </c>
      <c r="D162" s="26">
        <v>23.9</v>
      </c>
      <c r="E162" s="26">
        <v>816</v>
      </c>
      <c r="F162" s="26">
        <v>15.9</v>
      </c>
      <c r="G162" s="26">
        <v>28.6</v>
      </c>
      <c r="H162" s="26">
        <v>6.37</v>
      </c>
      <c r="I162" s="26">
        <v>51.4</v>
      </c>
      <c r="J162" s="26">
        <v>285.2</v>
      </c>
      <c r="K162" s="26">
        <v>223.2</v>
      </c>
      <c r="L162" s="26">
        <v>376273</v>
      </c>
      <c r="M162" s="26">
        <v>8259</v>
      </c>
      <c r="N162" s="26">
        <v>36.32</v>
      </c>
      <c r="O162" s="26">
        <v>4760</v>
      </c>
      <c r="P162" s="26">
        <v>9521</v>
      </c>
      <c r="Q162" s="26">
        <v>11238</v>
      </c>
      <c r="R162" s="26">
        <v>739</v>
      </c>
      <c r="S162" s="26">
        <v>6.27</v>
      </c>
      <c r="T162" s="26">
        <v>581</v>
      </c>
      <c r="U162" s="26">
        <v>1109</v>
      </c>
      <c r="V162" s="26">
        <v>1162</v>
      </c>
      <c r="W162" s="26">
        <v>420</v>
      </c>
      <c r="X162" s="26">
        <v>22073648</v>
      </c>
      <c r="Y162" s="26">
        <v>11583</v>
      </c>
      <c r="Z162" s="26">
        <v>509</v>
      </c>
      <c r="AA162" s="40" t="s">
        <v>122</v>
      </c>
      <c r="AB162" s="40" t="s">
        <v>122</v>
      </c>
      <c r="AC162" s="104">
        <f t="shared" si="3"/>
        <v>88.710000000000008</v>
      </c>
    </row>
    <row r="163" spans="1:29" x14ac:dyDescent="0.25">
      <c r="A163" s="26" t="s">
        <v>736</v>
      </c>
      <c r="B163" s="26">
        <v>903</v>
      </c>
      <c r="C163" s="26">
        <v>304</v>
      </c>
      <c r="D163" s="26">
        <v>20.100000000000001</v>
      </c>
      <c r="E163" s="26">
        <v>816</v>
      </c>
      <c r="F163" s="26">
        <v>15.2</v>
      </c>
      <c r="G163" s="26">
        <v>28.6</v>
      </c>
      <c r="H163" s="26">
        <v>7.56</v>
      </c>
      <c r="I163" s="26">
        <v>53.5</v>
      </c>
      <c r="J163" s="26">
        <v>256.10000000000002</v>
      </c>
      <c r="K163" s="26">
        <v>200.9</v>
      </c>
      <c r="L163" s="26">
        <v>324661</v>
      </c>
      <c r="M163" s="26">
        <v>7194</v>
      </c>
      <c r="N163" s="26">
        <v>35.56</v>
      </c>
      <c r="O163" s="26">
        <v>4171</v>
      </c>
      <c r="P163" s="26">
        <v>8341</v>
      </c>
      <c r="Q163" s="26">
        <v>9365</v>
      </c>
      <c r="R163" s="26">
        <v>618</v>
      </c>
      <c r="S163" s="26">
        <v>6.05</v>
      </c>
      <c r="T163" s="26">
        <v>489</v>
      </c>
      <c r="U163" s="26">
        <v>927</v>
      </c>
      <c r="V163" s="26">
        <v>978</v>
      </c>
      <c r="W163" s="26">
        <v>291</v>
      </c>
      <c r="X163" s="26">
        <v>18287293</v>
      </c>
      <c r="Y163" s="26">
        <v>10480</v>
      </c>
      <c r="Z163" s="26">
        <v>799</v>
      </c>
      <c r="AA163" s="40" t="s">
        <v>122</v>
      </c>
      <c r="AB163" s="40" t="s">
        <v>122</v>
      </c>
      <c r="AC163" s="104">
        <f t="shared" si="3"/>
        <v>88.289999999999992</v>
      </c>
    </row>
    <row r="164" spans="1:29" x14ac:dyDescent="0.25">
      <c r="A164" s="26" t="s">
        <v>737</v>
      </c>
      <c r="B164" s="26">
        <v>903</v>
      </c>
      <c r="C164" s="26">
        <v>409</v>
      </c>
      <c r="D164" s="26">
        <v>53.1</v>
      </c>
      <c r="E164" s="26">
        <v>756</v>
      </c>
      <c r="F164" s="26">
        <v>29.5</v>
      </c>
      <c r="G164" s="26">
        <v>34.9</v>
      </c>
      <c r="H164" s="26">
        <v>3.85</v>
      </c>
      <c r="I164" s="26">
        <v>25.6</v>
      </c>
      <c r="J164" s="26">
        <v>671</v>
      </c>
      <c r="K164" s="26">
        <v>526.79999999999995</v>
      </c>
      <c r="L164" s="26">
        <v>911547</v>
      </c>
      <c r="M164" s="26">
        <v>20156</v>
      </c>
      <c r="N164" s="26">
        <v>36.83</v>
      </c>
      <c r="O164" s="26">
        <v>11635</v>
      </c>
      <c r="P164" s="26">
        <v>23270</v>
      </c>
      <c r="Q164" s="26">
        <v>60770</v>
      </c>
      <c r="R164" s="26">
        <v>2966</v>
      </c>
      <c r="S164" s="26">
        <v>9.5</v>
      </c>
      <c r="T164" s="26">
        <v>2311</v>
      </c>
      <c r="U164" s="26">
        <v>4449</v>
      </c>
      <c r="V164" s="26">
        <v>4621</v>
      </c>
      <c r="W164" s="26">
        <v>4787</v>
      </c>
      <c r="X164" s="26">
        <v>109562634</v>
      </c>
      <c r="Y164" s="26">
        <v>24407</v>
      </c>
      <c r="Z164" s="26">
        <v>21.7</v>
      </c>
      <c r="AA164" s="40" t="s">
        <v>122</v>
      </c>
      <c r="AB164" s="40" t="s">
        <v>122</v>
      </c>
      <c r="AC164" s="104">
        <f t="shared" si="3"/>
        <v>84.99</v>
      </c>
    </row>
    <row r="165" spans="1:29" x14ac:dyDescent="0.25">
      <c r="A165" s="26" t="s">
        <v>738</v>
      </c>
      <c r="B165" s="26">
        <v>893</v>
      </c>
      <c r="C165" s="26">
        <v>406</v>
      </c>
      <c r="D165" s="26">
        <v>48</v>
      </c>
      <c r="E165" s="26">
        <v>756</v>
      </c>
      <c r="F165" s="26">
        <v>26.4</v>
      </c>
      <c r="G165" s="26">
        <v>33.299999999999997</v>
      </c>
      <c r="H165" s="26">
        <v>4.2300000000000004</v>
      </c>
      <c r="I165" s="26">
        <v>28.6</v>
      </c>
      <c r="J165" s="26">
        <v>603.20000000000005</v>
      </c>
      <c r="K165" s="26">
        <v>473.2</v>
      </c>
      <c r="L165" s="26">
        <v>811651</v>
      </c>
      <c r="M165" s="26">
        <v>18190</v>
      </c>
      <c r="N165" s="26">
        <v>36.58</v>
      </c>
      <c r="O165" s="26">
        <v>10406</v>
      </c>
      <c r="P165" s="26">
        <v>20812</v>
      </c>
      <c r="Q165" s="26">
        <v>53694</v>
      </c>
      <c r="R165" s="26">
        <v>2638</v>
      </c>
      <c r="S165" s="26">
        <v>9.42</v>
      </c>
      <c r="T165" s="26">
        <v>2048</v>
      </c>
      <c r="U165" s="26">
        <v>3957</v>
      </c>
      <c r="V165" s="26">
        <v>4097</v>
      </c>
      <c r="W165" s="26">
        <v>3513</v>
      </c>
      <c r="X165" s="26">
        <v>95867304</v>
      </c>
      <c r="Y165" s="26">
        <v>22063</v>
      </c>
      <c r="Z165" s="26">
        <v>32.200000000000003</v>
      </c>
      <c r="AA165" s="40" t="s">
        <v>122</v>
      </c>
      <c r="AB165" s="40" t="s">
        <v>122</v>
      </c>
      <c r="AC165" s="104">
        <f t="shared" si="3"/>
        <v>84.5</v>
      </c>
    </row>
    <row r="166" spans="1:29" x14ac:dyDescent="0.25">
      <c r="A166" s="26" t="s">
        <v>739</v>
      </c>
      <c r="B166" s="26">
        <v>885</v>
      </c>
      <c r="C166" s="26">
        <v>404</v>
      </c>
      <c r="D166" s="26">
        <v>43.9</v>
      </c>
      <c r="E166" s="26">
        <v>756</v>
      </c>
      <c r="F166" s="26">
        <v>24.4</v>
      </c>
      <c r="G166" s="26">
        <v>31.8</v>
      </c>
      <c r="H166" s="26">
        <v>4.5999999999999996</v>
      </c>
      <c r="I166" s="26">
        <v>31</v>
      </c>
      <c r="J166" s="26">
        <v>552.29999999999995</v>
      </c>
      <c r="K166" s="26">
        <v>433.1</v>
      </c>
      <c r="L166" s="26">
        <v>736730</v>
      </c>
      <c r="M166" s="26">
        <v>16551</v>
      </c>
      <c r="N166" s="26">
        <v>36.58</v>
      </c>
      <c r="O166" s="26">
        <v>9423</v>
      </c>
      <c r="P166" s="26">
        <v>18845</v>
      </c>
      <c r="Q166" s="26">
        <v>48283</v>
      </c>
      <c r="R166" s="26">
        <v>2393</v>
      </c>
      <c r="S166" s="26">
        <v>9.3699999999999992</v>
      </c>
      <c r="T166" s="26">
        <v>1852</v>
      </c>
      <c r="U166" s="26">
        <v>3589</v>
      </c>
      <c r="V166" s="26">
        <v>3703</v>
      </c>
      <c r="W166" s="26">
        <v>2706</v>
      </c>
      <c r="X166" s="26">
        <v>85662941</v>
      </c>
      <c r="Y166" s="26">
        <v>20271</v>
      </c>
      <c r="Z166" s="26">
        <v>44.8</v>
      </c>
      <c r="AA166" s="40" t="s">
        <v>122</v>
      </c>
      <c r="AB166" s="40" t="s">
        <v>122</v>
      </c>
      <c r="AC166" s="104">
        <f t="shared" si="3"/>
        <v>84.11</v>
      </c>
    </row>
    <row r="167" spans="1:29" x14ac:dyDescent="0.25">
      <c r="A167" s="26" t="s">
        <v>740</v>
      </c>
      <c r="B167" s="26">
        <v>877</v>
      </c>
      <c r="C167" s="26">
        <v>401</v>
      </c>
      <c r="D167" s="26">
        <v>39.9</v>
      </c>
      <c r="E167" s="26">
        <v>756</v>
      </c>
      <c r="F167" s="26">
        <v>22.1</v>
      </c>
      <c r="G167" s="26">
        <v>30.2</v>
      </c>
      <c r="H167" s="26">
        <v>5.03</v>
      </c>
      <c r="I167" s="26">
        <v>34.200000000000003</v>
      </c>
      <c r="J167" s="26">
        <v>499.4</v>
      </c>
      <c r="K167" s="26">
        <v>391.4</v>
      </c>
      <c r="L167" s="26">
        <v>657646</v>
      </c>
      <c r="M167" s="26">
        <v>15027</v>
      </c>
      <c r="N167" s="26">
        <v>36.32</v>
      </c>
      <c r="O167" s="26">
        <v>8521</v>
      </c>
      <c r="P167" s="26">
        <v>17043</v>
      </c>
      <c r="Q167" s="26">
        <v>42872</v>
      </c>
      <c r="R167" s="26">
        <v>2147</v>
      </c>
      <c r="S167" s="26">
        <v>9.3000000000000007</v>
      </c>
      <c r="T167" s="26">
        <v>1655</v>
      </c>
      <c r="U167" s="26">
        <v>3220</v>
      </c>
      <c r="V167" s="26">
        <v>3310</v>
      </c>
      <c r="W167" s="26">
        <v>2019</v>
      </c>
      <c r="X167" s="26">
        <v>75458578</v>
      </c>
      <c r="Y167" s="26">
        <v>18409</v>
      </c>
      <c r="Z167" s="26">
        <v>65.2</v>
      </c>
      <c r="AA167" s="40" t="s">
        <v>122</v>
      </c>
      <c r="AB167" s="40" t="s">
        <v>122</v>
      </c>
      <c r="AC167" s="104">
        <f t="shared" si="3"/>
        <v>83.710000000000008</v>
      </c>
    </row>
    <row r="168" spans="1:29" x14ac:dyDescent="0.25">
      <c r="A168" s="26" t="s">
        <v>741</v>
      </c>
      <c r="B168" s="26">
        <v>868</v>
      </c>
      <c r="C168" s="26">
        <v>403</v>
      </c>
      <c r="D168" s="26">
        <v>35.6</v>
      </c>
      <c r="E168" s="26">
        <v>756</v>
      </c>
      <c r="F168" s="26">
        <v>21.1</v>
      </c>
      <c r="G168" s="26">
        <v>30.2</v>
      </c>
      <c r="H168" s="26">
        <v>5.66</v>
      </c>
      <c r="I168" s="26">
        <v>35.799999999999997</v>
      </c>
      <c r="J168" s="26">
        <v>457.4</v>
      </c>
      <c r="K168" s="26">
        <v>358.6</v>
      </c>
      <c r="L168" s="26">
        <v>591049</v>
      </c>
      <c r="M168" s="26">
        <v>13585</v>
      </c>
      <c r="N168" s="26">
        <v>35.81</v>
      </c>
      <c r="O168" s="26">
        <v>7694</v>
      </c>
      <c r="P168" s="26">
        <v>15387</v>
      </c>
      <c r="Q168" s="26">
        <v>38793</v>
      </c>
      <c r="R168" s="26">
        <v>1934</v>
      </c>
      <c r="S168" s="26">
        <v>9.2200000000000006</v>
      </c>
      <c r="T168" s="26">
        <v>1491</v>
      </c>
      <c r="U168" s="26">
        <v>2901</v>
      </c>
      <c r="V168" s="26">
        <v>2982</v>
      </c>
      <c r="W168" s="26">
        <v>1490</v>
      </c>
      <c r="X168" s="26">
        <v>67133967</v>
      </c>
      <c r="Y168" s="26">
        <v>16754</v>
      </c>
      <c r="Z168" s="26">
        <v>96.6</v>
      </c>
      <c r="AA168" s="40" t="s">
        <v>122</v>
      </c>
      <c r="AB168" s="40" t="s">
        <v>122</v>
      </c>
      <c r="AC168" s="104">
        <f t="shared" si="3"/>
        <v>83.24</v>
      </c>
    </row>
    <row r="169" spans="1:29" x14ac:dyDescent="0.25">
      <c r="A169" s="26" t="s">
        <v>742</v>
      </c>
      <c r="B169" s="26">
        <v>862</v>
      </c>
      <c r="C169" s="26">
        <v>401</v>
      </c>
      <c r="D169" s="26">
        <v>32.4</v>
      </c>
      <c r="E169" s="26">
        <v>756</v>
      </c>
      <c r="F169" s="26">
        <v>19.7</v>
      </c>
      <c r="G169" s="26">
        <v>30.2</v>
      </c>
      <c r="H169" s="26">
        <v>6.2</v>
      </c>
      <c r="I169" s="26">
        <v>38.4</v>
      </c>
      <c r="J169" s="26">
        <v>419.4</v>
      </c>
      <c r="K169" s="26">
        <v>328.9</v>
      </c>
      <c r="L169" s="26">
        <v>532776</v>
      </c>
      <c r="M169" s="26">
        <v>12405</v>
      </c>
      <c r="N169" s="26">
        <v>35.81</v>
      </c>
      <c r="O169" s="26">
        <v>7005</v>
      </c>
      <c r="P169" s="26">
        <v>14011</v>
      </c>
      <c r="Q169" s="26">
        <v>34963</v>
      </c>
      <c r="R169" s="26">
        <v>1737</v>
      </c>
      <c r="S169" s="26">
        <v>9.1199999999999992</v>
      </c>
      <c r="T169" s="26">
        <v>1344</v>
      </c>
      <c r="U169" s="26">
        <v>2606</v>
      </c>
      <c r="V169" s="26">
        <v>2687</v>
      </c>
      <c r="W169" s="26">
        <v>1145</v>
      </c>
      <c r="X169" s="26">
        <v>60152034</v>
      </c>
      <c r="Y169" s="26">
        <v>15444</v>
      </c>
      <c r="Z169" s="26">
        <v>135</v>
      </c>
      <c r="AA169" s="40" t="s">
        <v>122</v>
      </c>
      <c r="AB169" s="40" t="s">
        <v>122</v>
      </c>
      <c r="AC169" s="104">
        <f t="shared" si="3"/>
        <v>82.960000000000008</v>
      </c>
    </row>
    <row r="170" spans="1:29" x14ac:dyDescent="0.25">
      <c r="A170" s="26" t="s">
        <v>743</v>
      </c>
      <c r="B170" s="26">
        <v>855</v>
      </c>
      <c r="C170" s="26">
        <v>400</v>
      </c>
      <c r="D170" s="26">
        <v>29.2</v>
      </c>
      <c r="E170" s="26">
        <v>756</v>
      </c>
      <c r="F170" s="26">
        <v>18.2</v>
      </c>
      <c r="G170" s="26">
        <v>28.6</v>
      </c>
      <c r="H170" s="26">
        <v>6.85</v>
      </c>
      <c r="I170" s="26">
        <v>41.6</v>
      </c>
      <c r="J170" s="26">
        <v>381.3</v>
      </c>
      <c r="K170" s="26">
        <v>299.10000000000002</v>
      </c>
      <c r="L170" s="26">
        <v>478666</v>
      </c>
      <c r="M170" s="26">
        <v>11209</v>
      </c>
      <c r="N170" s="26">
        <v>35.56</v>
      </c>
      <c r="O170" s="26">
        <v>6325</v>
      </c>
      <c r="P170" s="26">
        <v>12651</v>
      </c>
      <c r="Q170" s="26">
        <v>31176</v>
      </c>
      <c r="R170" s="26">
        <v>1560</v>
      </c>
      <c r="S170" s="26">
        <v>9.0399999999999991</v>
      </c>
      <c r="T170" s="26">
        <v>1204</v>
      </c>
      <c r="U170" s="26">
        <v>2340</v>
      </c>
      <c r="V170" s="26">
        <v>2409</v>
      </c>
      <c r="W170" s="26">
        <v>853</v>
      </c>
      <c r="X170" s="26">
        <v>53170102</v>
      </c>
      <c r="Y170" s="26">
        <v>14065</v>
      </c>
      <c r="Z170" s="26">
        <v>198</v>
      </c>
      <c r="AA170" s="40" t="s">
        <v>122</v>
      </c>
      <c r="AB170" s="40" t="s">
        <v>122</v>
      </c>
      <c r="AC170" s="104">
        <f t="shared" si="3"/>
        <v>82.58</v>
      </c>
    </row>
    <row r="171" spans="1:29" x14ac:dyDescent="0.25">
      <c r="A171" s="26" t="s">
        <v>744</v>
      </c>
      <c r="B171" s="26">
        <v>859</v>
      </c>
      <c r="C171" s="26">
        <v>292</v>
      </c>
      <c r="D171" s="26">
        <v>31</v>
      </c>
      <c r="E171" s="26">
        <v>756</v>
      </c>
      <c r="F171" s="26">
        <v>17</v>
      </c>
      <c r="G171" s="26">
        <v>28.6</v>
      </c>
      <c r="H171" s="26">
        <v>4.71</v>
      </c>
      <c r="I171" s="26">
        <v>44.4</v>
      </c>
      <c r="J171" s="26">
        <v>319.39999999999998</v>
      </c>
      <c r="K171" s="26">
        <v>251.5</v>
      </c>
      <c r="L171" s="26">
        <v>386679</v>
      </c>
      <c r="M171" s="26">
        <v>8996</v>
      </c>
      <c r="N171" s="26">
        <v>34.799999999999997</v>
      </c>
      <c r="O171" s="26">
        <v>5154</v>
      </c>
      <c r="P171" s="26">
        <v>10307</v>
      </c>
      <c r="Q171" s="26">
        <v>12903</v>
      </c>
      <c r="R171" s="26">
        <v>883</v>
      </c>
      <c r="S171" s="26">
        <v>6.35</v>
      </c>
      <c r="T171" s="26">
        <v>692</v>
      </c>
      <c r="U171" s="26">
        <v>1325</v>
      </c>
      <c r="V171" s="26">
        <v>1383</v>
      </c>
      <c r="W171" s="26">
        <v>737</v>
      </c>
      <c r="X171" s="26">
        <v>22127355</v>
      </c>
      <c r="Y171" s="26">
        <v>14893</v>
      </c>
      <c r="Z171" s="26">
        <v>171</v>
      </c>
      <c r="AA171" s="40" t="s">
        <v>122</v>
      </c>
      <c r="AB171" s="40" t="s">
        <v>122</v>
      </c>
      <c r="AC171" s="104">
        <f t="shared" si="3"/>
        <v>82.8</v>
      </c>
    </row>
    <row r="172" spans="1:29" x14ac:dyDescent="0.25">
      <c r="A172" s="26" t="s">
        <v>745</v>
      </c>
      <c r="B172" s="26">
        <v>851</v>
      </c>
      <c r="C172" s="26">
        <v>294</v>
      </c>
      <c r="D172" s="26">
        <v>26.8</v>
      </c>
      <c r="E172" s="26">
        <v>756</v>
      </c>
      <c r="F172" s="26">
        <v>16.100000000000001</v>
      </c>
      <c r="G172" s="26">
        <v>28.6</v>
      </c>
      <c r="H172" s="26">
        <v>5.48</v>
      </c>
      <c r="I172" s="26">
        <v>46.9</v>
      </c>
      <c r="J172" s="26">
        <v>288.39999999999998</v>
      </c>
      <c r="K172" s="26">
        <v>226.2</v>
      </c>
      <c r="L172" s="26">
        <v>339645</v>
      </c>
      <c r="M172" s="26">
        <v>7981</v>
      </c>
      <c r="N172" s="26">
        <v>34.29</v>
      </c>
      <c r="O172" s="26">
        <v>4580</v>
      </c>
      <c r="P172" s="26">
        <v>9160</v>
      </c>
      <c r="Q172" s="26">
        <v>11363</v>
      </c>
      <c r="R172" s="26">
        <v>773</v>
      </c>
      <c r="S172" s="26">
        <v>6.27</v>
      </c>
      <c r="T172" s="26">
        <v>606</v>
      </c>
      <c r="U172" s="26">
        <v>1160</v>
      </c>
      <c r="V172" s="26">
        <v>1211</v>
      </c>
      <c r="W172" s="26">
        <v>516</v>
      </c>
      <c r="X172" s="26">
        <v>19254022</v>
      </c>
      <c r="Y172" s="26">
        <v>13376</v>
      </c>
      <c r="Z172" s="26">
        <v>271</v>
      </c>
      <c r="AA172" s="40" t="s">
        <v>122</v>
      </c>
      <c r="AB172" s="40" t="s">
        <v>122</v>
      </c>
      <c r="AC172" s="104">
        <f t="shared" si="3"/>
        <v>82.42</v>
      </c>
    </row>
    <row r="173" spans="1:29" x14ac:dyDescent="0.25">
      <c r="A173" s="26" t="s">
        <v>746</v>
      </c>
      <c r="B173" s="26">
        <v>846</v>
      </c>
      <c r="C173" s="26">
        <v>293</v>
      </c>
      <c r="D173" s="26">
        <v>24.4</v>
      </c>
      <c r="E173" s="26">
        <v>756</v>
      </c>
      <c r="F173" s="26">
        <v>15.4</v>
      </c>
      <c r="G173" s="26">
        <v>27</v>
      </c>
      <c r="H173" s="26">
        <v>6.01</v>
      </c>
      <c r="I173" s="26">
        <v>49.2</v>
      </c>
      <c r="J173" s="26">
        <v>268.39999999999998</v>
      </c>
      <c r="K173" s="26">
        <v>209.8</v>
      </c>
      <c r="L173" s="26">
        <v>310092</v>
      </c>
      <c r="M173" s="26">
        <v>7341</v>
      </c>
      <c r="N173" s="26">
        <v>34.04</v>
      </c>
      <c r="O173" s="26">
        <v>4211</v>
      </c>
      <c r="P173" s="26">
        <v>8423</v>
      </c>
      <c r="Q173" s="26">
        <v>10239</v>
      </c>
      <c r="R173" s="26">
        <v>700</v>
      </c>
      <c r="S173" s="26">
        <v>6.17</v>
      </c>
      <c r="T173" s="26">
        <v>548</v>
      </c>
      <c r="U173" s="26">
        <v>1050</v>
      </c>
      <c r="V173" s="26">
        <v>1096</v>
      </c>
      <c r="W173" s="26">
        <v>404</v>
      </c>
      <c r="X173" s="26">
        <v>17293710</v>
      </c>
      <c r="Y173" s="26">
        <v>12411</v>
      </c>
      <c r="Z173" s="26">
        <v>374</v>
      </c>
      <c r="AA173" s="40" t="s">
        <v>122</v>
      </c>
      <c r="AB173" s="40" t="s">
        <v>122</v>
      </c>
      <c r="AC173" s="104">
        <f t="shared" si="3"/>
        <v>82.16</v>
      </c>
    </row>
    <row r="174" spans="1:29" x14ac:dyDescent="0.25">
      <c r="A174" s="26" t="s">
        <v>747</v>
      </c>
      <c r="B174" s="26">
        <v>840</v>
      </c>
      <c r="C174" s="26">
        <v>292</v>
      </c>
      <c r="D174" s="26">
        <v>21.7</v>
      </c>
      <c r="E174" s="26">
        <v>756</v>
      </c>
      <c r="F174" s="26">
        <v>14.7</v>
      </c>
      <c r="G174" s="26">
        <v>27</v>
      </c>
      <c r="H174" s="26">
        <v>6.73</v>
      </c>
      <c r="I174" s="26">
        <v>51.3</v>
      </c>
      <c r="J174" s="26">
        <v>247.1</v>
      </c>
      <c r="K174" s="26">
        <v>193.5</v>
      </c>
      <c r="L174" s="26">
        <v>279291</v>
      </c>
      <c r="M174" s="26">
        <v>6653</v>
      </c>
      <c r="N174" s="26">
        <v>33.53</v>
      </c>
      <c r="O174" s="26">
        <v>3826</v>
      </c>
      <c r="P174" s="26">
        <v>7653</v>
      </c>
      <c r="Q174" s="26">
        <v>9074</v>
      </c>
      <c r="R174" s="26">
        <v>621</v>
      </c>
      <c r="S174" s="26">
        <v>6.07</v>
      </c>
      <c r="T174" s="26">
        <v>488</v>
      </c>
      <c r="U174" s="26">
        <v>932</v>
      </c>
      <c r="V174" s="26">
        <v>975</v>
      </c>
      <c r="W174" s="26">
        <v>307</v>
      </c>
      <c r="X174" s="26">
        <v>15199130</v>
      </c>
      <c r="Y174" s="26">
        <v>11445</v>
      </c>
      <c r="Z174" s="26">
        <v>528</v>
      </c>
      <c r="AA174" s="40" t="s">
        <v>122</v>
      </c>
      <c r="AB174" s="40" t="s">
        <v>122</v>
      </c>
      <c r="AC174" s="104">
        <f t="shared" si="3"/>
        <v>81.83</v>
      </c>
    </row>
    <row r="175" spans="1:29" x14ac:dyDescent="0.25">
      <c r="A175" s="26" t="s">
        <v>748</v>
      </c>
      <c r="B175" s="26">
        <v>835</v>
      </c>
      <c r="C175" s="26">
        <v>292</v>
      </c>
      <c r="D175" s="26">
        <v>18.8</v>
      </c>
      <c r="E175" s="26">
        <v>756</v>
      </c>
      <c r="F175" s="26">
        <v>14</v>
      </c>
      <c r="G175" s="26">
        <v>27</v>
      </c>
      <c r="H175" s="26">
        <v>7.76</v>
      </c>
      <c r="I175" s="26">
        <v>54.1</v>
      </c>
      <c r="J175" s="26">
        <v>223.9</v>
      </c>
      <c r="K175" s="26">
        <v>175.6</v>
      </c>
      <c r="L175" s="26">
        <v>245577</v>
      </c>
      <c r="M175" s="26">
        <v>5883</v>
      </c>
      <c r="N175" s="26">
        <v>33.020000000000003</v>
      </c>
      <c r="O175" s="26">
        <v>3400</v>
      </c>
      <c r="P175" s="26">
        <v>6801</v>
      </c>
      <c r="Q175" s="26">
        <v>7784</v>
      </c>
      <c r="R175" s="26">
        <v>534</v>
      </c>
      <c r="S175" s="26">
        <v>5.89</v>
      </c>
      <c r="T175" s="26">
        <v>420</v>
      </c>
      <c r="U175" s="26">
        <v>801</v>
      </c>
      <c r="V175" s="26">
        <v>841</v>
      </c>
      <c r="W175" s="26">
        <v>221</v>
      </c>
      <c r="X175" s="26">
        <v>12970282</v>
      </c>
      <c r="Y175" s="26">
        <v>10411</v>
      </c>
      <c r="Z175" s="26">
        <v>793</v>
      </c>
      <c r="AA175" s="40" t="s">
        <v>122</v>
      </c>
      <c r="AB175" s="40" t="s">
        <v>122</v>
      </c>
      <c r="AC175" s="104">
        <f t="shared" si="3"/>
        <v>81.62</v>
      </c>
    </row>
    <row r="176" spans="1:29" x14ac:dyDescent="0.25">
      <c r="A176" s="26" t="s">
        <v>749</v>
      </c>
      <c r="B176" s="26">
        <v>869</v>
      </c>
      <c r="C176" s="26">
        <v>403</v>
      </c>
      <c r="D176" s="26">
        <v>74.900000000000006</v>
      </c>
      <c r="E176" s="26">
        <v>679</v>
      </c>
      <c r="F176" s="26">
        <v>41.4</v>
      </c>
      <c r="G176" s="26">
        <v>39.700000000000003</v>
      </c>
      <c r="H176" s="26">
        <v>2.69</v>
      </c>
      <c r="I176" s="26">
        <v>16.399999999999999</v>
      </c>
      <c r="J176" s="26">
        <v>903.2</v>
      </c>
      <c r="K176" s="26">
        <v>709.9</v>
      </c>
      <c r="L176" s="26">
        <v>1086364</v>
      </c>
      <c r="M176" s="26">
        <v>25072</v>
      </c>
      <c r="N176" s="26">
        <v>34.799999999999997</v>
      </c>
      <c r="O176" s="26">
        <v>14666</v>
      </c>
      <c r="P176" s="26">
        <v>29333</v>
      </c>
      <c r="Q176" s="26">
        <v>81998</v>
      </c>
      <c r="R176" s="26">
        <v>4080</v>
      </c>
      <c r="S176" s="26">
        <v>9.5299999999999994</v>
      </c>
      <c r="T176" s="26">
        <v>3195</v>
      </c>
      <c r="U176" s="26">
        <v>6121</v>
      </c>
      <c r="V176" s="26">
        <v>6391</v>
      </c>
      <c r="W176" s="26">
        <v>12778</v>
      </c>
      <c r="X176" s="26">
        <v>128897216</v>
      </c>
      <c r="Y176" s="26">
        <v>37370</v>
      </c>
      <c r="Z176" s="26">
        <v>4.0599999999999996</v>
      </c>
      <c r="AA176" s="40" t="s">
        <v>122</v>
      </c>
      <c r="AB176" s="40" t="s">
        <v>122</v>
      </c>
      <c r="AC176" s="104">
        <f t="shared" si="3"/>
        <v>79.41</v>
      </c>
    </row>
    <row r="177" spans="1:29" x14ac:dyDescent="0.25">
      <c r="A177" s="26" t="s">
        <v>750</v>
      </c>
      <c r="B177" s="26">
        <v>843</v>
      </c>
      <c r="C177" s="26">
        <v>396</v>
      </c>
      <c r="D177" s="26">
        <v>62</v>
      </c>
      <c r="E177" s="26">
        <v>679</v>
      </c>
      <c r="F177" s="26">
        <v>34.5</v>
      </c>
      <c r="G177" s="26">
        <v>36.5</v>
      </c>
      <c r="H177" s="26">
        <v>3.19</v>
      </c>
      <c r="I177" s="26">
        <v>19.7</v>
      </c>
      <c r="J177" s="26">
        <v>735.5</v>
      </c>
      <c r="K177" s="26">
        <v>581.9</v>
      </c>
      <c r="L177" s="26">
        <v>861599</v>
      </c>
      <c r="M177" s="26">
        <v>20484</v>
      </c>
      <c r="N177" s="26">
        <v>34.29</v>
      </c>
      <c r="O177" s="26">
        <v>11717</v>
      </c>
      <c r="P177" s="26">
        <v>23434</v>
      </c>
      <c r="Q177" s="26">
        <v>64516</v>
      </c>
      <c r="R177" s="26">
        <v>3245</v>
      </c>
      <c r="S177" s="26">
        <v>9.35</v>
      </c>
      <c r="T177" s="26">
        <v>2540</v>
      </c>
      <c r="U177" s="26">
        <v>4867</v>
      </c>
      <c r="V177" s="26">
        <v>5080</v>
      </c>
      <c r="W177" s="26">
        <v>7242</v>
      </c>
      <c r="X177" s="26">
        <v>97747055</v>
      </c>
      <c r="Y177" s="26">
        <v>31095</v>
      </c>
      <c r="Z177" s="26">
        <v>8.1199999999999992</v>
      </c>
      <c r="AA177" s="40" t="s">
        <v>122</v>
      </c>
      <c r="AB177" s="40" t="s">
        <v>122</v>
      </c>
      <c r="AC177" s="104">
        <f t="shared" si="3"/>
        <v>78.099999999999994</v>
      </c>
    </row>
    <row r="178" spans="1:29" x14ac:dyDescent="0.25">
      <c r="A178" s="26" t="s">
        <v>751</v>
      </c>
      <c r="B178" s="26">
        <v>823</v>
      </c>
      <c r="C178" s="26">
        <v>390</v>
      </c>
      <c r="D178" s="26">
        <v>52.1</v>
      </c>
      <c r="E178" s="26">
        <v>679</v>
      </c>
      <c r="F178" s="26">
        <v>29</v>
      </c>
      <c r="G178" s="26">
        <v>33.299999999999997</v>
      </c>
      <c r="H178" s="26">
        <v>3.75</v>
      </c>
      <c r="I178" s="26">
        <v>23.5</v>
      </c>
      <c r="J178" s="26">
        <v>617.4</v>
      </c>
      <c r="K178" s="26">
        <v>485.1</v>
      </c>
      <c r="L178" s="26">
        <v>699269</v>
      </c>
      <c r="M178" s="26">
        <v>16879</v>
      </c>
      <c r="N178" s="26">
        <v>33.53</v>
      </c>
      <c r="O178" s="26">
        <v>9750</v>
      </c>
      <c r="P178" s="26">
        <v>19501</v>
      </c>
      <c r="Q178" s="26">
        <v>51613</v>
      </c>
      <c r="R178" s="26">
        <v>2655</v>
      </c>
      <c r="S178" s="26">
        <v>9.17</v>
      </c>
      <c r="T178" s="26">
        <v>2065</v>
      </c>
      <c r="U178" s="26">
        <v>3982</v>
      </c>
      <c r="V178" s="26">
        <v>4130</v>
      </c>
      <c r="W178" s="26">
        <v>4287</v>
      </c>
      <c r="X178" s="26">
        <v>76801258</v>
      </c>
      <c r="Y178" s="26">
        <v>26614</v>
      </c>
      <c r="Z178" s="26">
        <v>15.5</v>
      </c>
      <c r="AA178" s="40" t="s">
        <v>122</v>
      </c>
      <c r="AB178" s="40" t="s">
        <v>122</v>
      </c>
      <c r="AC178" s="104">
        <f t="shared" si="3"/>
        <v>77.09</v>
      </c>
    </row>
    <row r="179" spans="1:29" x14ac:dyDescent="0.25">
      <c r="A179" s="26" t="s">
        <v>752</v>
      </c>
      <c r="B179" s="26">
        <v>813</v>
      </c>
      <c r="C179" s="26">
        <v>387</v>
      </c>
      <c r="D179" s="26">
        <v>47</v>
      </c>
      <c r="E179" s="26">
        <v>679</v>
      </c>
      <c r="F179" s="26">
        <v>25.9</v>
      </c>
      <c r="G179" s="26">
        <v>31.8</v>
      </c>
      <c r="H179" s="26">
        <v>4.12</v>
      </c>
      <c r="I179" s="26">
        <v>26.2</v>
      </c>
      <c r="J179" s="26">
        <v>552.9</v>
      </c>
      <c r="K179" s="26">
        <v>434.5</v>
      </c>
      <c r="L179" s="26">
        <v>620185</v>
      </c>
      <c r="M179" s="26">
        <v>15207</v>
      </c>
      <c r="N179" s="26">
        <v>33.53</v>
      </c>
      <c r="O179" s="26">
        <v>8685</v>
      </c>
      <c r="P179" s="26">
        <v>17370</v>
      </c>
      <c r="Q179" s="26">
        <v>45785</v>
      </c>
      <c r="R179" s="26">
        <v>2360</v>
      </c>
      <c r="S179" s="26">
        <v>9.09</v>
      </c>
      <c r="T179" s="26">
        <v>1827</v>
      </c>
      <c r="U179" s="26">
        <v>3540</v>
      </c>
      <c r="V179" s="26">
        <v>3654</v>
      </c>
      <c r="W179" s="26">
        <v>3118</v>
      </c>
      <c r="X179" s="26">
        <v>66865431</v>
      </c>
      <c r="Y179" s="26">
        <v>23856</v>
      </c>
      <c r="Z179" s="26">
        <v>23.3</v>
      </c>
      <c r="AA179" s="40" t="s">
        <v>122</v>
      </c>
      <c r="AB179" s="40" t="s">
        <v>122</v>
      </c>
      <c r="AC179" s="104">
        <f t="shared" si="3"/>
        <v>76.599999999999994</v>
      </c>
    </row>
    <row r="180" spans="1:29" x14ac:dyDescent="0.25">
      <c r="A180" s="26" t="s">
        <v>753</v>
      </c>
      <c r="B180" s="26">
        <v>803</v>
      </c>
      <c r="C180" s="26">
        <v>385</v>
      </c>
      <c r="D180" s="26">
        <v>41.9</v>
      </c>
      <c r="E180" s="26">
        <v>679</v>
      </c>
      <c r="F180" s="26">
        <v>23.6</v>
      </c>
      <c r="G180" s="26">
        <v>30.2</v>
      </c>
      <c r="H180" s="26">
        <v>4.59</v>
      </c>
      <c r="I180" s="26">
        <v>28.8</v>
      </c>
      <c r="J180" s="26">
        <v>494.8</v>
      </c>
      <c r="K180" s="26">
        <v>388.4</v>
      </c>
      <c r="L180" s="26">
        <v>545263</v>
      </c>
      <c r="M180" s="26">
        <v>13552</v>
      </c>
      <c r="N180" s="26">
        <v>33.270000000000003</v>
      </c>
      <c r="O180" s="26">
        <v>7710</v>
      </c>
      <c r="P180" s="26">
        <v>15420</v>
      </c>
      <c r="Q180" s="26">
        <v>39917</v>
      </c>
      <c r="R180" s="26">
        <v>2081</v>
      </c>
      <c r="S180" s="26">
        <v>8.99</v>
      </c>
      <c r="T180" s="26">
        <v>1606</v>
      </c>
      <c r="U180" s="26">
        <v>3122</v>
      </c>
      <c r="V180" s="26">
        <v>3212</v>
      </c>
      <c r="W180" s="26">
        <v>2239</v>
      </c>
      <c r="X180" s="26">
        <v>57735211</v>
      </c>
      <c r="Y180" s="26">
        <v>21443</v>
      </c>
      <c r="Z180" s="26">
        <v>35.6</v>
      </c>
      <c r="AA180" s="40" t="s">
        <v>122</v>
      </c>
      <c r="AB180" s="40" t="s">
        <v>122</v>
      </c>
      <c r="AC180" s="104">
        <f t="shared" si="3"/>
        <v>76.11</v>
      </c>
    </row>
    <row r="181" spans="1:29" x14ac:dyDescent="0.25">
      <c r="A181" s="26" t="s">
        <v>754</v>
      </c>
      <c r="B181" s="26">
        <v>795</v>
      </c>
      <c r="C181" s="26">
        <v>382</v>
      </c>
      <c r="D181" s="26">
        <v>38.1</v>
      </c>
      <c r="E181" s="26">
        <v>679</v>
      </c>
      <c r="F181" s="26">
        <v>21.1</v>
      </c>
      <c r="G181" s="26">
        <v>28.6</v>
      </c>
      <c r="H181" s="26">
        <v>5.0199999999999996</v>
      </c>
      <c r="I181" s="26">
        <v>32.200000000000003</v>
      </c>
      <c r="J181" s="26">
        <v>445.2</v>
      </c>
      <c r="K181" s="26">
        <v>349.7</v>
      </c>
      <c r="L181" s="26">
        <v>486991</v>
      </c>
      <c r="M181" s="26">
        <v>12225</v>
      </c>
      <c r="N181" s="26">
        <v>33.020000000000003</v>
      </c>
      <c r="O181" s="26">
        <v>6924</v>
      </c>
      <c r="P181" s="26">
        <v>13847</v>
      </c>
      <c r="Q181" s="26">
        <v>35588</v>
      </c>
      <c r="R181" s="26">
        <v>1868</v>
      </c>
      <c r="S181" s="26">
        <v>8.94</v>
      </c>
      <c r="T181" s="26">
        <v>1434</v>
      </c>
      <c r="U181" s="26">
        <v>2802</v>
      </c>
      <c r="V181" s="26">
        <v>2868</v>
      </c>
      <c r="W181" s="26">
        <v>1665</v>
      </c>
      <c r="X181" s="26">
        <v>51021815</v>
      </c>
      <c r="Y181" s="26">
        <v>19443</v>
      </c>
      <c r="Z181" s="26">
        <v>51.7</v>
      </c>
      <c r="AA181" s="40" t="s">
        <v>122</v>
      </c>
      <c r="AB181" s="40" t="s">
        <v>122</v>
      </c>
      <c r="AC181" s="104">
        <f t="shared" si="3"/>
        <v>75.69</v>
      </c>
    </row>
    <row r="182" spans="1:29" x14ac:dyDescent="0.25">
      <c r="A182" s="26" t="s">
        <v>755</v>
      </c>
      <c r="B182" s="26">
        <v>786</v>
      </c>
      <c r="C182" s="26">
        <v>384</v>
      </c>
      <c r="D182" s="26">
        <v>33.4</v>
      </c>
      <c r="E182" s="26">
        <v>679</v>
      </c>
      <c r="F182" s="26">
        <v>19.7</v>
      </c>
      <c r="G182" s="26">
        <v>28.6</v>
      </c>
      <c r="H182" s="26">
        <v>5.74</v>
      </c>
      <c r="I182" s="26">
        <v>34.5</v>
      </c>
      <c r="J182" s="26">
        <v>400</v>
      </c>
      <c r="K182" s="26">
        <v>314</v>
      </c>
      <c r="L182" s="26">
        <v>428718</v>
      </c>
      <c r="M182" s="26">
        <v>10865</v>
      </c>
      <c r="N182" s="26">
        <v>32.770000000000003</v>
      </c>
      <c r="O182" s="26">
        <v>6137</v>
      </c>
      <c r="P182" s="26">
        <v>12274</v>
      </c>
      <c r="Q182" s="26">
        <v>31509</v>
      </c>
      <c r="R182" s="26">
        <v>1639</v>
      </c>
      <c r="S182" s="26">
        <v>8.86</v>
      </c>
      <c r="T182" s="26">
        <v>1262</v>
      </c>
      <c r="U182" s="26">
        <v>2458</v>
      </c>
      <c r="V182" s="26">
        <v>2524</v>
      </c>
      <c r="W182" s="26">
        <v>1161</v>
      </c>
      <c r="X182" s="26">
        <v>44576954</v>
      </c>
      <c r="Y182" s="26">
        <v>17306</v>
      </c>
      <c r="Z182" s="26">
        <v>83.1</v>
      </c>
      <c r="AA182" s="40" t="s">
        <v>122</v>
      </c>
      <c r="AB182" s="40" t="s">
        <v>122</v>
      </c>
      <c r="AC182" s="104">
        <f t="shared" si="3"/>
        <v>75.260000000000005</v>
      </c>
    </row>
    <row r="183" spans="1:29" x14ac:dyDescent="0.25">
      <c r="A183" s="26" t="s">
        <v>756</v>
      </c>
      <c r="B183" s="26">
        <v>779</v>
      </c>
      <c r="C183" s="26">
        <v>382</v>
      </c>
      <c r="D183" s="26">
        <v>30.1</v>
      </c>
      <c r="E183" s="26">
        <v>679</v>
      </c>
      <c r="F183" s="26">
        <v>18</v>
      </c>
      <c r="G183" s="26">
        <v>27</v>
      </c>
      <c r="H183" s="26">
        <v>6.35</v>
      </c>
      <c r="I183" s="26">
        <v>37.700000000000003</v>
      </c>
      <c r="J183" s="26">
        <v>361.9</v>
      </c>
      <c r="K183" s="26">
        <v>284.2</v>
      </c>
      <c r="L183" s="26">
        <v>381684</v>
      </c>
      <c r="M183" s="26">
        <v>9799</v>
      </c>
      <c r="N183" s="26">
        <v>32.51</v>
      </c>
      <c r="O183" s="26">
        <v>5514</v>
      </c>
      <c r="P183" s="26">
        <v>11028</v>
      </c>
      <c r="Q183" s="26">
        <v>28012</v>
      </c>
      <c r="R183" s="26">
        <v>1467</v>
      </c>
      <c r="S183" s="26">
        <v>8.7899999999999991</v>
      </c>
      <c r="T183" s="26">
        <v>1131</v>
      </c>
      <c r="U183" s="26">
        <v>2200</v>
      </c>
      <c r="V183" s="26">
        <v>2261</v>
      </c>
      <c r="W183" s="26">
        <v>857</v>
      </c>
      <c r="X183" s="26">
        <v>39206237</v>
      </c>
      <c r="Y183" s="26">
        <v>15720</v>
      </c>
      <c r="Z183" s="26">
        <v>123</v>
      </c>
      <c r="AA183" s="40" t="s">
        <v>122</v>
      </c>
      <c r="AB183" s="40" t="s">
        <v>122</v>
      </c>
      <c r="AC183" s="104">
        <f t="shared" si="3"/>
        <v>74.89</v>
      </c>
    </row>
    <row r="184" spans="1:29" x14ac:dyDescent="0.25">
      <c r="A184" s="26" t="s">
        <v>757</v>
      </c>
      <c r="B184" s="26">
        <v>773</v>
      </c>
      <c r="C184" s="26">
        <v>381</v>
      </c>
      <c r="D184" s="26">
        <v>27.1</v>
      </c>
      <c r="E184" s="26">
        <v>679</v>
      </c>
      <c r="F184" s="26">
        <v>16.600000000000001</v>
      </c>
      <c r="G184" s="26">
        <v>27</v>
      </c>
      <c r="H184" s="26">
        <v>7.04</v>
      </c>
      <c r="I184" s="26">
        <v>40.799999999999997</v>
      </c>
      <c r="J184" s="26">
        <v>327.7</v>
      </c>
      <c r="K184" s="26">
        <v>257.5</v>
      </c>
      <c r="L184" s="26">
        <v>341310</v>
      </c>
      <c r="M184" s="26">
        <v>8833</v>
      </c>
      <c r="N184" s="26">
        <v>32.26</v>
      </c>
      <c r="O184" s="26">
        <v>4957</v>
      </c>
      <c r="P184" s="26">
        <v>9914</v>
      </c>
      <c r="Q184" s="26">
        <v>24891</v>
      </c>
      <c r="R184" s="26">
        <v>1308</v>
      </c>
      <c r="S184" s="26">
        <v>8.7100000000000009</v>
      </c>
      <c r="T184" s="26">
        <v>1008</v>
      </c>
      <c r="U184" s="26">
        <v>1962</v>
      </c>
      <c r="V184" s="26">
        <v>2016</v>
      </c>
      <c r="W184" s="26">
        <v>637</v>
      </c>
      <c r="X184" s="26">
        <v>34641127</v>
      </c>
      <c r="Y184" s="26">
        <v>14272</v>
      </c>
      <c r="Z184" s="26">
        <v>180</v>
      </c>
      <c r="AA184" s="40" t="s">
        <v>122</v>
      </c>
      <c r="AB184" s="40" t="s">
        <v>122</v>
      </c>
      <c r="AC184" s="104">
        <f t="shared" si="3"/>
        <v>74.59</v>
      </c>
    </row>
    <row r="185" spans="1:29" x14ac:dyDescent="0.25">
      <c r="A185" s="26" t="s">
        <v>758</v>
      </c>
      <c r="B185" s="26">
        <v>779</v>
      </c>
      <c r="C185" s="26">
        <v>266</v>
      </c>
      <c r="D185" s="26">
        <v>30</v>
      </c>
      <c r="E185" s="26">
        <v>679</v>
      </c>
      <c r="F185" s="26">
        <v>16.5</v>
      </c>
      <c r="G185" s="26">
        <v>25.4</v>
      </c>
      <c r="H185" s="26">
        <v>4.4400000000000004</v>
      </c>
      <c r="I185" s="26">
        <v>41.2</v>
      </c>
      <c r="J185" s="26">
        <v>280.60000000000002</v>
      </c>
      <c r="K185" s="26">
        <v>220.2</v>
      </c>
      <c r="L185" s="26">
        <v>278043</v>
      </c>
      <c r="M185" s="26">
        <v>7145</v>
      </c>
      <c r="N185" s="26">
        <v>31.5</v>
      </c>
      <c r="O185" s="26">
        <v>4097</v>
      </c>
      <c r="P185" s="26">
        <v>8194</v>
      </c>
      <c r="Q185" s="26">
        <v>9448</v>
      </c>
      <c r="R185" s="26">
        <v>710</v>
      </c>
      <c r="S185" s="26">
        <v>5.79</v>
      </c>
      <c r="T185" s="26">
        <v>557</v>
      </c>
      <c r="U185" s="26">
        <v>1064</v>
      </c>
      <c r="V185" s="26">
        <v>1114</v>
      </c>
      <c r="W185" s="26">
        <v>608</v>
      </c>
      <c r="X185" s="26">
        <v>13265672</v>
      </c>
      <c r="Y185" s="26">
        <v>15927</v>
      </c>
      <c r="Z185" s="26">
        <v>130</v>
      </c>
      <c r="AA185" s="40" t="s">
        <v>122</v>
      </c>
      <c r="AB185" s="40" t="s">
        <v>122</v>
      </c>
      <c r="AC185" s="104">
        <f t="shared" si="3"/>
        <v>74.900000000000006</v>
      </c>
    </row>
    <row r="186" spans="1:29" x14ac:dyDescent="0.25">
      <c r="A186" s="26" t="s">
        <v>759</v>
      </c>
      <c r="B186" s="26">
        <v>770</v>
      </c>
      <c r="C186" s="26">
        <v>268</v>
      </c>
      <c r="D186" s="26">
        <v>25.4</v>
      </c>
      <c r="E186" s="26">
        <v>679</v>
      </c>
      <c r="F186" s="26">
        <v>15.6</v>
      </c>
      <c r="G186" s="26">
        <v>27</v>
      </c>
      <c r="H186" s="26">
        <v>5.27</v>
      </c>
      <c r="I186" s="26">
        <v>43.5</v>
      </c>
      <c r="J186" s="26">
        <v>251</v>
      </c>
      <c r="K186" s="26">
        <v>196.4</v>
      </c>
      <c r="L186" s="26">
        <v>240166</v>
      </c>
      <c r="M186" s="26">
        <v>6227</v>
      </c>
      <c r="N186" s="26">
        <v>30.99</v>
      </c>
      <c r="O186" s="26">
        <v>3581</v>
      </c>
      <c r="P186" s="26">
        <v>7161</v>
      </c>
      <c r="Q186" s="26">
        <v>8158</v>
      </c>
      <c r="R186" s="26">
        <v>610</v>
      </c>
      <c r="S186" s="26">
        <v>5.72</v>
      </c>
      <c r="T186" s="26">
        <v>479</v>
      </c>
      <c r="U186" s="26">
        <v>914</v>
      </c>
      <c r="V186" s="26">
        <v>957</v>
      </c>
      <c r="W186" s="26">
        <v>405</v>
      </c>
      <c r="X186" s="26">
        <v>11305360</v>
      </c>
      <c r="Y186" s="26">
        <v>14134</v>
      </c>
      <c r="Z186" s="26">
        <v>221</v>
      </c>
      <c r="AA186" s="40" t="s">
        <v>122</v>
      </c>
      <c r="AB186" s="40" t="s">
        <v>122</v>
      </c>
      <c r="AC186" s="104">
        <f t="shared" si="3"/>
        <v>74.460000000000008</v>
      </c>
    </row>
    <row r="187" spans="1:29" x14ac:dyDescent="0.25">
      <c r="A187" s="26" t="s">
        <v>760</v>
      </c>
      <c r="B187" s="26">
        <v>766</v>
      </c>
      <c r="C187" s="26">
        <v>267</v>
      </c>
      <c r="D187" s="26">
        <v>23.6</v>
      </c>
      <c r="E187" s="26">
        <v>679</v>
      </c>
      <c r="F187" s="26">
        <v>14.9</v>
      </c>
      <c r="G187" s="26">
        <v>25.4</v>
      </c>
      <c r="H187" s="26">
        <v>5.65</v>
      </c>
      <c r="I187" s="26">
        <v>45.7</v>
      </c>
      <c r="J187" s="26">
        <v>235.5</v>
      </c>
      <c r="K187" s="26">
        <v>184.5</v>
      </c>
      <c r="L187" s="26">
        <v>223100</v>
      </c>
      <c r="M187" s="26">
        <v>5817</v>
      </c>
      <c r="N187" s="26">
        <v>30.73</v>
      </c>
      <c r="O187" s="26">
        <v>3343</v>
      </c>
      <c r="P187" s="26">
        <v>6686</v>
      </c>
      <c r="Q187" s="26">
        <v>7534</v>
      </c>
      <c r="R187" s="26">
        <v>564</v>
      </c>
      <c r="S187" s="26">
        <v>5.66</v>
      </c>
      <c r="T187" s="26">
        <v>442</v>
      </c>
      <c r="U187" s="26">
        <v>846</v>
      </c>
      <c r="V187" s="26">
        <v>885</v>
      </c>
      <c r="W187" s="26">
        <v>333</v>
      </c>
      <c r="X187" s="26">
        <v>10365484</v>
      </c>
      <c r="Y187" s="26">
        <v>13307</v>
      </c>
      <c r="Z187" s="26">
        <v>284</v>
      </c>
      <c r="AA187" s="40" t="s">
        <v>122</v>
      </c>
      <c r="AB187" s="40" t="s">
        <v>122</v>
      </c>
      <c r="AC187" s="104">
        <f t="shared" si="3"/>
        <v>74.239999999999995</v>
      </c>
    </row>
    <row r="188" spans="1:29" x14ac:dyDescent="0.25">
      <c r="A188" s="26" t="s">
        <v>761</v>
      </c>
      <c r="B188" s="26">
        <v>762</v>
      </c>
      <c r="C188" s="26">
        <v>267</v>
      </c>
      <c r="D188" s="26">
        <v>21.6</v>
      </c>
      <c r="E188" s="26">
        <v>679</v>
      </c>
      <c r="F188" s="26">
        <v>14.4</v>
      </c>
      <c r="G188" s="26">
        <v>25.4</v>
      </c>
      <c r="H188" s="26">
        <v>6.17</v>
      </c>
      <c r="I188" s="26">
        <v>47.3</v>
      </c>
      <c r="J188" s="26">
        <v>220.6</v>
      </c>
      <c r="K188" s="26">
        <v>172.6</v>
      </c>
      <c r="L188" s="26">
        <v>205202</v>
      </c>
      <c r="M188" s="26">
        <v>5391</v>
      </c>
      <c r="N188" s="26">
        <v>30.48</v>
      </c>
      <c r="O188" s="26">
        <v>3097</v>
      </c>
      <c r="P188" s="26">
        <v>6194</v>
      </c>
      <c r="Q188" s="26">
        <v>6826</v>
      </c>
      <c r="R188" s="26">
        <v>513</v>
      </c>
      <c r="S188" s="26">
        <v>5.56</v>
      </c>
      <c r="T188" s="26">
        <v>403</v>
      </c>
      <c r="U188" s="26">
        <v>769</v>
      </c>
      <c r="V188" s="26">
        <v>806</v>
      </c>
      <c r="W188" s="26">
        <v>268</v>
      </c>
      <c r="X188" s="26">
        <v>9371902</v>
      </c>
      <c r="Y188" s="26">
        <v>12411</v>
      </c>
      <c r="Z188" s="26">
        <v>372</v>
      </c>
      <c r="AA188" s="40" t="s">
        <v>122</v>
      </c>
      <c r="AB188" s="40" t="s">
        <v>122</v>
      </c>
      <c r="AC188" s="104">
        <f t="shared" si="3"/>
        <v>74.039999999999992</v>
      </c>
    </row>
    <row r="189" spans="1:29" x14ac:dyDescent="0.25">
      <c r="A189" s="26" t="s">
        <v>762</v>
      </c>
      <c r="B189" s="26">
        <v>758</v>
      </c>
      <c r="C189" s="26">
        <v>266</v>
      </c>
      <c r="D189" s="26">
        <v>19.3</v>
      </c>
      <c r="E189" s="26">
        <v>679</v>
      </c>
      <c r="F189" s="26">
        <v>13.8</v>
      </c>
      <c r="G189" s="26">
        <v>25.4</v>
      </c>
      <c r="H189" s="26">
        <v>6.89</v>
      </c>
      <c r="I189" s="26">
        <v>49.1</v>
      </c>
      <c r="J189" s="26">
        <v>204.5</v>
      </c>
      <c r="K189" s="26">
        <v>160.69999999999999</v>
      </c>
      <c r="L189" s="26">
        <v>186055</v>
      </c>
      <c r="M189" s="26">
        <v>4900</v>
      </c>
      <c r="N189" s="26">
        <v>30.23</v>
      </c>
      <c r="O189" s="26">
        <v>2835</v>
      </c>
      <c r="P189" s="26">
        <v>5670</v>
      </c>
      <c r="Q189" s="26">
        <v>6077</v>
      </c>
      <c r="R189" s="26">
        <v>457</v>
      </c>
      <c r="S189" s="26">
        <v>5.46</v>
      </c>
      <c r="T189" s="26">
        <v>360</v>
      </c>
      <c r="U189" s="26">
        <v>686</v>
      </c>
      <c r="V189" s="26">
        <v>719</v>
      </c>
      <c r="W189" s="26">
        <v>208</v>
      </c>
      <c r="X189" s="26">
        <v>8297758</v>
      </c>
      <c r="Y189" s="26">
        <v>11583</v>
      </c>
      <c r="Z189" s="26">
        <v>509</v>
      </c>
      <c r="AA189" s="40" t="s">
        <v>122</v>
      </c>
      <c r="AB189" s="40" t="s">
        <v>122</v>
      </c>
      <c r="AC189" s="104">
        <f t="shared" si="3"/>
        <v>73.87</v>
      </c>
    </row>
    <row r="190" spans="1:29" x14ac:dyDescent="0.25">
      <c r="A190" s="26" t="s">
        <v>763</v>
      </c>
      <c r="B190" s="26">
        <v>753</v>
      </c>
      <c r="C190" s="26">
        <v>265</v>
      </c>
      <c r="D190" s="26">
        <v>17</v>
      </c>
      <c r="E190" s="26">
        <v>679</v>
      </c>
      <c r="F190" s="26">
        <v>13.2</v>
      </c>
      <c r="G190" s="26">
        <v>25.4</v>
      </c>
      <c r="H190" s="26">
        <v>7.8</v>
      </c>
      <c r="I190" s="26">
        <v>51.4</v>
      </c>
      <c r="J190" s="26">
        <v>187.7</v>
      </c>
      <c r="K190" s="26">
        <v>147.30000000000001</v>
      </c>
      <c r="L190" s="26">
        <v>166076</v>
      </c>
      <c r="M190" s="26">
        <v>4408</v>
      </c>
      <c r="N190" s="26">
        <v>29.72</v>
      </c>
      <c r="O190" s="26">
        <v>2556</v>
      </c>
      <c r="P190" s="26">
        <v>5113</v>
      </c>
      <c r="Q190" s="26">
        <v>5328</v>
      </c>
      <c r="R190" s="26">
        <v>401</v>
      </c>
      <c r="S190" s="26">
        <v>5.33</v>
      </c>
      <c r="T190" s="26">
        <v>316</v>
      </c>
      <c r="U190" s="26">
        <v>602</v>
      </c>
      <c r="V190" s="26">
        <v>633</v>
      </c>
      <c r="W190" s="26">
        <v>157</v>
      </c>
      <c r="X190" s="26">
        <v>7196761</v>
      </c>
      <c r="Y190" s="26">
        <v>10756</v>
      </c>
      <c r="Z190" s="26">
        <v>717</v>
      </c>
      <c r="AA190" s="40" t="s">
        <v>122</v>
      </c>
      <c r="AB190" s="40" t="s">
        <v>122</v>
      </c>
      <c r="AC190" s="104">
        <f t="shared" si="3"/>
        <v>73.599999999999994</v>
      </c>
    </row>
    <row r="191" spans="1:29" x14ac:dyDescent="0.25">
      <c r="A191" s="26" t="s">
        <v>764</v>
      </c>
      <c r="B191" s="26">
        <v>750</v>
      </c>
      <c r="C191" s="26">
        <v>264</v>
      </c>
      <c r="D191" s="26">
        <v>15.5</v>
      </c>
      <c r="E191" s="26">
        <v>679</v>
      </c>
      <c r="F191" s="26">
        <v>11.9</v>
      </c>
      <c r="G191" s="26">
        <v>25.4</v>
      </c>
      <c r="H191" s="26">
        <v>8.52</v>
      </c>
      <c r="I191" s="26">
        <v>56.9</v>
      </c>
      <c r="J191" s="26">
        <v>170.3</v>
      </c>
      <c r="K191" s="26">
        <v>133.9</v>
      </c>
      <c r="L191" s="26">
        <v>150676</v>
      </c>
      <c r="M191" s="26">
        <v>4015</v>
      </c>
      <c r="N191" s="26">
        <v>29.72</v>
      </c>
      <c r="O191" s="26">
        <v>2319</v>
      </c>
      <c r="P191" s="26">
        <v>4638</v>
      </c>
      <c r="Q191" s="26">
        <v>4787</v>
      </c>
      <c r="R191" s="26">
        <v>362</v>
      </c>
      <c r="S191" s="26">
        <v>5.31</v>
      </c>
      <c r="T191" s="26">
        <v>284</v>
      </c>
      <c r="U191" s="26">
        <v>543</v>
      </c>
      <c r="V191" s="26">
        <v>569</v>
      </c>
      <c r="W191" s="26">
        <v>122</v>
      </c>
      <c r="X191" s="26">
        <v>6444861</v>
      </c>
      <c r="Y191" s="26">
        <v>9860</v>
      </c>
      <c r="Z191" s="26">
        <v>989</v>
      </c>
      <c r="AA191" s="40" t="s">
        <v>122</v>
      </c>
      <c r="AB191" s="40" t="s">
        <v>122</v>
      </c>
      <c r="AC191" s="104">
        <f t="shared" si="3"/>
        <v>73.45</v>
      </c>
    </row>
    <row r="192" spans="1:29" x14ac:dyDescent="0.25">
      <c r="A192" s="26" t="s">
        <v>765</v>
      </c>
      <c r="B192" s="26">
        <v>826</v>
      </c>
      <c r="C192" s="26">
        <v>387</v>
      </c>
      <c r="D192" s="26">
        <v>89.9</v>
      </c>
      <c r="E192" s="26">
        <v>610</v>
      </c>
      <c r="F192" s="26">
        <v>50</v>
      </c>
      <c r="G192" s="26">
        <v>41.3</v>
      </c>
      <c r="H192" s="26">
        <v>2.15</v>
      </c>
      <c r="I192" s="26">
        <v>12.2</v>
      </c>
      <c r="J192" s="26">
        <v>1019</v>
      </c>
      <c r="K192" s="26">
        <v>802.1</v>
      </c>
      <c r="L192" s="26">
        <v>1061390</v>
      </c>
      <c r="M192" s="26">
        <v>25728</v>
      </c>
      <c r="N192" s="26">
        <v>32.26</v>
      </c>
      <c r="O192" s="26">
        <v>15404</v>
      </c>
      <c r="P192" s="26">
        <v>30808</v>
      </c>
      <c r="Q192" s="26">
        <v>87825</v>
      </c>
      <c r="R192" s="26">
        <v>4539</v>
      </c>
      <c r="S192" s="26">
        <v>9.3000000000000007</v>
      </c>
      <c r="T192" s="26">
        <v>3581</v>
      </c>
      <c r="U192" s="26">
        <v>6809</v>
      </c>
      <c r="V192" s="26">
        <v>7161</v>
      </c>
      <c r="W192" s="26">
        <v>20770</v>
      </c>
      <c r="X192" s="26">
        <v>118155781</v>
      </c>
      <c r="Y192" s="26">
        <v>49366</v>
      </c>
      <c r="Z192" s="26">
        <v>1.39</v>
      </c>
      <c r="AA192" s="40" t="s">
        <v>122</v>
      </c>
      <c r="AB192" s="40" t="s">
        <v>122</v>
      </c>
      <c r="AC192" s="104">
        <f t="shared" si="3"/>
        <v>73.61</v>
      </c>
    </row>
    <row r="193" spans="1:29" x14ac:dyDescent="0.25">
      <c r="A193" s="26" t="s">
        <v>766</v>
      </c>
      <c r="B193" s="26">
        <v>798</v>
      </c>
      <c r="C193" s="26">
        <v>379</v>
      </c>
      <c r="D193" s="26">
        <v>75.900000000000006</v>
      </c>
      <c r="E193" s="26">
        <v>610</v>
      </c>
      <c r="F193" s="26">
        <v>41.9</v>
      </c>
      <c r="G193" s="26">
        <v>38.1</v>
      </c>
      <c r="H193" s="26">
        <v>2.5</v>
      </c>
      <c r="I193" s="26">
        <v>14.5</v>
      </c>
      <c r="J193" s="26">
        <v>845.2</v>
      </c>
      <c r="K193" s="26">
        <v>666.7</v>
      </c>
      <c r="L193" s="26">
        <v>849112</v>
      </c>
      <c r="M193" s="26">
        <v>21303</v>
      </c>
      <c r="N193" s="26">
        <v>31.75</v>
      </c>
      <c r="O193" s="26">
        <v>12536</v>
      </c>
      <c r="P193" s="26">
        <v>25072</v>
      </c>
      <c r="Q193" s="26">
        <v>69511</v>
      </c>
      <c r="R193" s="26">
        <v>3671</v>
      </c>
      <c r="S193" s="26">
        <v>9.07</v>
      </c>
      <c r="T193" s="26">
        <v>2876</v>
      </c>
      <c r="U193" s="26">
        <v>5506</v>
      </c>
      <c r="V193" s="26">
        <v>5752</v>
      </c>
      <c r="W193" s="26">
        <v>12362</v>
      </c>
      <c r="X193" s="26">
        <v>90228051</v>
      </c>
      <c r="Y193" s="26">
        <v>41851</v>
      </c>
      <c r="Z193" s="26">
        <v>2.59</v>
      </c>
      <c r="AA193" s="40" t="s">
        <v>122</v>
      </c>
      <c r="AB193" s="40" t="s">
        <v>122</v>
      </c>
      <c r="AC193" s="104">
        <f t="shared" si="3"/>
        <v>72.210000000000008</v>
      </c>
    </row>
    <row r="194" spans="1:29" x14ac:dyDescent="0.25">
      <c r="A194" s="26" t="s">
        <v>767</v>
      </c>
      <c r="B194" s="26">
        <v>772</v>
      </c>
      <c r="C194" s="26">
        <v>372</v>
      </c>
      <c r="D194" s="26">
        <v>63</v>
      </c>
      <c r="E194" s="26">
        <v>610</v>
      </c>
      <c r="F194" s="26">
        <v>35.1</v>
      </c>
      <c r="G194" s="26">
        <v>33.299999999999997</v>
      </c>
      <c r="H194" s="26">
        <v>2.96</v>
      </c>
      <c r="I194" s="26">
        <v>17.399999999999999</v>
      </c>
      <c r="J194" s="26">
        <v>696.8</v>
      </c>
      <c r="K194" s="26">
        <v>547.6</v>
      </c>
      <c r="L194" s="26">
        <v>670133</v>
      </c>
      <c r="M194" s="26">
        <v>17370</v>
      </c>
      <c r="N194" s="26">
        <v>30.99</v>
      </c>
      <c r="O194" s="26">
        <v>10160</v>
      </c>
      <c r="P194" s="26">
        <v>20320</v>
      </c>
      <c r="Q194" s="26">
        <v>54526</v>
      </c>
      <c r="R194" s="26">
        <v>2933</v>
      </c>
      <c r="S194" s="26">
        <v>8.84</v>
      </c>
      <c r="T194" s="26">
        <v>2286</v>
      </c>
      <c r="U194" s="26">
        <v>4400</v>
      </c>
      <c r="V194" s="26">
        <v>4572</v>
      </c>
      <c r="W194" s="26">
        <v>7034</v>
      </c>
      <c r="X194" s="26">
        <v>68208110</v>
      </c>
      <c r="Y194" s="26">
        <v>35163</v>
      </c>
      <c r="Z194" s="26">
        <v>5.1100000000000003</v>
      </c>
      <c r="AA194" s="40" t="s">
        <v>122</v>
      </c>
      <c r="AB194" s="40" t="s">
        <v>122</v>
      </c>
      <c r="AC194" s="104">
        <f t="shared" si="3"/>
        <v>70.900000000000006</v>
      </c>
    </row>
    <row r="195" spans="1:29" x14ac:dyDescent="0.25">
      <c r="A195" s="26" t="s">
        <v>768</v>
      </c>
      <c r="B195" s="26">
        <v>752</v>
      </c>
      <c r="C195" s="26">
        <v>367</v>
      </c>
      <c r="D195" s="26">
        <v>53.1</v>
      </c>
      <c r="E195" s="26">
        <v>610</v>
      </c>
      <c r="F195" s="26">
        <v>29.5</v>
      </c>
      <c r="G195" s="26">
        <v>31.8</v>
      </c>
      <c r="H195" s="26">
        <v>3.46</v>
      </c>
      <c r="I195" s="26">
        <v>20.7</v>
      </c>
      <c r="J195" s="26">
        <v>581.9</v>
      </c>
      <c r="K195" s="26">
        <v>456.9</v>
      </c>
      <c r="L195" s="26">
        <v>545263</v>
      </c>
      <c r="M195" s="26">
        <v>14486</v>
      </c>
      <c r="N195" s="26">
        <v>30.48</v>
      </c>
      <c r="O195" s="26">
        <v>8357</v>
      </c>
      <c r="P195" s="26">
        <v>16715</v>
      </c>
      <c r="Q195" s="26">
        <v>43704</v>
      </c>
      <c r="R195" s="26">
        <v>2393</v>
      </c>
      <c r="S195" s="26">
        <v>8.69</v>
      </c>
      <c r="T195" s="26">
        <v>1860</v>
      </c>
      <c r="U195" s="26">
        <v>3589</v>
      </c>
      <c r="V195" s="26">
        <v>3720</v>
      </c>
      <c r="W195" s="26">
        <v>4204</v>
      </c>
      <c r="X195" s="26">
        <v>53438637</v>
      </c>
      <c r="Y195" s="26">
        <v>29785</v>
      </c>
      <c r="Z195" s="26">
        <v>9.74</v>
      </c>
      <c r="AA195" s="40" t="s">
        <v>122</v>
      </c>
      <c r="AB195" s="40" t="s">
        <v>122</v>
      </c>
      <c r="AC195" s="104">
        <f t="shared" si="3"/>
        <v>69.89</v>
      </c>
    </row>
    <row r="196" spans="1:29" x14ac:dyDescent="0.25">
      <c r="A196" s="26" t="s">
        <v>769</v>
      </c>
      <c r="B196" s="26">
        <v>736</v>
      </c>
      <c r="C196" s="26">
        <v>362</v>
      </c>
      <c r="D196" s="26">
        <v>45</v>
      </c>
      <c r="E196" s="26">
        <v>610</v>
      </c>
      <c r="F196" s="26">
        <v>24.9</v>
      </c>
      <c r="G196" s="26">
        <v>28.6</v>
      </c>
      <c r="H196" s="26">
        <v>4.03</v>
      </c>
      <c r="I196" s="26">
        <v>24.5</v>
      </c>
      <c r="J196" s="26">
        <v>488.4</v>
      </c>
      <c r="K196" s="26">
        <v>383.9</v>
      </c>
      <c r="L196" s="26">
        <v>449530</v>
      </c>
      <c r="M196" s="26">
        <v>12159</v>
      </c>
      <c r="N196" s="26">
        <v>30.23</v>
      </c>
      <c r="O196" s="26">
        <v>6965</v>
      </c>
      <c r="P196" s="26">
        <v>13929</v>
      </c>
      <c r="Q196" s="26">
        <v>35754</v>
      </c>
      <c r="R196" s="26">
        <v>1966</v>
      </c>
      <c r="S196" s="26">
        <v>8.56</v>
      </c>
      <c r="T196" s="26">
        <v>1532</v>
      </c>
      <c r="U196" s="26">
        <v>2950</v>
      </c>
      <c r="V196" s="26">
        <v>3064</v>
      </c>
      <c r="W196" s="26">
        <v>2539</v>
      </c>
      <c r="X196" s="26">
        <v>42697203</v>
      </c>
      <c r="Y196" s="26">
        <v>25304</v>
      </c>
      <c r="Z196" s="26">
        <v>18.399999999999999</v>
      </c>
      <c r="AA196" s="40" t="s">
        <v>122</v>
      </c>
      <c r="AB196" s="40" t="s">
        <v>122</v>
      </c>
      <c r="AC196" s="104">
        <f t="shared" si="3"/>
        <v>69.099999999999994</v>
      </c>
    </row>
    <row r="197" spans="1:29" x14ac:dyDescent="0.25">
      <c r="A197" s="26" t="s">
        <v>770</v>
      </c>
      <c r="B197" s="26">
        <v>728</v>
      </c>
      <c r="C197" s="26">
        <v>360</v>
      </c>
      <c r="D197" s="26">
        <v>40.9</v>
      </c>
      <c r="E197" s="26">
        <v>610</v>
      </c>
      <c r="F197" s="26">
        <v>23.1</v>
      </c>
      <c r="G197" s="26">
        <v>28.6</v>
      </c>
      <c r="H197" s="26">
        <v>4.41</v>
      </c>
      <c r="I197" s="26">
        <v>26.4</v>
      </c>
      <c r="J197" s="26">
        <v>445.8</v>
      </c>
      <c r="K197" s="26">
        <v>349.7</v>
      </c>
      <c r="L197" s="26">
        <v>402080</v>
      </c>
      <c r="M197" s="26">
        <v>11045</v>
      </c>
      <c r="N197" s="26">
        <v>29.97</v>
      </c>
      <c r="O197" s="26">
        <v>6301</v>
      </c>
      <c r="P197" s="26">
        <v>12602</v>
      </c>
      <c r="Q197" s="26">
        <v>31967</v>
      </c>
      <c r="R197" s="26">
        <v>1770</v>
      </c>
      <c r="S197" s="26">
        <v>8.4600000000000009</v>
      </c>
      <c r="T197" s="26">
        <v>1377</v>
      </c>
      <c r="U197" s="26">
        <v>2655</v>
      </c>
      <c r="V197" s="26">
        <v>2753</v>
      </c>
      <c r="W197" s="26">
        <v>1927</v>
      </c>
      <c r="X197" s="26">
        <v>37595021</v>
      </c>
      <c r="Y197" s="26">
        <v>23166</v>
      </c>
      <c r="Z197" s="26">
        <v>25.9</v>
      </c>
      <c r="AA197" s="40" t="s">
        <v>122</v>
      </c>
      <c r="AB197" s="40" t="s">
        <v>122</v>
      </c>
      <c r="AC197" s="104">
        <f t="shared" ref="AC197:AC260" si="4">(B197-D197)/10</f>
        <v>68.710000000000008</v>
      </c>
    </row>
    <row r="198" spans="1:29" x14ac:dyDescent="0.25">
      <c r="A198" s="26" t="s">
        <v>771</v>
      </c>
      <c r="B198" s="26">
        <v>722</v>
      </c>
      <c r="C198" s="26">
        <v>359</v>
      </c>
      <c r="D198" s="26">
        <v>38.1</v>
      </c>
      <c r="E198" s="26">
        <v>610</v>
      </c>
      <c r="F198" s="26">
        <v>21.1</v>
      </c>
      <c r="G198" s="26">
        <v>27</v>
      </c>
      <c r="H198" s="26">
        <v>4.71</v>
      </c>
      <c r="I198" s="26">
        <v>28.9</v>
      </c>
      <c r="J198" s="26">
        <v>411.6</v>
      </c>
      <c r="K198" s="26">
        <v>322.89999999999998</v>
      </c>
      <c r="L198" s="26">
        <v>369197</v>
      </c>
      <c r="M198" s="26">
        <v>10226</v>
      </c>
      <c r="N198" s="26">
        <v>29.97</v>
      </c>
      <c r="O198" s="26">
        <v>5801</v>
      </c>
      <c r="P198" s="26">
        <v>11602</v>
      </c>
      <c r="Q198" s="26">
        <v>29303</v>
      </c>
      <c r="R198" s="26">
        <v>1635</v>
      </c>
      <c r="S198" s="26">
        <v>8.43</v>
      </c>
      <c r="T198" s="26">
        <v>1262</v>
      </c>
      <c r="U198" s="26">
        <v>2453</v>
      </c>
      <c r="V198" s="26">
        <v>2524</v>
      </c>
      <c r="W198" s="26">
        <v>1540</v>
      </c>
      <c r="X198" s="26">
        <v>34372591</v>
      </c>
      <c r="Y198" s="26">
        <v>21512</v>
      </c>
      <c r="Z198" s="26">
        <v>34.5</v>
      </c>
      <c r="AA198" s="40" t="s">
        <v>122</v>
      </c>
      <c r="AB198" s="40" t="s">
        <v>122</v>
      </c>
      <c r="AC198" s="104">
        <f t="shared" si="4"/>
        <v>68.39</v>
      </c>
    </row>
    <row r="199" spans="1:29" x14ac:dyDescent="0.25">
      <c r="A199" s="26" t="s">
        <v>772</v>
      </c>
      <c r="B199" s="26">
        <v>714</v>
      </c>
      <c r="C199" s="26">
        <v>356</v>
      </c>
      <c r="D199" s="26">
        <v>34</v>
      </c>
      <c r="E199" s="26">
        <v>610</v>
      </c>
      <c r="F199" s="26">
        <v>19.100000000000001</v>
      </c>
      <c r="G199" s="26">
        <v>25.4</v>
      </c>
      <c r="H199" s="26">
        <v>5.24</v>
      </c>
      <c r="I199" s="26">
        <v>32</v>
      </c>
      <c r="J199" s="26">
        <v>367.7</v>
      </c>
      <c r="K199" s="26">
        <v>288.7</v>
      </c>
      <c r="L199" s="26">
        <v>325493</v>
      </c>
      <c r="M199" s="26">
        <v>9111</v>
      </c>
      <c r="N199" s="26">
        <v>29.72</v>
      </c>
      <c r="O199" s="26">
        <v>5146</v>
      </c>
      <c r="P199" s="26">
        <v>10291</v>
      </c>
      <c r="Q199" s="26">
        <v>25723</v>
      </c>
      <c r="R199" s="26">
        <v>1444</v>
      </c>
      <c r="S199" s="26">
        <v>8.36</v>
      </c>
      <c r="T199" s="26">
        <v>1114</v>
      </c>
      <c r="U199" s="26">
        <v>2166</v>
      </c>
      <c r="V199" s="26">
        <v>2229</v>
      </c>
      <c r="W199" s="26">
        <v>1103</v>
      </c>
      <c r="X199" s="26">
        <v>29807481</v>
      </c>
      <c r="Y199" s="26">
        <v>19305</v>
      </c>
      <c r="Z199" s="26">
        <v>53</v>
      </c>
      <c r="AA199" s="40" t="s">
        <v>122</v>
      </c>
      <c r="AB199" s="40" t="s">
        <v>122</v>
      </c>
      <c r="AC199" s="104">
        <f t="shared" si="4"/>
        <v>68</v>
      </c>
    </row>
    <row r="200" spans="1:29" x14ac:dyDescent="0.25">
      <c r="A200" s="26" t="s">
        <v>773</v>
      </c>
      <c r="B200" s="26">
        <v>706</v>
      </c>
      <c r="C200" s="26">
        <v>358</v>
      </c>
      <c r="D200" s="26">
        <v>30.2</v>
      </c>
      <c r="E200" s="26">
        <v>610</v>
      </c>
      <c r="F200" s="26">
        <v>18.399999999999999</v>
      </c>
      <c r="G200" s="26">
        <v>27</v>
      </c>
      <c r="H200" s="26">
        <v>5.92</v>
      </c>
      <c r="I200" s="26">
        <v>33.1</v>
      </c>
      <c r="J200" s="26">
        <v>337.4</v>
      </c>
      <c r="K200" s="26">
        <v>264.89999999999998</v>
      </c>
      <c r="L200" s="26">
        <v>290946</v>
      </c>
      <c r="M200" s="26">
        <v>8226</v>
      </c>
      <c r="N200" s="26">
        <v>29.46</v>
      </c>
      <c r="O200" s="26">
        <v>4646</v>
      </c>
      <c r="P200" s="26">
        <v>9291</v>
      </c>
      <c r="Q200" s="26">
        <v>23101</v>
      </c>
      <c r="R200" s="26">
        <v>1291</v>
      </c>
      <c r="S200" s="26">
        <v>8.2799999999999994</v>
      </c>
      <c r="T200" s="26">
        <v>1000</v>
      </c>
      <c r="U200" s="26">
        <v>1937</v>
      </c>
      <c r="V200" s="26">
        <v>1999</v>
      </c>
      <c r="W200" s="26">
        <v>812</v>
      </c>
      <c r="X200" s="26">
        <v>26397076</v>
      </c>
      <c r="Y200" s="26">
        <v>17582</v>
      </c>
      <c r="Z200" s="26">
        <v>78.7</v>
      </c>
      <c r="AA200" s="40" t="s">
        <v>122</v>
      </c>
      <c r="AB200" s="40" t="s">
        <v>122</v>
      </c>
      <c r="AC200" s="104">
        <f t="shared" si="4"/>
        <v>67.58</v>
      </c>
    </row>
    <row r="201" spans="1:29" x14ac:dyDescent="0.25">
      <c r="A201" s="26" t="s">
        <v>774</v>
      </c>
      <c r="B201" s="26">
        <v>701</v>
      </c>
      <c r="C201" s="26">
        <v>356</v>
      </c>
      <c r="D201" s="26">
        <v>27.4</v>
      </c>
      <c r="E201" s="26">
        <v>610</v>
      </c>
      <c r="F201" s="26">
        <v>16.8</v>
      </c>
      <c r="G201" s="26">
        <v>25.4</v>
      </c>
      <c r="H201" s="26">
        <v>6.49</v>
      </c>
      <c r="I201" s="26">
        <v>36.4</v>
      </c>
      <c r="J201" s="26">
        <v>305.8</v>
      </c>
      <c r="K201" s="26">
        <v>239.6</v>
      </c>
      <c r="L201" s="26">
        <v>261393</v>
      </c>
      <c r="M201" s="26">
        <v>7456</v>
      </c>
      <c r="N201" s="26">
        <v>29.21</v>
      </c>
      <c r="O201" s="26">
        <v>4195</v>
      </c>
      <c r="P201" s="26">
        <v>8390</v>
      </c>
      <c r="Q201" s="26">
        <v>20687</v>
      </c>
      <c r="R201" s="26">
        <v>1162</v>
      </c>
      <c r="S201" s="26">
        <v>8.23</v>
      </c>
      <c r="T201" s="26">
        <v>893</v>
      </c>
      <c r="U201" s="26">
        <v>1743</v>
      </c>
      <c r="V201" s="26">
        <v>1786</v>
      </c>
      <c r="W201" s="26">
        <v>612</v>
      </c>
      <c r="X201" s="26">
        <v>23443181</v>
      </c>
      <c r="Y201" s="26">
        <v>15996</v>
      </c>
      <c r="Z201" s="26">
        <v>113</v>
      </c>
      <c r="AA201" s="40" t="s">
        <v>122</v>
      </c>
      <c r="AB201" s="40" t="s">
        <v>122</v>
      </c>
      <c r="AC201" s="104">
        <f t="shared" si="4"/>
        <v>67.36</v>
      </c>
    </row>
    <row r="202" spans="1:29" x14ac:dyDescent="0.25">
      <c r="A202" s="26" t="s">
        <v>775</v>
      </c>
      <c r="B202" s="26">
        <v>695</v>
      </c>
      <c r="C202" s="26">
        <v>355</v>
      </c>
      <c r="D202" s="26">
        <v>24.8</v>
      </c>
      <c r="E202" s="26">
        <v>610</v>
      </c>
      <c r="F202" s="26">
        <v>15.4</v>
      </c>
      <c r="G202" s="26">
        <v>25.4</v>
      </c>
      <c r="H202" s="26">
        <v>7.16</v>
      </c>
      <c r="I202" s="26">
        <v>39.700000000000003</v>
      </c>
      <c r="J202" s="26">
        <v>276.8</v>
      </c>
      <c r="K202" s="26">
        <v>217.3</v>
      </c>
      <c r="L202" s="26">
        <v>234338</v>
      </c>
      <c r="M202" s="26">
        <v>6735</v>
      </c>
      <c r="N202" s="26">
        <v>28.96</v>
      </c>
      <c r="O202" s="26">
        <v>3777</v>
      </c>
      <c r="P202" s="26">
        <v>7554</v>
      </c>
      <c r="Q202" s="26">
        <v>18439</v>
      </c>
      <c r="R202" s="26">
        <v>1041</v>
      </c>
      <c r="S202" s="26">
        <v>8.15</v>
      </c>
      <c r="T202" s="26">
        <v>799</v>
      </c>
      <c r="U202" s="26">
        <v>1561</v>
      </c>
      <c r="V202" s="26">
        <v>1598</v>
      </c>
      <c r="W202" s="26">
        <v>454</v>
      </c>
      <c r="X202" s="26">
        <v>20730969</v>
      </c>
      <c r="Y202" s="26">
        <v>14548</v>
      </c>
      <c r="Z202" s="26">
        <v>166</v>
      </c>
      <c r="AA202" s="40" t="s">
        <v>122</v>
      </c>
      <c r="AB202" s="40" t="s">
        <v>122</v>
      </c>
      <c r="AC202" s="104">
        <f t="shared" si="4"/>
        <v>67.02000000000001</v>
      </c>
    </row>
    <row r="203" spans="1:29" x14ac:dyDescent="0.25">
      <c r="A203" s="26" t="s">
        <v>776</v>
      </c>
      <c r="B203" s="26">
        <v>702</v>
      </c>
      <c r="C203" s="26">
        <v>254</v>
      </c>
      <c r="D203" s="26">
        <v>27.9</v>
      </c>
      <c r="E203" s="26">
        <v>610</v>
      </c>
      <c r="F203" s="26">
        <v>15.5</v>
      </c>
      <c r="G203" s="26">
        <v>23.8</v>
      </c>
      <c r="H203" s="26">
        <v>4.55</v>
      </c>
      <c r="I203" s="26">
        <v>39.299999999999997</v>
      </c>
      <c r="J203" s="26">
        <v>243.9</v>
      </c>
      <c r="K203" s="26">
        <v>192</v>
      </c>
      <c r="L203" s="26">
        <v>198126</v>
      </c>
      <c r="M203" s="26">
        <v>5654</v>
      </c>
      <c r="N203" s="26">
        <v>28.45</v>
      </c>
      <c r="O203" s="26">
        <v>3236</v>
      </c>
      <c r="P203" s="26">
        <v>6473</v>
      </c>
      <c r="Q203" s="26">
        <v>7659</v>
      </c>
      <c r="R203" s="26">
        <v>603</v>
      </c>
      <c r="S203" s="26">
        <v>5.61</v>
      </c>
      <c r="T203" s="26">
        <v>472</v>
      </c>
      <c r="U203" s="26">
        <v>905</v>
      </c>
      <c r="V203" s="26">
        <v>944</v>
      </c>
      <c r="W203" s="26">
        <v>466</v>
      </c>
      <c r="X203" s="26">
        <v>8727416</v>
      </c>
      <c r="Y203" s="26">
        <v>16478</v>
      </c>
      <c r="Z203" s="26">
        <v>112</v>
      </c>
      <c r="AA203" s="40" t="s">
        <v>122</v>
      </c>
      <c r="AB203" s="40" t="s">
        <v>122</v>
      </c>
      <c r="AC203" s="104">
        <f t="shared" si="4"/>
        <v>67.41</v>
      </c>
    </row>
    <row r="204" spans="1:29" x14ac:dyDescent="0.25">
      <c r="A204" s="26" t="s">
        <v>777</v>
      </c>
      <c r="B204" s="26">
        <v>693</v>
      </c>
      <c r="C204" s="26">
        <v>256</v>
      </c>
      <c r="D204" s="26">
        <v>23.6</v>
      </c>
      <c r="E204" s="26">
        <v>610</v>
      </c>
      <c r="F204" s="26">
        <v>14.5</v>
      </c>
      <c r="G204" s="26">
        <v>23.8</v>
      </c>
      <c r="H204" s="26">
        <v>5.41</v>
      </c>
      <c r="I204" s="26">
        <v>42.1</v>
      </c>
      <c r="J204" s="26">
        <v>216.1</v>
      </c>
      <c r="K204" s="26">
        <v>169.7</v>
      </c>
      <c r="L204" s="26">
        <v>170239</v>
      </c>
      <c r="M204" s="26">
        <v>4900</v>
      </c>
      <c r="N204" s="26">
        <v>27.94</v>
      </c>
      <c r="O204" s="26">
        <v>2810</v>
      </c>
      <c r="P204" s="26">
        <v>5621</v>
      </c>
      <c r="Q204" s="26">
        <v>6618</v>
      </c>
      <c r="R204" s="26">
        <v>516</v>
      </c>
      <c r="S204" s="26">
        <v>5.54</v>
      </c>
      <c r="T204" s="26">
        <v>404</v>
      </c>
      <c r="U204" s="26">
        <v>774</v>
      </c>
      <c r="V204" s="26">
        <v>808</v>
      </c>
      <c r="W204" s="26">
        <v>305</v>
      </c>
      <c r="X204" s="26">
        <v>7411590</v>
      </c>
      <c r="Y204" s="26">
        <v>14479</v>
      </c>
      <c r="Z204" s="26">
        <v>194</v>
      </c>
      <c r="AA204" s="40" t="s">
        <v>122</v>
      </c>
      <c r="AB204" s="40" t="s">
        <v>122</v>
      </c>
      <c r="AC204" s="104">
        <f t="shared" si="4"/>
        <v>66.94</v>
      </c>
    </row>
    <row r="205" spans="1:29" x14ac:dyDescent="0.25">
      <c r="A205" s="26" t="s">
        <v>778</v>
      </c>
      <c r="B205" s="26">
        <v>688</v>
      </c>
      <c r="C205" s="26">
        <v>254</v>
      </c>
      <c r="D205" s="26">
        <v>21.1</v>
      </c>
      <c r="E205" s="26">
        <v>610</v>
      </c>
      <c r="F205" s="26">
        <v>13.1</v>
      </c>
      <c r="G205" s="26">
        <v>23.8</v>
      </c>
      <c r="H205" s="26">
        <v>6.03</v>
      </c>
      <c r="I205" s="26">
        <v>46.6</v>
      </c>
      <c r="J205" s="26">
        <v>193.5</v>
      </c>
      <c r="K205" s="26">
        <v>151.80000000000001</v>
      </c>
      <c r="L205" s="26">
        <v>150676</v>
      </c>
      <c r="M205" s="26">
        <v>4375</v>
      </c>
      <c r="N205" s="26">
        <v>27.94</v>
      </c>
      <c r="O205" s="26">
        <v>2499</v>
      </c>
      <c r="P205" s="26">
        <v>4998</v>
      </c>
      <c r="Q205" s="26">
        <v>5786</v>
      </c>
      <c r="R205" s="26">
        <v>456</v>
      </c>
      <c r="S205" s="26">
        <v>5.46</v>
      </c>
      <c r="T205" s="26">
        <v>356</v>
      </c>
      <c r="U205" s="26">
        <v>683</v>
      </c>
      <c r="V205" s="26">
        <v>711</v>
      </c>
      <c r="W205" s="26">
        <v>220</v>
      </c>
      <c r="X205" s="26">
        <v>6444861</v>
      </c>
      <c r="Y205" s="26">
        <v>13031</v>
      </c>
      <c r="Z205" s="26">
        <v>295</v>
      </c>
      <c r="AA205" s="40" t="s">
        <v>122</v>
      </c>
      <c r="AB205" s="40" t="s">
        <v>122</v>
      </c>
      <c r="AC205" s="104">
        <f t="shared" si="4"/>
        <v>66.69</v>
      </c>
    </row>
    <row r="206" spans="1:29" x14ac:dyDescent="0.25">
      <c r="A206" s="26" t="s">
        <v>779</v>
      </c>
      <c r="B206" s="26">
        <v>684</v>
      </c>
      <c r="C206" s="26">
        <v>254</v>
      </c>
      <c r="D206" s="26">
        <v>18.899999999999999</v>
      </c>
      <c r="E206" s="26">
        <v>610</v>
      </c>
      <c r="F206" s="26">
        <v>12.4</v>
      </c>
      <c r="G206" s="26">
        <v>23.8</v>
      </c>
      <c r="H206" s="26">
        <v>6.7</v>
      </c>
      <c r="I206" s="26">
        <v>49</v>
      </c>
      <c r="J206" s="26">
        <v>178.7</v>
      </c>
      <c r="K206" s="26">
        <v>139.9</v>
      </c>
      <c r="L206" s="26">
        <v>136108</v>
      </c>
      <c r="M206" s="26">
        <v>3982</v>
      </c>
      <c r="N206" s="26">
        <v>27.69</v>
      </c>
      <c r="O206" s="26">
        <v>2278</v>
      </c>
      <c r="P206" s="26">
        <v>4556</v>
      </c>
      <c r="Q206" s="26">
        <v>5161</v>
      </c>
      <c r="R206" s="26">
        <v>406</v>
      </c>
      <c r="S206" s="26">
        <v>5.38</v>
      </c>
      <c r="T206" s="26">
        <v>318</v>
      </c>
      <c r="U206" s="26">
        <v>610</v>
      </c>
      <c r="V206" s="26">
        <v>636</v>
      </c>
      <c r="W206" s="26">
        <v>168</v>
      </c>
      <c r="X206" s="26">
        <v>5719814</v>
      </c>
      <c r="Y206" s="26">
        <v>11997</v>
      </c>
      <c r="Z206" s="26">
        <v>419</v>
      </c>
      <c r="AA206" s="40" t="s">
        <v>122</v>
      </c>
      <c r="AB206" s="40" t="s">
        <v>122</v>
      </c>
      <c r="AC206" s="104">
        <f t="shared" si="4"/>
        <v>66.510000000000005</v>
      </c>
    </row>
    <row r="207" spans="1:29" x14ac:dyDescent="0.25">
      <c r="A207" s="26" t="s">
        <v>780</v>
      </c>
      <c r="B207" s="26">
        <v>678</v>
      </c>
      <c r="C207" s="26">
        <v>253</v>
      </c>
      <c r="D207" s="26">
        <v>16.3</v>
      </c>
      <c r="E207" s="26">
        <v>610</v>
      </c>
      <c r="F207" s="26">
        <v>11.7</v>
      </c>
      <c r="G207" s="26">
        <v>23.8</v>
      </c>
      <c r="H207" s="26">
        <v>7.78</v>
      </c>
      <c r="I207" s="26">
        <v>52.2</v>
      </c>
      <c r="J207" s="26">
        <v>160</v>
      </c>
      <c r="K207" s="26">
        <v>125</v>
      </c>
      <c r="L207" s="26">
        <v>118626</v>
      </c>
      <c r="M207" s="26">
        <v>3490</v>
      </c>
      <c r="N207" s="26">
        <v>27.18</v>
      </c>
      <c r="O207" s="26">
        <v>1999</v>
      </c>
      <c r="P207" s="26">
        <v>3998</v>
      </c>
      <c r="Q207" s="26">
        <v>4412</v>
      </c>
      <c r="R207" s="26">
        <v>347</v>
      </c>
      <c r="S207" s="26">
        <v>5.26</v>
      </c>
      <c r="T207" s="26">
        <v>272</v>
      </c>
      <c r="U207" s="26">
        <v>521</v>
      </c>
      <c r="V207" s="26">
        <v>544</v>
      </c>
      <c r="W207" s="26">
        <v>117</v>
      </c>
      <c r="X207" s="26">
        <v>4806792</v>
      </c>
      <c r="Y207" s="26">
        <v>10825</v>
      </c>
      <c r="Z207" s="26">
        <v>654</v>
      </c>
      <c r="AA207" s="40" t="s">
        <v>122</v>
      </c>
      <c r="AB207" s="40" t="s">
        <v>122</v>
      </c>
      <c r="AC207" s="104">
        <f t="shared" si="4"/>
        <v>66.17</v>
      </c>
    </row>
    <row r="208" spans="1:29" x14ac:dyDescent="0.25">
      <c r="A208" s="26" t="s">
        <v>781</v>
      </c>
      <c r="B208" s="26">
        <v>753</v>
      </c>
      <c r="C208" s="26">
        <v>359</v>
      </c>
      <c r="D208" s="26">
        <v>89.9</v>
      </c>
      <c r="E208" s="26">
        <v>533</v>
      </c>
      <c r="F208" s="26">
        <v>50</v>
      </c>
      <c r="G208" s="26">
        <v>39.700000000000003</v>
      </c>
      <c r="H208" s="26">
        <v>1.99</v>
      </c>
      <c r="I208" s="26">
        <v>10.7</v>
      </c>
      <c r="J208" s="26">
        <v>929</v>
      </c>
      <c r="K208" s="26">
        <v>732.2</v>
      </c>
      <c r="L208" s="26">
        <v>795002</v>
      </c>
      <c r="M208" s="26">
        <v>21139</v>
      </c>
      <c r="N208" s="26">
        <v>29.21</v>
      </c>
      <c r="O208" s="26">
        <v>12700</v>
      </c>
      <c r="P208" s="26">
        <v>25400</v>
      </c>
      <c r="Q208" s="26">
        <v>69511</v>
      </c>
      <c r="R208" s="26">
        <v>3884</v>
      </c>
      <c r="S208" s="26">
        <v>8.66</v>
      </c>
      <c r="T208" s="26">
        <v>3073</v>
      </c>
      <c r="U208" s="26">
        <v>5826</v>
      </c>
      <c r="V208" s="26">
        <v>6145</v>
      </c>
      <c r="W208" s="26">
        <v>18980</v>
      </c>
      <c r="X208" s="26">
        <v>75995650</v>
      </c>
      <c r="Y208" s="26">
        <v>54813</v>
      </c>
      <c r="Z208" s="26">
        <v>0.9</v>
      </c>
      <c r="AA208" s="40" t="s">
        <v>122</v>
      </c>
      <c r="AB208" s="40" t="s">
        <v>122</v>
      </c>
      <c r="AC208" s="104">
        <f t="shared" si="4"/>
        <v>66.31</v>
      </c>
    </row>
    <row r="209" spans="1:29" x14ac:dyDescent="0.25">
      <c r="A209" s="26" t="s">
        <v>782</v>
      </c>
      <c r="B209" s="26">
        <v>725</v>
      </c>
      <c r="C209" s="26">
        <v>351</v>
      </c>
      <c r="D209" s="26">
        <v>75.900000000000006</v>
      </c>
      <c r="E209" s="26">
        <v>533</v>
      </c>
      <c r="F209" s="26">
        <v>41.9</v>
      </c>
      <c r="G209" s="26">
        <v>34.9</v>
      </c>
      <c r="H209" s="26">
        <v>2.31</v>
      </c>
      <c r="I209" s="26">
        <v>12.7</v>
      </c>
      <c r="J209" s="26">
        <v>767.7</v>
      </c>
      <c r="K209" s="26">
        <v>607.20000000000005</v>
      </c>
      <c r="L209" s="26">
        <v>628509</v>
      </c>
      <c r="M209" s="26">
        <v>17370</v>
      </c>
      <c r="N209" s="26">
        <v>28.7</v>
      </c>
      <c r="O209" s="26">
        <v>10242</v>
      </c>
      <c r="P209" s="26">
        <v>20484</v>
      </c>
      <c r="Q209" s="26">
        <v>54943</v>
      </c>
      <c r="R209" s="26">
        <v>3130</v>
      </c>
      <c r="S209" s="26">
        <v>8.4600000000000009</v>
      </c>
      <c r="T209" s="26">
        <v>2458</v>
      </c>
      <c r="U209" s="26">
        <v>4695</v>
      </c>
      <c r="V209" s="26">
        <v>4916</v>
      </c>
      <c r="W209" s="26">
        <v>11280</v>
      </c>
      <c r="X209" s="26">
        <v>57466675</v>
      </c>
      <c r="Y209" s="26">
        <v>46746</v>
      </c>
      <c r="Z209" s="26">
        <v>1.66</v>
      </c>
      <c r="AA209" s="40" t="s">
        <v>122</v>
      </c>
      <c r="AB209" s="40" t="s">
        <v>122</v>
      </c>
      <c r="AC209" s="104">
        <f t="shared" si="4"/>
        <v>64.91</v>
      </c>
    </row>
    <row r="210" spans="1:29" x14ac:dyDescent="0.25">
      <c r="A210" s="26" t="s">
        <v>783</v>
      </c>
      <c r="B210" s="26">
        <v>699</v>
      </c>
      <c r="C210" s="26">
        <v>343</v>
      </c>
      <c r="D210" s="26">
        <v>63</v>
      </c>
      <c r="E210" s="26">
        <v>533</v>
      </c>
      <c r="F210" s="26">
        <v>35.1</v>
      </c>
      <c r="G210" s="26">
        <v>31.8</v>
      </c>
      <c r="H210" s="26">
        <v>2.73</v>
      </c>
      <c r="I210" s="26">
        <v>15.2</v>
      </c>
      <c r="J210" s="26">
        <v>634.79999999999995</v>
      </c>
      <c r="K210" s="26">
        <v>498.5</v>
      </c>
      <c r="L210" s="26">
        <v>495315</v>
      </c>
      <c r="M210" s="26">
        <v>14158</v>
      </c>
      <c r="N210" s="26">
        <v>27.94</v>
      </c>
      <c r="O210" s="26">
        <v>8357</v>
      </c>
      <c r="P210" s="26">
        <v>16715</v>
      </c>
      <c r="Q210" s="26">
        <v>42872</v>
      </c>
      <c r="R210" s="26">
        <v>2491</v>
      </c>
      <c r="S210" s="26">
        <v>8.1999999999999993</v>
      </c>
      <c r="T210" s="26">
        <v>1950</v>
      </c>
      <c r="U210" s="26">
        <v>3736</v>
      </c>
      <c r="V210" s="26">
        <v>3900</v>
      </c>
      <c r="W210" s="26">
        <v>6410</v>
      </c>
      <c r="X210" s="26">
        <v>42965739</v>
      </c>
      <c r="Y210" s="26">
        <v>39300</v>
      </c>
      <c r="Z210" s="26">
        <v>3.28</v>
      </c>
      <c r="AA210" s="40" t="s">
        <v>122</v>
      </c>
      <c r="AB210" s="40" t="s">
        <v>122</v>
      </c>
      <c r="AC210" s="104">
        <f t="shared" si="4"/>
        <v>63.6</v>
      </c>
    </row>
    <row r="211" spans="1:29" x14ac:dyDescent="0.25">
      <c r="A211" s="26" t="s">
        <v>784</v>
      </c>
      <c r="B211" s="26">
        <v>679</v>
      </c>
      <c r="C211" s="26">
        <v>338</v>
      </c>
      <c r="D211" s="26">
        <v>53.1</v>
      </c>
      <c r="E211" s="26">
        <v>533</v>
      </c>
      <c r="F211" s="26">
        <v>29.5</v>
      </c>
      <c r="G211" s="26">
        <v>28.6</v>
      </c>
      <c r="H211" s="26">
        <v>3.18</v>
      </c>
      <c r="I211" s="26">
        <v>18.100000000000001</v>
      </c>
      <c r="J211" s="26">
        <v>529</v>
      </c>
      <c r="K211" s="26">
        <v>415.2</v>
      </c>
      <c r="L211" s="26">
        <v>399582</v>
      </c>
      <c r="M211" s="26">
        <v>11766</v>
      </c>
      <c r="N211" s="26">
        <v>27.43</v>
      </c>
      <c r="O211" s="26">
        <v>6842</v>
      </c>
      <c r="P211" s="26">
        <v>13683</v>
      </c>
      <c r="Q211" s="26">
        <v>34256</v>
      </c>
      <c r="R211" s="26">
        <v>2032</v>
      </c>
      <c r="S211" s="26">
        <v>8.0500000000000007</v>
      </c>
      <c r="T211" s="26">
        <v>1581</v>
      </c>
      <c r="U211" s="26">
        <v>3048</v>
      </c>
      <c r="V211" s="26">
        <v>3163</v>
      </c>
      <c r="W211" s="26">
        <v>3817</v>
      </c>
      <c r="X211" s="26">
        <v>33566983</v>
      </c>
      <c r="Y211" s="26">
        <v>33371</v>
      </c>
      <c r="Z211" s="26">
        <v>6.25</v>
      </c>
      <c r="AA211" s="40" t="s">
        <v>122</v>
      </c>
      <c r="AB211" s="40" t="s">
        <v>122</v>
      </c>
      <c r="AC211" s="104">
        <f t="shared" si="4"/>
        <v>62.589999999999996</v>
      </c>
    </row>
    <row r="212" spans="1:29" x14ac:dyDescent="0.25">
      <c r="A212" s="26" t="s">
        <v>785</v>
      </c>
      <c r="B212" s="26">
        <v>669</v>
      </c>
      <c r="C212" s="26">
        <v>335</v>
      </c>
      <c r="D212" s="26">
        <v>48</v>
      </c>
      <c r="E212" s="26">
        <v>533</v>
      </c>
      <c r="F212" s="26">
        <v>26.4</v>
      </c>
      <c r="G212" s="26">
        <v>28.6</v>
      </c>
      <c r="H212" s="26">
        <v>3.49</v>
      </c>
      <c r="I212" s="26">
        <v>20.2</v>
      </c>
      <c r="J212" s="26">
        <v>474.2</v>
      </c>
      <c r="K212" s="26">
        <v>372</v>
      </c>
      <c r="L212" s="26">
        <v>353380</v>
      </c>
      <c r="M212" s="26">
        <v>10553</v>
      </c>
      <c r="N212" s="26">
        <v>27.18</v>
      </c>
      <c r="O212" s="26">
        <v>6096</v>
      </c>
      <c r="P212" s="26">
        <v>12192</v>
      </c>
      <c r="Q212" s="26">
        <v>30135</v>
      </c>
      <c r="R212" s="26">
        <v>1803</v>
      </c>
      <c r="S212" s="26">
        <v>7.98</v>
      </c>
      <c r="T212" s="26">
        <v>1401</v>
      </c>
      <c r="U212" s="26">
        <v>2704</v>
      </c>
      <c r="V212" s="26">
        <v>2802</v>
      </c>
      <c r="W212" s="26">
        <v>2801</v>
      </c>
      <c r="X212" s="26">
        <v>29001874</v>
      </c>
      <c r="Y212" s="26">
        <v>30130</v>
      </c>
      <c r="Z212" s="26">
        <v>9.17</v>
      </c>
      <c r="AA212" s="40" t="s">
        <v>122</v>
      </c>
      <c r="AB212" s="40" t="s">
        <v>122</v>
      </c>
      <c r="AC212" s="104">
        <f t="shared" si="4"/>
        <v>62.1</v>
      </c>
    </row>
    <row r="213" spans="1:29" x14ac:dyDescent="0.25">
      <c r="A213" s="26" t="s">
        <v>786</v>
      </c>
      <c r="B213" s="26">
        <v>661</v>
      </c>
      <c r="C213" s="26">
        <v>333</v>
      </c>
      <c r="D213" s="26">
        <v>43.9</v>
      </c>
      <c r="E213" s="26">
        <v>533</v>
      </c>
      <c r="F213" s="26">
        <v>24.4</v>
      </c>
      <c r="G213" s="26">
        <v>25.4</v>
      </c>
      <c r="H213" s="26">
        <v>3.79</v>
      </c>
      <c r="I213" s="26">
        <v>21.9</v>
      </c>
      <c r="J213" s="26">
        <v>433.5</v>
      </c>
      <c r="K213" s="26">
        <v>340.8</v>
      </c>
      <c r="L213" s="26">
        <v>318417</v>
      </c>
      <c r="M213" s="26">
        <v>9636</v>
      </c>
      <c r="N213" s="26">
        <v>27.18</v>
      </c>
      <c r="O213" s="26">
        <v>5539</v>
      </c>
      <c r="P213" s="26">
        <v>11078</v>
      </c>
      <c r="Q213" s="26">
        <v>27097</v>
      </c>
      <c r="R213" s="26">
        <v>1629</v>
      </c>
      <c r="S213" s="26">
        <v>7.9</v>
      </c>
      <c r="T213" s="26">
        <v>1262</v>
      </c>
      <c r="U213" s="26">
        <v>2443</v>
      </c>
      <c r="V213" s="26">
        <v>2524</v>
      </c>
      <c r="W213" s="26">
        <v>2156</v>
      </c>
      <c r="X213" s="26">
        <v>25725736</v>
      </c>
      <c r="Y213" s="26">
        <v>27717</v>
      </c>
      <c r="Z213" s="26">
        <v>12.7</v>
      </c>
      <c r="AA213" s="40" t="s">
        <v>122</v>
      </c>
      <c r="AB213" s="40" t="s">
        <v>122</v>
      </c>
      <c r="AC213" s="104">
        <f t="shared" si="4"/>
        <v>61.71</v>
      </c>
    </row>
    <row r="214" spans="1:29" x14ac:dyDescent="0.25">
      <c r="A214" s="26" t="s">
        <v>787</v>
      </c>
      <c r="B214" s="26">
        <v>653</v>
      </c>
      <c r="C214" s="26">
        <v>330</v>
      </c>
      <c r="D214" s="26">
        <v>39.9</v>
      </c>
      <c r="E214" s="26">
        <v>533</v>
      </c>
      <c r="F214" s="26">
        <v>22.1</v>
      </c>
      <c r="G214" s="26">
        <v>25.4</v>
      </c>
      <c r="H214" s="26">
        <v>4.1399999999999997</v>
      </c>
      <c r="I214" s="26">
        <v>24.1</v>
      </c>
      <c r="J214" s="26">
        <v>391.6</v>
      </c>
      <c r="K214" s="26">
        <v>308</v>
      </c>
      <c r="L214" s="26">
        <v>283870</v>
      </c>
      <c r="M214" s="26">
        <v>8702</v>
      </c>
      <c r="N214" s="26">
        <v>26.92</v>
      </c>
      <c r="O214" s="26">
        <v>4965</v>
      </c>
      <c r="P214" s="26">
        <v>9931</v>
      </c>
      <c r="Q214" s="26">
        <v>24058</v>
      </c>
      <c r="R214" s="26">
        <v>1455</v>
      </c>
      <c r="S214" s="26">
        <v>7.82</v>
      </c>
      <c r="T214" s="26">
        <v>1123</v>
      </c>
      <c r="U214" s="26">
        <v>2183</v>
      </c>
      <c r="V214" s="26">
        <v>2245</v>
      </c>
      <c r="W214" s="26">
        <v>1607</v>
      </c>
      <c r="X214" s="26">
        <v>22530159</v>
      </c>
      <c r="Y214" s="26">
        <v>25166</v>
      </c>
      <c r="Z214" s="26">
        <v>18.399999999999999</v>
      </c>
      <c r="AA214" s="40" t="s">
        <v>122</v>
      </c>
      <c r="AB214" s="40" t="s">
        <v>122</v>
      </c>
      <c r="AC214" s="104">
        <f t="shared" si="4"/>
        <v>61.31</v>
      </c>
    </row>
    <row r="215" spans="1:29" x14ac:dyDescent="0.25">
      <c r="A215" s="26" t="s">
        <v>788</v>
      </c>
      <c r="B215" s="26">
        <v>647</v>
      </c>
      <c r="C215" s="26">
        <v>329</v>
      </c>
      <c r="D215" s="26">
        <v>37.1</v>
      </c>
      <c r="E215" s="26">
        <v>533</v>
      </c>
      <c r="F215" s="26">
        <v>20.6</v>
      </c>
      <c r="G215" s="26">
        <v>25.4</v>
      </c>
      <c r="H215" s="26">
        <v>4.43</v>
      </c>
      <c r="I215" s="26">
        <v>25.9</v>
      </c>
      <c r="J215" s="26">
        <v>363.2</v>
      </c>
      <c r="K215" s="26">
        <v>285.7</v>
      </c>
      <c r="L215" s="26">
        <v>260561</v>
      </c>
      <c r="M215" s="26">
        <v>8046</v>
      </c>
      <c r="N215" s="26">
        <v>26.67</v>
      </c>
      <c r="O215" s="26">
        <v>4580</v>
      </c>
      <c r="P215" s="26">
        <v>9160</v>
      </c>
      <c r="Q215" s="26">
        <v>22060</v>
      </c>
      <c r="R215" s="26">
        <v>1340</v>
      </c>
      <c r="S215" s="26">
        <v>7.8</v>
      </c>
      <c r="T215" s="26">
        <v>1032</v>
      </c>
      <c r="U215" s="26">
        <v>2011</v>
      </c>
      <c r="V215" s="26">
        <v>2065</v>
      </c>
      <c r="W215" s="26">
        <v>1290</v>
      </c>
      <c r="X215" s="26">
        <v>20462433</v>
      </c>
      <c r="Y215" s="26">
        <v>23511</v>
      </c>
      <c r="Z215" s="26">
        <v>24.2</v>
      </c>
      <c r="AA215" s="40" t="s">
        <v>122</v>
      </c>
      <c r="AB215" s="40" t="s">
        <v>122</v>
      </c>
      <c r="AC215" s="104">
        <f t="shared" si="4"/>
        <v>60.989999999999995</v>
      </c>
    </row>
    <row r="216" spans="1:29" x14ac:dyDescent="0.25">
      <c r="A216" s="26" t="s">
        <v>789</v>
      </c>
      <c r="B216" s="26">
        <v>641</v>
      </c>
      <c r="C216" s="26">
        <v>327</v>
      </c>
      <c r="D216" s="26">
        <v>34</v>
      </c>
      <c r="E216" s="26">
        <v>533</v>
      </c>
      <c r="F216" s="26">
        <v>19.100000000000001</v>
      </c>
      <c r="G216" s="26">
        <v>23.8</v>
      </c>
      <c r="H216" s="26">
        <v>4.8099999999999996</v>
      </c>
      <c r="I216" s="26">
        <v>28</v>
      </c>
      <c r="J216" s="26">
        <v>333.5</v>
      </c>
      <c r="K216" s="26">
        <v>261.89999999999998</v>
      </c>
      <c r="L216" s="26">
        <v>236419</v>
      </c>
      <c r="M216" s="26">
        <v>7374</v>
      </c>
      <c r="N216" s="26">
        <v>26.67</v>
      </c>
      <c r="O216" s="26">
        <v>4187</v>
      </c>
      <c r="P216" s="26">
        <v>8374</v>
      </c>
      <c r="Q216" s="26">
        <v>19937</v>
      </c>
      <c r="R216" s="26">
        <v>1218</v>
      </c>
      <c r="S216" s="26">
        <v>7.72</v>
      </c>
      <c r="T216" s="26">
        <v>942</v>
      </c>
      <c r="U216" s="26">
        <v>1826</v>
      </c>
      <c r="V216" s="26">
        <v>1885</v>
      </c>
      <c r="W216" s="26">
        <v>1003</v>
      </c>
      <c r="X216" s="26">
        <v>18367853</v>
      </c>
      <c r="Y216" s="26">
        <v>21650</v>
      </c>
      <c r="Z216" s="26">
        <v>33.4</v>
      </c>
      <c r="AA216" s="40" t="s">
        <v>122</v>
      </c>
      <c r="AB216" s="40" t="s">
        <v>122</v>
      </c>
      <c r="AC216" s="104">
        <f t="shared" si="4"/>
        <v>60.7</v>
      </c>
    </row>
    <row r="217" spans="1:29" x14ac:dyDescent="0.25">
      <c r="A217" s="26" t="s">
        <v>790</v>
      </c>
      <c r="B217" s="26">
        <v>635</v>
      </c>
      <c r="C217" s="26">
        <v>329</v>
      </c>
      <c r="D217" s="26">
        <v>31</v>
      </c>
      <c r="E217" s="26">
        <v>533</v>
      </c>
      <c r="F217" s="26">
        <v>17.899999999999999</v>
      </c>
      <c r="G217" s="26">
        <v>27</v>
      </c>
      <c r="H217" s="26">
        <v>5.31</v>
      </c>
      <c r="I217" s="26">
        <v>29.8</v>
      </c>
      <c r="J217" s="26">
        <v>307.7</v>
      </c>
      <c r="K217" s="26">
        <v>241</v>
      </c>
      <c r="L217" s="26">
        <v>215192</v>
      </c>
      <c r="M217" s="26">
        <v>6784</v>
      </c>
      <c r="N217" s="26">
        <v>26.42</v>
      </c>
      <c r="O217" s="26">
        <v>3835</v>
      </c>
      <c r="P217" s="26">
        <v>7669</v>
      </c>
      <c r="Q217" s="26">
        <v>18439</v>
      </c>
      <c r="R217" s="26">
        <v>1121</v>
      </c>
      <c r="S217" s="26">
        <v>7.75</v>
      </c>
      <c r="T217" s="26">
        <v>860</v>
      </c>
      <c r="U217" s="26">
        <v>1681</v>
      </c>
      <c r="V217" s="26">
        <v>1721</v>
      </c>
      <c r="W217" s="26">
        <v>770</v>
      </c>
      <c r="X217" s="26">
        <v>16810345</v>
      </c>
      <c r="Y217" s="26">
        <v>19788</v>
      </c>
      <c r="Z217" s="26">
        <v>47.5</v>
      </c>
      <c r="AA217" s="40" t="s">
        <v>122</v>
      </c>
      <c r="AB217" s="40" t="s">
        <v>122</v>
      </c>
      <c r="AC217" s="104">
        <f t="shared" si="4"/>
        <v>60.4</v>
      </c>
    </row>
    <row r="218" spans="1:29" x14ac:dyDescent="0.25">
      <c r="A218" s="26" t="s">
        <v>791</v>
      </c>
      <c r="B218" s="26">
        <v>628</v>
      </c>
      <c r="C218" s="26">
        <v>328</v>
      </c>
      <c r="D218" s="26">
        <v>27.7</v>
      </c>
      <c r="E218" s="26">
        <v>533</v>
      </c>
      <c r="F218" s="26">
        <v>16.5</v>
      </c>
      <c r="G218" s="26">
        <v>27</v>
      </c>
      <c r="H218" s="26">
        <v>5.92</v>
      </c>
      <c r="I218" s="26">
        <v>32.299999999999997</v>
      </c>
      <c r="J218" s="26">
        <v>277.39999999999998</v>
      </c>
      <c r="K218" s="26">
        <v>217</v>
      </c>
      <c r="L218" s="26">
        <v>190634</v>
      </c>
      <c r="M218" s="26">
        <v>6080</v>
      </c>
      <c r="N218" s="26">
        <v>26.16</v>
      </c>
      <c r="O218" s="26">
        <v>3425</v>
      </c>
      <c r="P218" s="26">
        <v>6850</v>
      </c>
      <c r="Q218" s="26">
        <v>16275</v>
      </c>
      <c r="R218" s="26">
        <v>991</v>
      </c>
      <c r="S218" s="26">
        <v>7.65</v>
      </c>
      <c r="T218" s="26">
        <v>764</v>
      </c>
      <c r="U218" s="26">
        <v>1487</v>
      </c>
      <c r="V218" s="26">
        <v>1527</v>
      </c>
      <c r="W218" s="26">
        <v>558</v>
      </c>
      <c r="X218" s="26">
        <v>14662058</v>
      </c>
      <c r="Y218" s="26">
        <v>17857</v>
      </c>
      <c r="Z218" s="26">
        <v>71.900000000000006</v>
      </c>
      <c r="AA218" s="40" t="s">
        <v>122</v>
      </c>
      <c r="AB218" s="40" t="s">
        <v>122</v>
      </c>
      <c r="AC218" s="104">
        <f t="shared" si="4"/>
        <v>60.029999999999994</v>
      </c>
    </row>
    <row r="219" spans="1:29" x14ac:dyDescent="0.25">
      <c r="A219" s="26" t="s">
        <v>792</v>
      </c>
      <c r="B219" s="26">
        <v>622</v>
      </c>
      <c r="C219" s="26">
        <v>327</v>
      </c>
      <c r="D219" s="26">
        <v>24.4</v>
      </c>
      <c r="E219" s="26">
        <v>533</v>
      </c>
      <c r="F219" s="26">
        <v>15.4</v>
      </c>
      <c r="G219" s="26">
        <v>27</v>
      </c>
      <c r="H219" s="26">
        <v>6.7</v>
      </c>
      <c r="I219" s="26">
        <v>34.700000000000003</v>
      </c>
      <c r="J219" s="26">
        <v>248.4</v>
      </c>
      <c r="K219" s="26">
        <v>194.9</v>
      </c>
      <c r="L219" s="26">
        <v>167325</v>
      </c>
      <c r="M219" s="26">
        <v>5391</v>
      </c>
      <c r="N219" s="26">
        <v>25.91</v>
      </c>
      <c r="O219" s="26">
        <v>3032</v>
      </c>
      <c r="P219" s="26">
        <v>6063</v>
      </c>
      <c r="Q219" s="26">
        <v>14152</v>
      </c>
      <c r="R219" s="26">
        <v>869</v>
      </c>
      <c r="S219" s="26">
        <v>7.54</v>
      </c>
      <c r="T219" s="26">
        <v>668</v>
      </c>
      <c r="U219" s="26">
        <v>1303</v>
      </c>
      <c r="V219" s="26">
        <v>1336</v>
      </c>
      <c r="W219" s="26">
        <v>395</v>
      </c>
      <c r="X219" s="26">
        <v>12648039</v>
      </c>
      <c r="Y219" s="26">
        <v>16065</v>
      </c>
      <c r="Z219" s="26">
        <v>111</v>
      </c>
      <c r="AA219" s="40" t="s">
        <v>122</v>
      </c>
      <c r="AB219" s="40" t="s">
        <v>122</v>
      </c>
      <c r="AC219" s="104">
        <f t="shared" si="4"/>
        <v>59.760000000000005</v>
      </c>
    </row>
    <row r="220" spans="1:29" x14ac:dyDescent="0.25">
      <c r="A220" s="26" t="s">
        <v>793</v>
      </c>
      <c r="B220" s="26">
        <v>616</v>
      </c>
      <c r="C220" s="26">
        <v>325</v>
      </c>
      <c r="D220" s="26">
        <v>21.6</v>
      </c>
      <c r="E220" s="26">
        <v>533</v>
      </c>
      <c r="F220" s="26">
        <v>14</v>
      </c>
      <c r="G220" s="26">
        <v>25.4</v>
      </c>
      <c r="H220" s="26">
        <v>7.53</v>
      </c>
      <c r="I220" s="26">
        <v>38.200000000000003</v>
      </c>
      <c r="J220" s="26">
        <v>221.9</v>
      </c>
      <c r="K220" s="26">
        <v>174.1</v>
      </c>
      <c r="L220" s="26">
        <v>147346</v>
      </c>
      <c r="M220" s="26">
        <v>4769</v>
      </c>
      <c r="N220" s="26">
        <v>25.65</v>
      </c>
      <c r="O220" s="26">
        <v>2679</v>
      </c>
      <c r="P220" s="26">
        <v>5359</v>
      </c>
      <c r="Q220" s="26">
        <v>12362</v>
      </c>
      <c r="R220" s="26">
        <v>762</v>
      </c>
      <c r="S220" s="26">
        <v>7.47</v>
      </c>
      <c r="T220" s="26">
        <v>585</v>
      </c>
      <c r="U220" s="26">
        <v>1143</v>
      </c>
      <c r="V220" s="26">
        <v>1170</v>
      </c>
      <c r="W220" s="26">
        <v>280</v>
      </c>
      <c r="X220" s="26">
        <v>10956263</v>
      </c>
      <c r="Y220" s="26">
        <v>14410</v>
      </c>
      <c r="Z220" s="26">
        <v>172</v>
      </c>
      <c r="AA220" s="40" t="s">
        <v>122</v>
      </c>
      <c r="AB220" s="40" t="s">
        <v>122</v>
      </c>
      <c r="AC220" s="104">
        <f t="shared" si="4"/>
        <v>59.44</v>
      </c>
    </row>
    <row r="221" spans="1:29" x14ac:dyDescent="0.25">
      <c r="A221" s="26" t="s">
        <v>794</v>
      </c>
      <c r="B221" s="26">
        <v>611</v>
      </c>
      <c r="C221" s="26">
        <v>324</v>
      </c>
      <c r="D221" s="26">
        <v>19.100000000000001</v>
      </c>
      <c r="E221" s="26">
        <v>533</v>
      </c>
      <c r="F221" s="26">
        <v>12.7</v>
      </c>
      <c r="G221" s="26">
        <v>25.4</v>
      </c>
      <c r="H221" s="26">
        <v>8.5</v>
      </c>
      <c r="I221" s="26">
        <v>42</v>
      </c>
      <c r="J221" s="26">
        <v>197.4</v>
      </c>
      <c r="K221" s="26">
        <v>154.80000000000001</v>
      </c>
      <c r="L221" s="26">
        <v>129032</v>
      </c>
      <c r="M221" s="26">
        <v>4228</v>
      </c>
      <c r="N221" s="26">
        <v>25.65</v>
      </c>
      <c r="O221" s="26">
        <v>2368</v>
      </c>
      <c r="P221" s="26">
        <v>4736</v>
      </c>
      <c r="Q221" s="26">
        <v>10780</v>
      </c>
      <c r="R221" s="26">
        <v>667</v>
      </c>
      <c r="S221" s="26">
        <v>7.39</v>
      </c>
      <c r="T221" s="26">
        <v>511</v>
      </c>
      <c r="U221" s="26">
        <v>1000</v>
      </c>
      <c r="V221" s="26">
        <v>1023</v>
      </c>
      <c r="W221" s="26">
        <v>196</v>
      </c>
      <c r="X221" s="26">
        <v>9452463</v>
      </c>
      <c r="Y221" s="26">
        <v>12824</v>
      </c>
      <c r="Z221" s="26">
        <v>271</v>
      </c>
      <c r="AA221" s="40" t="s">
        <v>122</v>
      </c>
      <c r="AB221" s="40" t="s">
        <v>122</v>
      </c>
      <c r="AC221" s="104">
        <f t="shared" si="4"/>
        <v>59.19</v>
      </c>
    </row>
    <row r="222" spans="1:29" x14ac:dyDescent="0.25">
      <c r="A222" s="26" t="s">
        <v>795</v>
      </c>
      <c r="B222" s="26">
        <v>623</v>
      </c>
      <c r="C222" s="26">
        <v>229</v>
      </c>
      <c r="D222" s="26">
        <v>24.9</v>
      </c>
      <c r="E222" s="26">
        <v>533</v>
      </c>
      <c r="F222" s="26">
        <v>14</v>
      </c>
      <c r="G222" s="26">
        <v>20.6</v>
      </c>
      <c r="H222" s="26">
        <v>4.59</v>
      </c>
      <c r="I222" s="26">
        <v>38.200000000000003</v>
      </c>
      <c r="J222" s="26">
        <v>195.5</v>
      </c>
      <c r="K222" s="26">
        <v>153.30000000000001</v>
      </c>
      <c r="L222" s="26">
        <v>124869</v>
      </c>
      <c r="M222" s="26">
        <v>4015</v>
      </c>
      <c r="N222" s="26">
        <v>25.3</v>
      </c>
      <c r="O222" s="26">
        <v>2294</v>
      </c>
      <c r="P222" s="26">
        <v>4588</v>
      </c>
      <c r="Q222" s="26">
        <v>4953</v>
      </c>
      <c r="R222" s="26">
        <v>434</v>
      </c>
      <c r="S222" s="26">
        <v>5.05</v>
      </c>
      <c r="T222" s="26">
        <v>340</v>
      </c>
      <c r="U222" s="26">
        <v>651</v>
      </c>
      <c r="V222" s="26">
        <v>680</v>
      </c>
      <c r="W222" s="26">
        <v>296</v>
      </c>
      <c r="X222" s="26">
        <v>4457695</v>
      </c>
      <c r="Y222" s="26">
        <v>16547</v>
      </c>
      <c r="Z222" s="26">
        <v>111</v>
      </c>
      <c r="AA222" s="40" t="s">
        <v>122</v>
      </c>
      <c r="AB222" s="40" t="s">
        <v>122</v>
      </c>
      <c r="AC222" s="104">
        <f t="shared" si="4"/>
        <v>59.81</v>
      </c>
    </row>
    <row r="223" spans="1:29" x14ac:dyDescent="0.25">
      <c r="A223" s="26" t="s">
        <v>796</v>
      </c>
      <c r="B223" s="26">
        <v>617</v>
      </c>
      <c r="C223" s="26">
        <v>230</v>
      </c>
      <c r="D223" s="26">
        <v>22.2</v>
      </c>
      <c r="E223" s="26">
        <v>533</v>
      </c>
      <c r="F223" s="26">
        <v>13.1</v>
      </c>
      <c r="G223" s="26">
        <v>25.4</v>
      </c>
      <c r="H223" s="26">
        <v>5.18</v>
      </c>
      <c r="I223" s="26">
        <v>40.799999999999997</v>
      </c>
      <c r="J223" s="26">
        <v>178.7</v>
      </c>
      <c r="K223" s="26">
        <v>139.9</v>
      </c>
      <c r="L223" s="26">
        <v>112382</v>
      </c>
      <c r="M223" s="26">
        <v>3638</v>
      </c>
      <c r="N223" s="26">
        <v>25.07</v>
      </c>
      <c r="O223" s="26">
        <v>2081</v>
      </c>
      <c r="P223" s="26">
        <v>4162</v>
      </c>
      <c r="Q223" s="26">
        <v>4537</v>
      </c>
      <c r="R223" s="26">
        <v>393</v>
      </c>
      <c r="S223" s="26">
        <v>5.03</v>
      </c>
      <c r="T223" s="26">
        <v>307</v>
      </c>
      <c r="U223" s="26">
        <v>590</v>
      </c>
      <c r="V223" s="26">
        <v>615</v>
      </c>
      <c r="W223" s="26">
        <v>219</v>
      </c>
      <c r="X223" s="26">
        <v>4028038</v>
      </c>
      <c r="Y223" s="26">
        <v>15031</v>
      </c>
      <c r="Z223" s="26">
        <v>164</v>
      </c>
      <c r="AA223" s="40" t="s">
        <v>122</v>
      </c>
      <c r="AB223" s="40" t="s">
        <v>122</v>
      </c>
      <c r="AC223" s="104">
        <f t="shared" si="4"/>
        <v>59.48</v>
      </c>
    </row>
    <row r="224" spans="1:29" x14ac:dyDescent="0.25">
      <c r="A224" s="26" t="s">
        <v>797</v>
      </c>
      <c r="B224" s="26">
        <v>612</v>
      </c>
      <c r="C224" s="26">
        <v>229</v>
      </c>
      <c r="D224" s="26">
        <v>19.600000000000001</v>
      </c>
      <c r="E224" s="26">
        <v>533</v>
      </c>
      <c r="F224" s="26">
        <v>11.9</v>
      </c>
      <c r="G224" s="26">
        <v>23.8</v>
      </c>
      <c r="H224" s="26">
        <v>5.86</v>
      </c>
      <c r="I224" s="26">
        <v>44.7</v>
      </c>
      <c r="J224" s="26">
        <v>159.4</v>
      </c>
      <c r="K224" s="26">
        <v>125</v>
      </c>
      <c r="L224" s="26">
        <v>98647</v>
      </c>
      <c r="M224" s="26">
        <v>3212</v>
      </c>
      <c r="N224" s="26">
        <v>24.87</v>
      </c>
      <c r="O224" s="26">
        <v>1835</v>
      </c>
      <c r="P224" s="26">
        <v>3671</v>
      </c>
      <c r="Q224" s="26">
        <v>3929</v>
      </c>
      <c r="R224" s="26">
        <v>342</v>
      </c>
      <c r="S224" s="26">
        <v>4.95</v>
      </c>
      <c r="T224" s="26">
        <v>267</v>
      </c>
      <c r="U224" s="26">
        <v>514</v>
      </c>
      <c r="V224" s="26">
        <v>534</v>
      </c>
      <c r="W224" s="26">
        <v>154</v>
      </c>
      <c r="X224" s="26">
        <v>3437259</v>
      </c>
      <c r="Y224" s="26">
        <v>13445</v>
      </c>
      <c r="Z224" s="26">
        <v>257</v>
      </c>
      <c r="AA224" s="40" t="s">
        <v>122</v>
      </c>
      <c r="AB224" s="40" t="s">
        <v>122</v>
      </c>
      <c r="AC224" s="104">
        <f t="shared" si="4"/>
        <v>59.239999999999995</v>
      </c>
    </row>
    <row r="225" spans="1:29" x14ac:dyDescent="0.25">
      <c r="A225" s="26" t="s">
        <v>798</v>
      </c>
      <c r="B225" s="26">
        <v>608</v>
      </c>
      <c r="C225" s="26">
        <v>228</v>
      </c>
      <c r="D225" s="26">
        <v>17.3</v>
      </c>
      <c r="E225" s="26">
        <v>533</v>
      </c>
      <c r="F225" s="26">
        <v>11.2</v>
      </c>
      <c r="G225" s="26">
        <v>23.8</v>
      </c>
      <c r="H225" s="26">
        <v>6.61</v>
      </c>
      <c r="I225" s="26">
        <v>47.7</v>
      </c>
      <c r="J225" s="26">
        <v>144.5</v>
      </c>
      <c r="K225" s="26">
        <v>113.1</v>
      </c>
      <c r="L225" s="26">
        <v>87409</v>
      </c>
      <c r="M225" s="26">
        <v>2884</v>
      </c>
      <c r="N225" s="26">
        <v>24.61</v>
      </c>
      <c r="O225" s="26">
        <v>1639</v>
      </c>
      <c r="P225" s="26">
        <v>3277</v>
      </c>
      <c r="Q225" s="26">
        <v>3434</v>
      </c>
      <c r="R225" s="26">
        <v>302</v>
      </c>
      <c r="S225" s="26">
        <v>4.88</v>
      </c>
      <c r="T225" s="26">
        <v>234</v>
      </c>
      <c r="U225" s="26">
        <v>452</v>
      </c>
      <c r="V225" s="26">
        <v>469</v>
      </c>
      <c r="W225" s="26">
        <v>112</v>
      </c>
      <c r="X225" s="26">
        <v>2980748</v>
      </c>
      <c r="Y225" s="26">
        <v>12135</v>
      </c>
      <c r="Z225" s="26">
        <v>391</v>
      </c>
      <c r="AA225" s="40" t="s">
        <v>122</v>
      </c>
      <c r="AB225" s="40" t="s">
        <v>122</v>
      </c>
      <c r="AC225" s="104">
        <f t="shared" si="4"/>
        <v>59.070000000000007</v>
      </c>
    </row>
    <row r="226" spans="1:29" x14ac:dyDescent="0.25">
      <c r="A226" s="26" t="s">
        <v>799</v>
      </c>
      <c r="B226" s="26">
        <v>603</v>
      </c>
      <c r="C226" s="26">
        <v>228</v>
      </c>
      <c r="D226" s="26">
        <v>14.9</v>
      </c>
      <c r="E226" s="26">
        <v>533</v>
      </c>
      <c r="F226" s="26">
        <v>10.5</v>
      </c>
      <c r="G226" s="26">
        <v>23.8</v>
      </c>
      <c r="H226" s="26">
        <v>7.66</v>
      </c>
      <c r="I226" s="26">
        <v>50.6</v>
      </c>
      <c r="J226" s="26">
        <v>129.69999999999999</v>
      </c>
      <c r="K226" s="26">
        <v>101.2</v>
      </c>
      <c r="L226" s="26">
        <v>76170</v>
      </c>
      <c r="M226" s="26">
        <v>2524</v>
      </c>
      <c r="N226" s="26">
        <v>24.26</v>
      </c>
      <c r="O226" s="26">
        <v>1450</v>
      </c>
      <c r="P226" s="26">
        <v>2901</v>
      </c>
      <c r="Q226" s="26">
        <v>2930</v>
      </c>
      <c r="R226" s="26">
        <v>257</v>
      </c>
      <c r="S226" s="26">
        <v>4.75</v>
      </c>
      <c r="T226" s="26">
        <v>201</v>
      </c>
      <c r="U226" s="26">
        <v>386</v>
      </c>
      <c r="V226" s="26">
        <v>401</v>
      </c>
      <c r="W226" s="26">
        <v>77.8</v>
      </c>
      <c r="X226" s="26">
        <v>2532293</v>
      </c>
      <c r="Y226" s="26">
        <v>10963</v>
      </c>
      <c r="Z226" s="26">
        <v>610</v>
      </c>
      <c r="AA226" s="40" t="s">
        <v>122</v>
      </c>
      <c r="AB226" s="40" t="s">
        <v>122</v>
      </c>
      <c r="AC226" s="104">
        <f t="shared" si="4"/>
        <v>58.81</v>
      </c>
    </row>
    <row r="227" spans="1:29" x14ac:dyDescent="0.25">
      <c r="A227" s="26" t="s">
        <v>800</v>
      </c>
      <c r="B227" s="26">
        <v>603</v>
      </c>
      <c r="C227" s="26">
        <v>179</v>
      </c>
      <c r="D227" s="26">
        <v>15</v>
      </c>
      <c r="E227" s="26">
        <v>533</v>
      </c>
      <c r="F227" s="26">
        <v>10.9</v>
      </c>
      <c r="G227" s="26">
        <v>23.8</v>
      </c>
      <c r="H227" s="26">
        <v>5.97</v>
      </c>
      <c r="I227" s="26">
        <v>48.8</v>
      </c>
      <c r="J227" s="26">
        <v>117.4</v>
      </c>
      <c r="K227" s="26">
        <v>92.3</v>
      </c>
      <c r="L227" s="26">
        <v>64516</v>
      </c>
      <c r="M227" s="26">
        <v>2147</v>
      </c>
      <c r="N227" s="26">
        <v>23.44</v>
      </c>
      <c r="O227" s="26">
        <v>1254</v>
      </c>
      <c r="P227" s="26">
        <v>2507</v>
      </c>
      <c r="Q227" s="26">
        <v>1436</v>
      </c>
      <c r="R227" s="26">
        <v>161</v>
      </c>
      <c r="S227" s="26">
        <v>3.51</v>
      </c>
      <c r="T227" s="26">
        <v>129</v>
      </c>
      <c r="U227" s="26">
        <v>241</v>
      </c>
      <c r="V227" s="26">
        <v>257</v>
      </c>
      <c r="W227" s="26">
        <v>71.2</v>
      </c>
      <c r="X227" s="26">
        <v>1240636</v>
      </c>
      <c r="Y227" s="26">
        <v>11721</v>
      </c>
      <c r="Z227" s="26">
        <v>528</v>
      </c>
      <c r="AA227" s="40" t="s">
        <v>122</v>
      </c>
      <c r="AB227" s="40" t="s">
        <v>122</v>
      </c>
      <c r="AC227" s="104">
        <f t="shared" si="4"/>
        <v>58.8</v>
      </c>
    </row>
    <row r="228" spans="1:29" x14ac:dyDescent="0.25">
      <c r="A228" s="26" t="s">
        <v>801</v>
      </c>
      <c r="B228" s="26">
        <v>599</v>
      </c>
      <c r="C228" s="26">
        <v>178</v>
      </c>
      <c r="D228" s="26">
        <v>12.8</v>
      </c>
      <c r="E228" s="26">
        <v>533</v>
      </c>
      <c r="F228" s="26">
        <v>10</v>
      </c>
      <c r="G228" s="26">
        <v>23.8</v>
      </c>
      <c r="H228" s="26">
        <v>6.94</v>
      </c>
      <c r="I228" s="26">
        <v>53.2</v>
      </c>
      <c r="J228" s="26">
        <v>104.5</v>
      </c>
      <c r="K228" s="26">
        <v>81.8</v>
      </c>
      <c r="L228" s="26">
        <v>56191</v>
      </c>
      <c r="M228" s="26">
        <v>1868</v>
      </c>
      <c r="N228" s="26">
        <v>23.14</v>
      </c>
      <c r="O228" s="26">
        <v>1098</v>
      </c>
      <c r="P228" s="26">
        <v>2196</v>
      </c>
      <c r="Q228" s="26">
        <v>1211</v>
      </c>
      <c r="R228" s="26">
        <v>136</v>
      </c>
      <c r="S228" s="26">
        <v>3.4</v>
      </c>
      <c r="T228" s="26">
        <v>109</v>
      </c>
      <c r="U228" s="26">
        <v>204</v>
      </c>
      <c r="V228" s="26">
        <v>218</v>
      </c>
      <c r="W228" s="26">
        <v>49.1</v>
      </c>
      <c r="X228" s="26">
        <v>1039234</v>
      </c>
      <c r="Y228" s="26">
        <v>10618</v>
      </c>
      <c r="Z228" s="26">
        <v>833</v>
      </c>
      <c r="AA228" s="40" t="s">
        <v>122</v>
      </c>
      <c r="AB228" s="40" t="s">
        <v>122</v>
      </c>
      <c r="AC228" s="104">
        <f t="shared" si="4"/>
        <v>58.620000000000005</v>
      </c>
    </row>
    <row r="229" spans="1:29" x14ac:dyDescent="0.25">
      <c r="A229" s="26" t="s">
        <v>802</v>
      </c>
      <c r="B229" s="26">
        <v>585</v>
      </c>
      <c r="C229" s="26">
        <v>319</v>
      </c>
      <c r="D229" s="26">
        <v>41.4</v>
      </c>
      <c r="E229" s="26">
        <v>464</v>
      </c>
      <c r="F229" s="26">
        <v>23.1</v>
      </c>
      <c r="G229" s="26">
        <v>25.4</v>
      </c>
      <c r="H229" s="26">
        <v>3.86</v>
      </c>
      <c r="I229" s="26">
        <v>20.100000000000001</v>
      </c>
      <c r="J229" s="26">
        <v>381.9</v>
      </c>
      <c r="K229" s="26">
        <v>299.10000000000002</v>
      </c>
      <c r="L229" s="26">
        <v>221019</v>
      </c>
      <c r="M229" s="26">
        <v>7554</v>
      </c>
      <c r="N229" s="26">
        <v>24.05</v>
      </c>
      <c r="O229" s="26">
        <v>4343</v>
      </c>
      <c r="P229" s="26">
        <v>8685</v>
      </c>
      <c r="Q229" s="26">
        <v>22560</v>
      </c>
      <c r="R229" s="26">
        <v>1411</v>
      </c>
      <c r="S229" s="26">
        <v>7.67</v>
      </c>
      <c r="T229" s="26">
        <v>1090</v>
      </c>
      <c r="U229" s="26">
        <v>2116</v>
      </c>
      <c r="V229" s="26">
        <v>2179</v>
      </c>
      <c r="W229" s="26">
        <v>1719</v>
      </c>
      <c r="X229" s="26">
        <v>16595517</v>
      </c>
      <c r="Y229" s="26">
        <v>29579</v>
      </c>
      <c r="Z229" s="26">
        <v>9.5</v>
      </c>
      <c r="AA229" s="40" t="s">
        <v>122</v>
      </c>
      <c r="AB229" s="40" t="s">
        <v>122</v>
      </c>
      <c r="AC229" s="104">
        <f t="shared" si="4"/>
        <v>54.36</v>
      </c>
    </row>
    <row r="230" spans="1:29" x14ac:dyDescent="0.25">
      <c r="A230" s="26" t="s">
        <v>803</v>
      </c>
      <c r="B230" s="26">
        <v>577</v>
      </c>
      <c r="C230" s="26">
        <v>318</v>
      </c>
      <c r="D230" s="26">
        <v>37.6</v>
      </c>
      <c r="E230" s="26">
        <v>464</v>
      </c>
      <c r="F230" s="26">
        <v>21.1</v>
      </c>
      <c r="G230" s="26">
        <v>25.4</v>
      </c>
      <c r="H230" s="26">
        <v>4.22</v>
      </c>
      <c r="I230" s="26">
        <v>22</v>
      </c>
      <c r="J230" s="26">
        <v>345.8</v>
      </c>
      <c r="K230" s="26">
        <v>270.8</v>
      </c>
      <c r="L230" s="26">
        <v>196877</v>
      </c>
      <c r="M230" s="26">
        <v>6833</v>
      </c>
      <c r="N230" s="26">
        <v>23.88</v>
      </c>
      <c r="O230" s="26">
        <v>3900</v>
      </c>
      <c r="P230" s="26">
        <v>7800</v>
      </c>
      <c r="Q230" s="26">
        <v>20104</v>
      </c>
      <c r="R230" s="26">
        <v>1265</v>
      </c>
      <c r="S230" s="26">
        <v>7.62</v>
      </c>
      <c r="T230" s="26">
        <v>975</v>
      </c>
      <c r="U230" s="26">
        <v>1898</v>
      </c>
      <c r="V230" s="26">
        <v>1950</v>
      </c>
      <c r="W230" s="26">
        <v>1294</v>
      </c>
      <c r="X230" s="26">
        <v>14581498</v>
      </c>
      <c r="Y230" s="26">
        <v>26959</v>
      </c>
      <c r="Z230" s="26">
        <v>13.7</v>
      </c>
      <c r="AA230" s="40" t="s">
        <v>122</v>
      </c>
      <c r="AB230" s="40" t="s">
        <v>122</v>
      </c>
      <c r="AC230" s="104">
        <f t="shared" si="4"/>
        <v>53.94</v>
      </c>
    </row>
    <row r="231" spans="1:29" x14ac:dyDescent="0.25">
      <c r="A231" s="26" t="s">
        <v>804</v>
      </c>
      <c r="B231" s="26">
        <v>571</v>
      </c>
      <c r="C231" s="26">
        <v>315</v>
      </c>
      <c r="D231" s="26">
        <v>34.5</v>
      </c>
      <c r="E231" s="26">
        <v>464</v>
      </c>
      <c r="F231" s="26">
        <v>19.100000000000001</v>
      </c>
      <c r="G231" s="26">
        <v>23.8</v>
      </c>
      <c r="H231" s="26">
        <v>4.57</v>
      </c>
      <c r="I231" s="26">
        <v>24.3</v>
      </c>
      <c r="J231" s="26">
        <v>314.8</v>
      </c>
      <c r="K231" s="26">
        <v>247</v>
      </c>
      <c r="L231" s="26">
        <v>178147</v>
      </c>
      <c r="M231" s="26">
        <v>6227</v>
      </c>
      <c r="N231" s="26">
        <v>23.77</v>
      </c>
      <c r="O231" s="26">
        <v>3540</v>
      </c>
      <c r="P231" s="26">
        <v>7079</v>
      </c>
      <c r="Q231" s="26">
        <v>18106</v>
      </c>
      <c r="R231" s="26">
        <v>1149</v>
      </c>
      <c r="S231" s="26">
        <v>7.57</v>
      </c>
      <c r="T231" s="26">
        <v>885</v>
      </c>
      <c r="U231" s="26">
        <v>1723</v>
      </c>
      <c r="V231" s="26">
        <v>1770</v>
      </c>
      <c r="W231" s="26">
        <v>995</v>
      </c>
      <c r="X231" s="26">
        <v>13023990</v>
      </c>
      <c r="Y231" s="26">
        <v>24752</v>
      </c>
      <c r="Z231" s="26">
        <v>19</v>
      </c>
      <c r="AA231" s="40" t="s">
        <v>122</v>
      </c>
      <c r="AB231" s="40" t="s">
        <v>122</v>
      </c>
      <c r="AC231" s="104">
        <f t="shared" si="4"/>
        <v>53.65</v>
      </c>
    </row>
    <row r="232" spans="1:29" x14ac:dyDescent="0.25">
      <c r="A232" s="26" t="s">
        <v>805</v>
      </c>
      <c r="B232" s="26">
        <v>560</v>
      </c>
      <c r="C232" s="26">
        <v>318</v>
      </c>
      <c r="D232" s="26">
        <v>29.2</v>
      </c>
      <c r="E232" s="26">
        <v>464</v>
      </c>
      <c r="F232" s="26">
        <v>18.3</v>
      </c>
      <c r="G232" s="26">
        <v>27</v>
      </c>
      <c r="H232" s="26">
        <v>5.44</v>
      </c>
      <c r="I232" s="26">
        <v>25.3</v>
      </c>
      <c r="J232" s="26">
        <v>278.7</v>
      </c>
      <c r="K232" s="26">
        <v>218.8</v>
      </c>
      <c r="L232" s="26">
        <v>151092</v>
      </c>
      <c r="M232" s="26">
        <v>5391</v>
      </c>
      <c r="N232" s="26">
        <v>23.29</v>
      </c>
      <c r="O232" s="26">
        <v>3056</v>
      </c>
      <c r="P232" s="26">
        <v>6112</v>
      </c>
      <c r="Q232" s="26">
        <v>15650</v>
      </c>
      <c r="R232" s="26">
        <v>985</v>
      </c>
      <c r="S232" s="26">
        <v>7.49</v>
      </c>
      <c r="T232" s="26">
        <v>759</v>
      </c>
      <c r="U232" s="26">
        <v>1477</v>
      </c>
      <c r="V232" s="26">
        <v>1517</v>
      </c>
      <c r="W232" s="26">
        <v>641</v>
      </c>
      <c r="X232" s="26">
        <v>11036824</v>
      </c>
      <c r="Y232" s="26">
        <v>21650</v>
      </c>
      <c r="Z232" s="26">
        <v>33.4</v>
      </c>
      <c r="AA232" s="40" t="s">
        <v>122</v>
      </c>
      <c r="AB232" s="40" t="s">
        <v>122</v>
      </c>
      <c r="AC232" s="104">
        <f t="shared" si="4"/>
        <v>53.08</v>
      </c>
    </row>
    <row r="233" spans="1:29" x14ac:dyDescent="0.25">
      <c r="A233" s="26" t="s">
        <v>806</v>
      </c>
      <c r="B233" s="26">
        <v>554</v>
      </c>
      <c r="C233" s="26">
        <v>316</v>
      </c>
      <c r="D233" s="26">
        <v>26.3</v>
      </c>
      <c r="E233" s="26">
        <v>464</v>
      </c>
      <c r="F233" s="26">
        <v>16.5</v>
      </c>
      <c r="G233" s="26">
        <v>25</v>
      </c>
      <c r="H233" s="26">
        <v>6.01</v>
      </c>
      <c r="I233" s="26">
        <v>28.1</v>
      </c>
      <c r="J233" s="26">
        <v>250.3</v>
      </c>
      <c r="K233" s="26">
        <v>196.4</v>
      </c>
      <c r="L233" s="26">
        <v>134027</v>
      </c>
      <c r="M233" s="26">
        <v>4834</v>
      </c>
      <c r="N233" s="26">
        <v>23.16</v>
      </c>
      <c r="O233" s="26">
        <v>2728</v>
      </c>
      <c r="P233" s="26">
        <v>5457</v>
      </c>
      <c r="Q233" s="26">
        <v>13861</v>
      </c>
      <c r="R233" s="26">
        <v>877</v>
      </c>
      <c r="S233" s="26">
        <v>7.44</v>
      </c>
      <c r="T233" s="26">
        <v>674</v>
      </c>
      <c r="U233" s="26">
        <v>1315</v>
      </c>
      <c r="V233" s="26">
        <v>1349</v>
      </c>
      <c r="W233" s="26">
        <v>470</v>
      </c>
      <c r="X233" s="26">
        <v>9667291</v>
      </c>
      <c r="Y233" s="26">
        <v>19581</v>
      </c>
      <c r="Z233" s="26">
        <v>49.4</v>
      </c>
      <c r="AA233" s="40" t="s">
        <v>122</v>
      </c>
      <c r="AB233" s="40" t="s">
        <v>122</v>
      </c>
      <c r="AC233" s="104">
        <f t="shared" si="4"/>
        <v>52.77</v>
      </c>
    </row>
    <row r="234" spans="1:29" x14ac:dyDescent="0.25">
      <c r="A234" s="26" t="s">
        <v>807</v>
      </c>
      <c r="B234" s="26">
        <v>551</v>
      </c>
      <c r="C234" s="26">
        <v>315</v>
      </c>
      <c r="D234" s="26">
        <v>24.4</v>
      </c>
      <c r="E234" s="26">
        <v>464</v>
      </c>
      <c r="F234" s="26">
        <v>15.2</v>
      </c>
      <c r="G234" s="26">
        <v>25.4</v>
      </c>
      <c r="H234" s="26">
        <v>6.45</v>
      </c>
      <c r="I234" s="26">
        <v>30.4</v>
      </c>
      <c r="J234" s="26">
        <v>231.6</v>
      </c>
      <c r="K234" s="26">
        <v>181.6</v>
      </c>
      <c r="L234" s="26">
        <v>123205</v>
      </c>
      <c r="M234" s="26">
        <v>4474</v>
      </c>
      <c r="N234" s="26">
        <v>23.09</v>
      </c>
      <c r="O234" s="26">
        <v>2515</v>
      </c>
      <c r="P234" s="26">
        <v>5031</v>
      </c>
      <c r="Q234" s="26">
        <v>12695</v>
      </c>
      <c r="R234" s="26">
        <v>806</v>
      </c>
      <c r="S234" s="26">
        <v>7.42</v>
      </c>
      <c r="T234" s="26">
        <v>619</v>
      </c>
      <c r="U234" s="26">
        <v>1209</v>
      </c>
      <c r="V234" s="26">
        <v>1239</v>
      </c>
      <c r="W234" s="26">
        <v>374</v>
      </c>
      <c r="X234" s="26">
        <v>8781123</v>
      </c>
      <c r="Y234" s="26">
        <v>18133</v>
      </c>
      <c r="Z234" s="26">
        <v>66.5</v>
      </c>
      <c r="AA234" s="40" t="s">
        <v>122</v>
      </c>
      <c r="AB234" s="40" t="s">
        <v>122</v>
      </c>
      <c r="AC234" s="104">
        <f t="shared" si="4"/>
        <v>52.660000000000004</v>
      </c>
    </row>
    <row r="235" spans="1:29" x14ac:dyDescent="0.25">
      <c r="A235" s="26" t="s">
        <v>808</v>
      </c>
      <c r="B235" s="26">
        <v>546</v>
      </c>
      <c r="C235" s="26">
        <v>313</v>
      </c>
      <c r="D235" s="26">
        <v>22.2</v>
      </c>
      <c r="E235" s="26">
        <v>464</v>
      </c>
      <c r="F235" s="26">
        <v>14</v>
      </c>
      <c r="G235" s="26">
        <v>23.8</v>
      </c>
      <c r="H235" s="26">
        <v>7.05</v>
      </c>
      <c r="I235" s="26">
        <v>33.200000000000003</v>
      </c>
      <c r="J235" s="26">
        <v>211</v>
      </c>
      <c r="K235" s="26">
        <v>165.2</v>
      </c>
      <c r="L235" s="26">
        <v>111134</v>
      </c>
      <c r="M235" s="26">
        <v>4080</v>
      </c>
      <c r="N235" s="26">
        <v>22.99</v>
      </c>
      <c r="O235" s="26">
        <v>2286</v>
      </c>
      <c r="P235" s="26">
        <v>4572</v>
      </c>
      <c r="Q235" s="26">
        <v>11405</v>
      </c>
      <c r="R235" s="26">
        <v>729</v>
      </c>
      <c r="S235" s="26">
        <v>7.37</v>
      </c>
      <c r="T235" s="26">
        <v>559</v>
      </c>
      <c r="U235" s="26">
        <v>1094</v>
      </c>
      <c r="V235" s="26">
        <v>1118</v>
      </c>
      <c r="W235" s="26">
        <v>284</v>
      </c>
      <c r="X235" s="26">
        <v>7841247</v>
      </c>
      <c r="Y235" s="26">
        <v>16547</v>
      </c>
      <c r="Z235" s="26">
        <v>94.9</v>
      </c>
      <c r="AA235" s="40" t="s">
        <v>122</v>
      </c>
      <c r="AB235" s="40" t="s">
        <v>122</v>
      </c>
      <c r="AC235" s="104">
        <f t="shared" si="4"/>
        <v>52.379999999999995</v>
      </c>
    </row>
    <row r="236" spans="1:29" x14ac:dyDescent="0.25">
      <c r="A236" s="26" t="s">
        <v>809</v>
      </c>
      <c r="B236" s="26">
        <v>543</v>
      </c>
      <c r="C236" s="26">
        <v>312</v>
      </c>
      <c r="D236" s="26">
        <v>20.3</v>
      </c>
      <c r="E236" s="26">
        <v>464</v>
      </c>
      <c r="F236" s="26">
        <v>12.7</v>
      </c>
      <c r="G236" s="26">
        <v>23.8</v>
      </c>
      <c r="H236" s="26">
        <v>7.68</v>
      </c>
      <c r="I236" s="26">
        <v>36.5</v>
      </c>
      <c r="J236" s="26">
        <v>192.3</v>
      </c>
      <c r="K236" s="26">
        <v>150.30000000000001</v>
      </c>
      <c r="L236" s="26">
        <v>100728</v>
      </c>
      <c r="M236" s="26">
        <v>3720</v>
      </c>
      <c r="N236" s="26">
        <v>22.91</v>
      </c>
      <c r="O236" s="26">
        <v>2073</v>
      </c>
      <c r="P236" s="26">
        <v>4146</v>
      </c>
      <c r="Q236" s="26">
        <v>10323</v>
      </c>
      <c r="R236" s="26">
        <v>660</v>
      </c>
      <c r="S236" s="26">
        <v>7.34</v>
      </c>
      <c r="T236" s="26">
        <v>506</v>
      </c>
      <c r="U236" s="26">
        <v>991</v>
      </c>
      <c r="V236" s="26">
        <v>1011</v>
      </c>
      <c r="W236" s="26">
        <v>217</v>
      </c>
      <c r="X236" s="26">
        <v>7035640</v>
      </c>
      <c r="Y236" s="26">
        <v>15168</v>
      </c>
      <c r="Z236" s="26">
        <v>135</v>
      </c>
      <c r="AA236" s="40" t="s">
        <v>122</v>
      </c>
      <c r="AB236" s="40" t="s">
        <v>122</v>
      </c>
      <c r="AC236" s="104">
        <f t="shared" si="4"/>
        <v>52.27</v>
      </c>
    </row>
    <row r="237" spans="1:29" x14ac:dyDescent="0.25">
      <c r="A237" s="26" t="s">
        <v>810</v>
      </c>
      <c r="B237" s="26">
        <v>549</v>
      </c>
      <c r="C237" s="26">
        <v>214</v>
      </c>
      <c r="D237" s="26">
        <v>23.6</v>
      </c>
      <c r="E237" s="26">
        <v>464</v>
      </c>
      <c r="F237" s="26">
        <v>14.7</v>
      </c>
      <c r="G237" s="26">
        <v>25.4</v>
      </c>
      <c r="H237" s="26">
        <v>4.53</v>
      </c>
      <c r="I237" s="26">
        <v>31.5</v>
      </c>
      <c r="J237" s="26">
        <v>176.1</v>
      </c>
      <c r="K237" s="26">
        <v>138.4</v>
      </c>
      <c r="L237" s="26">
        <v>86160</v>
      </c>
      <c r="M237" s="26">
        <v>3146</v>
      </c>
      <c r="N237" s="26">
        <v>22.1</v>
      </c>
      <c r="O237" s="26">
        <v>1811</v>
      </c>
      <c r="P237" s="26">
        <v>3622</v>
      </c>
      <c r="Q237" s="26">
        <v>3867</v>
      </c>
      <c r="R237" s="26">
        <v>362</v>
      </c>
      <c r="S237" s="26">
        <v>4.67</v>
      </c>
      <c r="T237" s="26">
        <v>284</v>
      </c>
      <c r="U237" s="26">
        <v>543</v>
      </c>
      <c r="V237" s="26">
        <v>569</v>
      </c>
      <c r="W237" s="26">
        <v>251</v>
      </c>
      <c r="X237" s="26">
        <v>2669247</v>
      </c>
      <c r="Y237" s="26">
        <v>18478</v>
      </c>
      <c r="Z237" s="26">
        <v>72.8</v>
      </c>
      <c r="AA237" s="40" t="s">
        <v>122</v>
      </c>
      <c r="AB237" s="40" t="s">
        <v>122</v>
      </c>
      <c r="AC237" s="104">
        <f t="shared" si="4"/>
        <v>52.54</v>
      </c>
    </row>
    <row r="238" spans="1:29" x14ac:dyDescent="0.25">
      <c r="A238" s="26" t="s">
        <v>811</v>
      </c>
      <c r="B238" s="26">
        <v>544</v>
      </c>
      <c r="C238" s="26">
        <v>212</v>
      </c>
      <c r="D238" s="26">
        <v>21.2</v>
      </c>
      <c r="E238" s="26">
        <v>464</v>
      </c>
      <c r="F238" s="26">
        <v>13.1</v>
      </c>
      <c r="G238" s="26">
        <v>23.8</v>
      </c>
      <c r="H238" s="26">
        <v>5</v>
      </c>
      <c r="I238" s="26">
        <v>35.4</v>
      </c>
      <c r="J238" s="26">
        <v>156.80000000000001</v>
      </c>
      <c r="K238" s="26">
        <v>123.5</v>
      </c>
      <c r="L238" s="26">
        <v>76170</v>
      </c>
      <c r="M238" s="26">
        <v>2802</v>
      </c>
      <c r="N238" s="26">
        <v>22.02</v>
      </c>
      <c r="O238" s="26">
        <v>1606</v>
      </c>
      <c r="P238" s="26">
        <v>3212</v>
      </c>
      <c r="Q238" s="26">
        <v>3388</v>
      </c>
      <c r="R238" s="26">
        <v>320</v>
      </c>
      <c r="S238" s="26">
        <v>4.6500000000000004</v>
      </c>
      <c r="T238" s="26">
        <v>250</v>
      </c>
      <c r="U238" s="26">
        <v>479</v>
      </c>
      <c r="V238" s="26">
        <v>500</v>
      </c>
      <c r="W238" s="26">
        <v>181</v>
      </c>
      <c r="X238" s="26">
        <v>2317465</v>
      </c>
      <c r="Y238" s="26">
        <v>16547</v>
      </c>
      <c r="Z238" s="26">
        <v>110</v>
      </c>
      <c r="AA238" s="40" t="s">
        <v>122</v>
      </c>
      <c r="AB238" s="40" t="s">
        <v>122</v>
      </c>
      <c r="AC238" s="104">
        <f t="shared" si="4"/>
        <v>52.279999999999994</v>
      </c>
    </row>
    <row r="239" spans="1:29" x14ac:dyDescent="0.25">
      <c r="A239" s="26" t="s">
        <v>812</v>
      </c>
      <c r="B239" s="26">
        <v>539</v>
      </c>
      <c r="C239" s="26">
        <v>211</v>
      </c>
      <c r="D239" s="26">
        <v>18.8</v>
      </c>
      <c r="E239" s="26">
        <v>464</v>
      </c>
      <c r="F239" s="26">
        <v>11.6</v>
      </c>
      <c r="G239" s="26">
        <v>23.8</v>
      </c>
      <c r="H239" s="26">
        <v>5.6</v>
      </c>
      <c r="I239" s="26">
        <v>40.1</v>
      </c>
      <c r="J239" s="26">
        <v>138.69999999999999</v>
      </c>
      <c r="K239" s="26">
        <v>108.6</v>
      </c>
      <c r="L239" s="26">
        <v>66597</v>
      </c>
      <c r="M239" s="26">
        <v>2474</v>
      </c>
      <c r="N239" s="26">
        <v>21.95</v>
      </c>
      <c r="O239" s="26">
        <v>1409</v>
      </c>
      <c r="P239" s="26">
        <v>2819</v>
      </c>
      <c r="Q239" s="26">
        <v>2939</v>
      </c>
      <c r="R239" s="26">
        <v>279</v>
      </c>
      <c r="S239" s="26">
        <v>4.5999999999999996</v>
      </c>
      <c r="T239" s="26">
        <v>218</v>
      </c>
      <c r="U239" s="26">
        <v>418</v>
      </c>
      <c r="V239" s="26">
        <v>436</v>
      </c>
      <c r="W239" s="26">
        <v>126</v>
      </c>
      <c r="X239" s="26">
        <v>1989851</v>
      </c>
      <c r="Y239" s="26">
        <v>14755</v>
      </c>
      <c r="Z239" s="26">
        <v>176</v>
      </c>
      <c r="AA239" s="40" t="s">
        <v>122</v>
      </c>
      <c r="AB239" s="40" t="s">
        <v>122</v>
      </c>
      <c r="AC239" s="104">
        <f t="shared" si="4"/>
        <v>52.02</v>
      </c>
    </row>
    <row r="240" spans="1:29" x14ac:dyDescent="0.25">
      <c r="A240" s="26" t="s">
        <v>813</v>
      </c>
      <c r="B240" s="26">
        <v>537</v>
      </c>
      <c r="C240" s="26">
        <v>210</v>
      </c>
      <c r="D240" s="26">
        <v>17.399999999999999</v>
      </c>
      <c r="E240" s="26">
        <v>464</v>
      </c>
      <c r="F240" s="26">
        <v>10.9</v>
      </c>
      <c r="G240" s="26">
        <v>22.2</v>
      </c>
      <c r="H240" s="26">
        <v>6.04</v>
      </c>
      <c r="I240" s="26">
        <v>42.4</v>
      </c>
      <c r="J240" s="26">
        <v>129</v>
      </c>
      <c r="K240" s="26">
        <v>101.2</v>
      </c>
      <c r="L240" s="26">
        <v>61602</v>
      </c>
      <c r="M240" s="26">
        <v>2294</v>
      </c>
      <c r="N240" s="26">
        <v>21.84</v>
      </c>
      <c r="O240" s="26">
        <v>1311</v>
      </c>
      <c r="P240" s="26">
        <v>2622</v>
      </c>
      <c r="Q240" s="26">
        <v>2693</v>
      </c>
      <c r="R240" s="26">
        <v>257</v>
      </c>
      <c r="S240" s="26">
        <v>4.57</v>
      </c>
      <c r="T240" s="26">
        <v>200</v>
      </c>
      <c r="U240" s="26">
        <v>386</v>
      </c>
      <c r="V240" s="26">
        <v>400</v>
      </c>
      <c r="W240" s="26">
        <v>102</v>
      </c>
      <c r="X240" s="26">
        <v>1815302</v>
      </c>
      <c r="Y240" s="26">
        <v>13790</v>
      </c>
      <c r="Z240" s="26">
        <v>229</v>
      </c>
      <c r="AA240" s="40" t="s">
        <v>122</v>
      </c>
      <c r="AB240" s="40" t="s">
        <v>122</v>
      </c>
      <c r="AC240" s="104">
        <f t="shared" si="4"/>
        <v>51.96</v>
      </c>
    </row>
    <row r="241" spans="1:29" x14ac:dyDescent="0.25">
      <c r="A241" s="26" t="s">
        <v>814</v>
      </c>
      <c r="B241" s="26">
        <v>533</v>
      </c>
      <c r="C241" s="26">
        <v>209</v>
      </c>
      <c r="D241" s="26">
        <v>15.6</v>
      </c>
      <c r="E241" s="26">
        <v>464</v>
      </c>
      <c r="F241" s="26">
        <v>10.199999999999999</v>
      </c>
      <c r="G241" s="26">
        <v>22.2</v>
      </c>
      <c r="H241" s="26">
        <v>6.7</v>
      </c>
      <c r="I241" s="26">
        <v>45.6</v>
      </c>
      <c r="J241" s="26">
        <v>118.1</v>
      </c>
      <c r="K241" s="26">
        <v>92.3</v>
      </c>
      <c r="L241" s="26">
        <v>55359</v>
      </c>
      <c r="M241" s="26">
        <v>2081</v>
      </c>
      <c r="N241" s="26">
        <v>21.69</v>
      </c>
      <c r="O241" s="26">
        <v>1180</v>
      </c>
      <c r="P241" s="26">
        <v>2360</v>
      </c>
      <c r="Q241" s="26">
        <v>2393</v>
      </c>
      <c r="R241" s="26">
        <v>228</v>
      </c>
      <c r="S241" s="26">
        <v>4.5</v>
      </c>
      <c r="T241" s="26">
        <v>178</v>
      </c>
      <c r="U241" s="26">
        <v>342</v>
      </c>
      <c r="V241" s="26">
        <v>356</v>
      </c>
      <c r="W241" s="26">
        <v>76.2</v>
      </c>
      <c r="X241" s="26">
        <v>1600474</v>
      </c>
      <c r="Y241" s="26">
        <v>12548</v>
      </c>
      <c r="Z241" s="26">
        <v>334</v>
      </c>
      <c r="AA241" s="40" t="s">
        <v>122</v>
      </c>
      <c r="AB241" s="40" t="s">
        <v>122</v>
      </c>
      <c r="AC241" s="104">
        <f t="shared" si="4"/>
        <v>51.739999999999995</v>
      </c>
    </row>
    <row r="242" spans="1:29" x14ac:dyDescent="0.25">
      <c r="A242" s="26" t="s">
        <v>815</v>
      </c>
      <c r="B242" s="26">
        <v>535</v>
      </c>
      <c r="C242" s="26">
        <v>166</v>
      </c>
      <c r="D242" s="26">
        <v>16.5</v>
      </c>
      <c r="E242" s="26">
        <v>464</v>
      </c>
      <c r="F242" s="26">
        <v>10.3</v>
      </c>
      <c r="G242" s="26">
        <v>22.2</v>
      </c>
      <c r="H242" s="26">
        <v>5.04</v>
      </c>
      <c r="I242" s="26">
        <v>45.1</v>
      </c>
      <c r="J242" s="26">
        <v>107.7</v>
      </c>
      <c r="K242" s="26">
        <v>84.8</v>
      </c>
      <c r="L242" s="26">
        <v>48699</v>
      </c>
      <c r="M242" s="26">
        <v>1819</v>
      </c>
      <c r="N242" s="26">
        <v>21.23</v>
      </c>
      <c r="O242" s="26">
        <v>1057</v>
      </c>
      <c r="P242" s="26">
        <v>2114</v>
      </c>
      <c r="Q242" s="26">
        <v>1274</v>
      </c>
      <c r="R242" s="26">
        <v>153</v>
      </c>
      <c r="S242" s="26">
        <v>3.43</v>
      </c>
      <c r="T242" s="26">
        <v>121</v>
      </c>
      <c r="U242" s="26">
        <v>230</v>
      </c>
      <c r="V242" s="26">
        <v>243</v>
      </c>
      <c r="W242" s="26">
        <v>73.7</v>
      </c>
      <c r="X242" s="26">
        <v>856629</v>
      </c>
      <c r="Y242" s="26">
        <v>13514</v>
      </c>
      <c r="Z242" s="26">
        <v>276</v>
      </c>
      <c r="AA242" s="40" t="s">
        <v>122</v>
      </c>
      <c r="AB242" s="40" t="s">
        <v>122</v>
      </c>
      <c r="AC242" s="104">
        <f t="shared" si="4"/>
        <v>51.85</v>
      </c>
    </row>
    <row r="243" spans="1:29" x14ac:dyDescent="0.25">
      <c r="A243" s="26" t="s">
        <v>816</v>
      </c>
      <c r="B243" s="26">
        <v>529</v>
      </c>
      <c r="C243" s="26">
        <v>166</v>
      </c>
      <c r="D243" s="26">
        <v>13.6</v>
      </c>
      <c r="E243" s="26">
        <v>464</v>
      </c>
      <c r="F243" s="26">
        <v>9.6999999999999993</v>
      </c>
      <c r="G243" s="26">
        <v>22.2</v>
      </c>
      <c r="H243" s="26">
        <v>6.1</v>
      </c>
      <c r="I243" s="26">
        <v>48</v>
      </c>
      <c r="J243" s="26">
        <v>94.84</v>
      </c>
      <c r="K243" s="26">
        <v>74.400000000000006</v>
      </c>
      <c r="L243" s="26">
        <v>40957</v>
      </c>
      <c r="M243" s="26">
        <v>1549</v>
      </c>
      <c r="N243" s="26">
        <v>20.78</v>
      </c>
      <c r="O243" s="26">
        <v>901</v>
      </c>
      <c r="P243" s="26">
        <v>1803</v>
      </c>
      <c r="Q243" s="26">
        <v>1036</v>
      </c>
      <c r="R243" s="26">
        <v>125</v>
      </c>
      <c r="S243" s="26">
        <v>3.3</v>
      </c>
      <c r="T243" s="26">
        <v>100</v>
      </c>
      <c r="U243" s="26">
        <v>188</v>
      </c>
      <c r="V243" s="26">
        <v>200</v>
      </c>
      <c r="W243" s="26">
        <v>47.5</v>
      </c>
      <c r="X243" s="26">
        <v>690137</v>
      </c>
      <c r="Y243" s="26">
        <v>11928</v>
      </c>
      <c r="Z243" s="26">
        <v>475</v>
      </c>
      <c r="AA243" s="40" t="s">
        <v>122</v>
      </c>
      <c r="AB243" s="40" t="s">
        <v>122</v>
      </c>
      <c r="AC243" s="104">
        <f t="shared" si="4"/>
        <v>51.54</v>
      </c>
    </row>
    <row r="244" spans="1:29" x14ac:dyDescent="0.25">
      <c r="A244" s="26" t="s">
        <v>817</v>
      </c>
      <c r="B244" s="26">
        <v>525</v>
      </c>
      <c r="C244" s="26">
        <v>165</v>
      </c>
      <c r="D244" s="26">
        <v>11.4</v>
      </c>
      <c r="E244" s="26">
        <v>464</v>
      </c>
      <c r="F244" s="26">
        <v>8.9</v>
      </c>
      <c r="G244" s="26">
        <v>22.2</v>
      </c>
      <c r="H244" s="26">
        <v>7.22</v>
      </c>
      <c r="I244" s="26">
        <v>52.1</v>
      </c>
      <c r="J244" s="26">
        <v>83.87</v>
      </c>
      <c r="K244" s="26">
        <v>65.5</v>
      </c>
      <c r="L244" s="26">
        <v>35088</v>
      </c>
      <c r="M244" s="26">
        <v>1337</v>
      </c>
      <c r="N244" s="26">
        <v>20.47</v>
      </c>
      <c r="O244" s="26">
        <v>782</v>
      </c>
      <c r="P244" s="26">
        <v>1563</v>
      </c>
      <c r="Q244" s="26">
        <v>862</v>
      </c>
      <c r="R244" s="26">
        <v>104</v>
      </c>
      <c r="S244" s="26">
        <v>3.2</v>
      </c>
      <c r="T244" s="26">
        <v>84</v>
      </c>
      <c r="U244" s="26">
        <v>156</v>
      </c>
      <c r="V244" s="26">
        <v>167</v>
      </c>
      <c r="W244" s="26">
        <v>32</v>
      </c>
      <c r="X244" s="26">
        <v>566611</v>
      </c>
      <c r="Y244" s="26">
        <v>10687</v>
      </c>
      <c r="Z244" s="26">
        <v>770</v>
      </c>
      <c r="AA244" s="40" t="s">
        <v>122</v>
      </c>
      <c r="AB244" s="40" t="s">
        <v>122</v>
      </c>
      <c r="AC244" s="104">
        <f t="shared" si="4"/>
        <v>51.36</v>
      </c>
    </row>
    <row r="245" spans="1:29" x14ac:dyDescent="0.25">
      <c r="A245" s="26" t="s">
        <v>818</v>
      </c>
      <c r="B245" s="26">
        <v>567</v>
      </c>
      <c r="C245" s="26">
        <v>305</v>
      </c>
      <c r="D245" s="26">
        <v>69.599999999999994</v>
      </c>
      <c r="E245" s="26">
        <v>394</v>
      </c>
      <c r="F245" s="26">
        <v>38.6</v>
      </c>
      <c r="G245" s="26">
        <v>30.2</v>
      </c>
      <c r="H245" s="26">
        <v>2.19</v>
      </c>
      <c r="I245" s="26">
        <v>10.199999999999999</v>
      </c>
      <c r="J245" s="26">
        <v>590.29999999999995</v>
      </c>
      <c r="K245" s="26">
        <v>462.8</v>
      </c>
      <c r="L245" s="26">
        <v>289697</v>
      </c>
      <c r="M245" s="26">
        <v>10226</v>
      </c>
      <c r="N245" s="26">
        <v>22.15</v>
      </c>
      <c r="O245" s="26">
        <v>6170</v>
      </c>
      <c r="P245" s="26">
        <v>12339</v>
      </c>
      <c r="Q245" s="26">
        <v>33090</v>
      </c>
      <c r="R245" s="26">
        <v>2163</v>
      </c>
      <c r="S245" s="26">
        <v>7.49</v>
      </c>
      <c r="T245" s="26">
        <v>1696</v>
      </c>
      <c r="U245" s="26">
        <v>3245</v>
      </c>
      <c r="V245" s="26">
        <v>3392</v>
      </c>
      <c r="W245" s="26">
        <v>7367</v>
      </c>
      <c r="X245" s="26">
        <v>20328165</v>
      </c>
      <c r="Y245" s="26">
        <v>56261</v>
      </c>
      <c r="Z245" s="26">
        <v>0.8</v>
      </c>
      <c r="AA245" s="40" t="s">
        <v>122</v>
      </c>
      <c r="AB245" s="40" t="s">
        <v>122</v>
      </c>
      <c r="AC245" s="104">
        <f t="shared" si="4"/>
        <v>49.739999999999995</v>
      </c>
    </row>
    <row r="246" spans="1:29" x14ac:dyDescent="0.25">
      <c r="A246" s="26" t="s">
        <v>819</v>
      </c>
      <c r="B246" s="26">
        <v>555</v>
      </c>
      <c r="C246" s="26">
        <v>302</v>
      </c>
      <c r="D246" s="26">
        <v>63.5</v>
      </c>
      <c r="E246" s="26">
        <v>394</v>
      </c>
      <c r="F246" s="26">
        <v>35.6</v>
      </c>
      <c r="G246" s="26">
        <v>30.2</v>
      </c>
      <c r="H246" s="26">
        <v>2.38</v>
      </c>
      <c r="I246" s="26">
        <v>11.1</v>
      </c>
      <c r="J246" s="26">
        <v>536.79999999999995</v>
      </c>
      <c r="K246" s="26">
        <v>421.2</v>
      </c>
      <c r="L246" s="26">
        <v>256399</v>
      </c>
      <c r="M246" s="26">
        <v>9242</v>
      </c>
      <c r="N246" s="26">
        <v>21.87</v>
      </c>
      <c r="O246" s="26">
        <v>5539</v>
      </c>
      <c r="P246" s="26">
        <v>11078</v>
      </c>
      <c r="Q246" s="26">
        <v>29303</v>
      </c>
      <c r="R246" s="26">
        <v>1934</v>
      </c>
      <c r="S246" s="26">
        <v>7.39</v>
      </c>
      <c r="T246" s="26">
        <v>1516</v>
      </c>
      <c r="U246" s="26">
        <v>2901</v>
      </c>
      <c r="V246" s="26">
        <v>3032</v>
      </c>
      <c r="W246" s="26">
        <v>5619</v>
      </c>
      <c r="X246" s="26">
        <v>17615953</v>
      </c>
      <c r="Y246" s="26">
        <v>51849</v>
      </c>
      <c r="Z246" s="26">
        <v>1.0900000000000001</v>
      </c>
      <c r="AA246" s="40" t="s">
        <v>122</v>
      </c>
      <c r="AB246" s="40" t="s">
        <v>122</v>
      </c>
      <c r="AC246" s="104">
        <f t="shared" si="4"/>
        <v>49.15</v>
      </c>
    </row>
    <row r="247" spans="1:29" x14ac:dyDescent="0.25">
      <c r="A247" s="26" t="s">
        <v>820</v>
      </c>
      <c r="B247" s="26">
        <v>545</v>
      </c>
      <c r="C247" s="26">
        <v>299</v>
      </c>
      <c r="D247" s="26">
        <v>58.4</v>
      </c>
      <c r="E247" s="26">
        <v>394</v>
      </c>
      <c r="F247" s="26">
        <v>32.5</v>
      </c>
      <c r="G247" s="26">
        <v>28.6</v>
      </c>
      <c r="H247" s="26">
        <v>2.56</v>
      </c>
      <c r="I247" s="26">
        <v>12.1</v>
      </c>
      <c r="J247" s="26">
        <v>489.7</v>
      </c>
      <c r="K247" s="26">
        <v>383.9</v>
      </c>
      <c r="L247" s="26">
        <v>229344</v>
      </c>
      <c r="M247" s="26">
        <v>8423</v>
      </c>
      <c r="N247" s="26">
        <v>21.67</v>
      </c>
      <c r="O247" s="26">
        <v>5006</v>
      </c>
      <c r="P247" s="26">
        <v>10012</v>
      </c>
      <c r="Q247" s="26">
        <v>26139</v>
      </c>
      <c r="R247" s="26">
        <v>1753</v>
      </c>
      <c r="S247" s="26">
        <v>7.32</v>
      </c>
      <c r="T247" s="26">
        <v>1360</v>
      </c>
      <c r="U247" s="26">
        <v>2630</v>
      </c>
      <c r="V247" s="26">
        <v>2720</v>
      </c>
      <c r="W247" s="26">
        <v>4329</v>
      </c>
      <c r="X247" s="26">
        <v>15413959</v>
      </c>
      <c r="Y247" s="26">
        <v>47712</v>
      </c>
      <c r="Z247" s="26">
        <v>1.49</v>
      </c>
      <c r="AA247" s="40" t="s">
        <v>122</v>
      </c>
      <c r="AB247" s="40" t="s">
        <v>122</v>
      </c>
      <c r="AC247" s="104">
        <f t="shared" si="4"/>
        <v>48.660000000000004</v>
      </c>
    </row>
    <row r="248" spans="1:29" x14ac:dyDescent="0.25">
      <c r="A248" s="26" t="s">
        <v>821</v>
      </c>
      <c r="B248" s="26">
        <v>535</v>
      </c>
      <c r="C248" s="26">
        <v>296</v>
      </c>
      <c r="D248" s="26">
        <v>53.6</v>
      </c>
      <c r="E248" s="26">
        <v>394</v>
      </c>
      <c r="F248" s="26">
        <v>29.5</v>
      </c>
      <c r="G248" s="26">
        <v>25.4</v>
      </c>
      <c r="H248" s="26">
        <v>2.76</v>
      </c>
      <c r="I248" s="26">
        <v>13.4</v>
      </c>
      <c r="J248" s="26">
        <v>443.9</v>
      </c>
      <c r="K248" s="26">
        <v>348.2</v>
      </c>
      <c r="L248" s="26">
        <v>203953</v>
      </c>
      <c r="M248" s="26">
        <v>7636</v>
      </c>
      <c r="N248" s="26">
        <v>21.44</v>
      </c>
      <c r="O248" s="26">
        <v>4498</v>
      </c>
      <c r="P248" s="26">
        <v>8996</v>
      </c>
      <c r="Q248" s="26">
        <v>23226</v>
      </c>
      <c r="R248" s="26">
        <v>1570</v>
      </c>
      <c r="S248" s="26">
        <v>7.24</v>
      </c>
      <c r="T248" s="26">
        <v>1221</v>
      </c>
      <c r="U248" s="26">
        <v>2355</v>
      </c>
      <c r="V248" s="26">
        <v>2442</v>
      </c>
      <c r="W248" s="26">
        <v>3317</v>
      </c>
      <c r="X248" s="26">
        <v>13399940</v>
      </c>
      <c r="Y248" s="26">
        <v>43851</v>
      </c>
      <c r="Z248" s="26">
        <v>2.04</v>
      </c>
      <c r="AA248" s="40" t="s">
        <v>122</v>
      </c>
      <c r="AB248" s="40" t="s">
        <v>122</v>
      </c>
      <c r="AC248" s="104">
        <f t="shared" si="4"/>
        <v>48.14</v>
      </c>
    </row>
    <row r="249" spans="1:29" x14ac:dyDescent="0.25">
      <c r="A249" s="26" t="s">
        <v>822</v>
      </c>
      <c r="B249" s="26">
        <v>525</v>
      </c>
      <c r="C249" s="26">
        <v>293</v>
      </c>
      <c r="D249" s="26">
        <v>48.5</v>
      </c>
      <c r="E249" s="26">
        <v>394</v>
      </c>
      <c r="F249" s="26">
        <v>26.9</v>
      </c>
      <c r="G249" s="26">
        <v>25.4</v>
      </c>
      <c r="H249" s="26">
        <v>3.02</v>
      </c>
      <c r="I249" s="26">
        <v>14.6</v>
      </c>
      <c r="J249" s="26">
        <v>400.6</v>
      </c>
      <c r="K249" s="26">
        <v>314</v>
      </c>
      <c r="L249" s="26">
        <v>180228</v>
      </c>
      <c r="M249" s="26">
        <v>6866</v>
      </c>
      <c r="N249" s="26">
        <v>21.21</v>
      </c>
      <c r="O249" s="26">
        <v>4015</v>
      </c>
      <c r="P249" s="26">
        <v>8030</v>
      </c>
      <c r="Q249" s="26">
        <v>20520</v>
      </c>
      <c r="R249" s="26">
        <v>1398</v>
      </c>
      <c r="S249" s="26">
        <v>7.16</v>
      </c>
      <c r="T249" s="26">
        <v>1082</v>
      </c>
      <c r="U249" s="26">
        <v>2097</v>
      </c>
      <c r="V249" s="26">
        <v>2163</v>
      </c>
      <c r="W249" s="26">
        <v>2468</v>
      </c>
      <c r="X249" s="26">
        <v>11600749</v>
      </c>
      <c r="Y249" s="26">
        <v>39990</v>
      </c>
      <c r="Z249" s="26">
        <v>2.95</v>
      </c>
      <c r="AA249" s="40" t="s">
        <v>122</v>
      </c>
      <c r="AB249" s="40" t="s">
        <v>122</v>
      </c>
      <c r="AC249" s="104">
        <f t="shared" si="4"/>
        <v>47.65</v>
      </c>
    </row>
    <row r="250" spans="1:29" x14ac:dyDescent="0.25">
      <c r="A250" s="26" t="s">
        <v>823</v>
      </c>
      <c r="B250" s="26">
        <v>517</v>
      </c>
      <c r="C250" s="26">
        <v>291</v>
      </c>
      <c r="D250" s="26">
        <v>44.5</v>
      </c>
      <c r="E250" s="26">
        <v>394</v>
      </c>
      <c r="F250" s="26">
        <v>24.4</v>
      </c>
      <c r="G250" s="26">
        <v>23.8</v>
      </c>
      <c r="H250" s="26">
        <v>3.27</v>
      </c>
      <c r="I250" s="26">
        <v>16.100000000000001</v>
      </c>
      <c r="J250" s="26">
        <v>363.9</v>
      </c>
      <c r="K250" s="26">
        <v>285.7</v>
      </c>
      <c r="L250" s="26">
        <v>161082</v>
      </c>
      <c r="M250" s="26">
        <v>6227</v>
      </c>
      <c r="N250" s="26">
        <v>21.03</v>
      </c>
      <c r="O250" s="26">
        <v>3622</v>
      </c>
      <c r="P250" s="26">
        <v>7243</v>
      </c>
      <c r="Q250" s="26">
        <v>18314</v>
      </c>
      <c r="R250" s="26">
        <v>1259</v>
      </c>
      <c r="S250" s="26">
        <v>7.09</v>
      </c>
      <c r="T250" s="26">
        <v>975</v>
      </c>
      <c r="U250" s="26">
        <v>1888</v>
      </c>
      <c r="V250" s="26">
        <v>1950</v>
      </c>
      <c r="W250" s="26">
        <v>1881</v>
      </c>
      <c r="X250" s="26">
        <v>10177509</v>
      </c>
      <c r="Y250" s="26">
        <v>36680</v>
      </c>
      <c r="Z250" s="26">
        <v>4.08</v>
      </c>
      <c r="AA250" s="40" t="s">
        <v>122</v>
      </c>
      <c r="AB250" s="40" t="s">
        <v>122</v>
      </c>
      <c r="AC250" s="104">
        <f t="shared" si="4"/>
        <v>47.25</v>
      </c>
    </row>
    <row r="251" spans="1:29" x14ac:dyDescent="0.25">
      <c r="A251" s="26" t="s">
        <v>824</v>
      </c>
      <c r="B251" s="26">
        <v>509</v>
      </c>
      <c r="C251" s="26">
        <v>289</v>
      </c>
      <c r="D251" s="26">
        <v>40.4</v>
      </c>
      <c r="E251" s="26">
        <v>394</v>
      </c>
      <c r="F251" s="26">
        <v>22.6</v>
      </c>
      <c r="G251" s="26">
        <v>22.2</v>
      </c>
      <c r="H251" s="26">
        <v>3.58</v>
      </c>
      <c r="I251" s="26">
        <v>17.399999999999999</v>
      </c>
      <c r="J251" s="26">
        <v>331</v>
      </c>
      <c r="K251" s="26">
        <v>260.39999999999998</v>
      </c>
      <c r="L251" s="26">
        <v>143600</v>
      </c>
      <c r="M251" s="26">
        <v>5637</v>
      </c>
      <c r="N251" s="26">
        <v>20.83</v>
      </c>
      <c r="O251" s="26">
        <v>3261</v>
      </c>
      <c r="P251" s="26">
        <v>6522</v>
      </c>
      <c r="Q251" s="26">
        <v>16275</v>
      </c>
      <c r="R251" s="26">
        <v>1127</v>
      </c>
      <c r="S251" s="26">
        <v>7.01</v>
      </c>
      <c r="T251" s="26">
        <v>869</v>
      </c>
      <c r="U251" s="26">
        <v>1691</v>
      </c>
      <c r="V251" s="26">
        <v>1737</v>
      </c>
      <c r="W251" s="26">
        <v>1424</v>
      </c>
      <c r="X251" s="26">
        <v>8915391</v>
      </c>
      <c r="Y251" s="26">
        <v>33577</v>
      </c>
      <c r="Z251" s="26">
        <v>5.76</v>
      </c>
      <c r="AA251" s="40" t="s">
        <v>122</v>
      </c>
      <c r="AB251" s="40" t="s">
        <v>122</v>
      </c>
      <c r="AC251" s="104">
        <f t="shared" si="4"/>
        <v>46.86</v>
      </c>
    </row>
    <row r="252" spans="1:29" x14ac:dyDescent="0.25">
      <c r="A252" s="26" t="s">
        <v>825</v>
      </c>
      <c r="B252" s="26">
        <v>501</v>
      </c>
      <c r="C252" s="26">
        <v>287</v>
      </c>
      <c r="D252" s="26">
        <v>36.6</v>
      </c>
      <c r="E252" s="26">
        <v>394</v>
      </c>
      <c r="F252" s="26">
        <v>20.6</v>
      </c>
      <c r="G252" s="26">
        <v>22.2</v>
      </c>
      <c r="H252" s="26">
        <v>3.92</v>
      </c>
      <c r="I252" s="26">
        <v>19.100000000000001</v>
      </c>
      <c r="J252" s="26">
        <v>298.7</v>
      </c>
      <c r="K252" s="26">
        <v>235.1</v>
      </c>
      <c r="L252" s="26">
        <v>127367</v>
      </c>
      <c r="M252" s="26">
        <v>5080</v>
      </c>
      <c r="N252" s="26">
        <v>20.62</v>
      </c>
      <c r="O252" s="26">
        <v>2917</v>
      </c>
      <c r="P252" s="26">
        <v>5834</v>
      </c>
      <c r="Q252" s="26">
        <v>14443</v>
      </c>
      <c r="R252" s="26">
        <v>1006</v>
      </c>
      <c r="S252" s="26">
        <v>6.96</v>
      </c>
      <c r="T252" s="26">
        <v>777</v>
      </c>
      <c r="U252" s="26">
        <v>1509</v>
      </c>
      <c r="V252" s="26">
        <v>1553</v>
      </c>
      <c r="W252" s="26">
        <v>1057</v>
      </c>
      <c r="X252" s="26">
        <v>7760687</v>
      </c>
      <c r="Y252" s="26">
        <v>30544</v>
      </c>
      <c r="Z252" s="26">
        <v>8.33</v>
      </c>
      <c r="AA252" s="40" t="s">
        <v>122</v>
      </c>
      <c r="AB252" s="40" t="s">
        <v>122</v>
      </c>
      <c r="AC252" s="104">
        <f t="shared" si="4"/>
        <v>46.44</v>
      </c>
    </row>
    <row r="253" spans="1:29" x14ac:dyDescent="0.25">
      <c r="A253" s="26" t="s">
        <v>826</v>
      </c>
      <c r="B253" s="26">
        <v>495</v>
      </c>
      <c r="C253" s="26">
        <v>285</v>
      </c>
      <c r="D253" s="26">
        <v>33.5</v>
      </c>
      <c r="E253" s="26">
        <v>394</v>
      </c>
      <c r="F253" s="26">
        <v>18.5</v>
      </c>
      <c r="G253" s="26">
        <v>20.6</v>
      </c>
      <c r="H253" s="26">
        <v>4.25</v>
      </c>
      <c r="I253" s="26">
        <v>21.2</v>
      </c>
      <c r="J253" s="26">
        <v>271.60000000000002</v>
      </c>
      <c r="K253" s="26">
        <v>212.8</v>
      </c>
      <c r="L253" s="26">
        <v>114464</v>
      </c>
      <c r="M253" s="26">
        <v>4621</v>
      </c>
      <c r="N253" s="26">
        <v>20.55</v>
      </c>
      <c r="O253" s="26">
        <v>2638</v>
      </c>
      <c r="P253" s="26">
        <v>5277</v>
      </c>
      <c r="Q253" s="26">
        <v>12945</v>
      </c>
      <c r="R253" s="26">
        <v>909</v>
      </c>
      <c r="S253" s="26">
        <v>6.91</v>
      </c>
      <c r="T253" s="26">
        <v>700</v>
      </c>
      <c r="U253" s="26">
        <v>1364</v>
      </c>
      <c r="V253" s="26">
        <v>1399</v>
      </c>
      <c r="W253" s="26">
        <v>807</v>
      </c>
      <c r="X253" s="26">
        <v>6901372</v>
      </c>
      <c r="Y253" s="26">
        <v>27993</v>
      </c>
      <c r="Z253" s="26">
        <v>11.7</v>
      </c>
      <c r="AA253" s="40" t="s">
        <v>122</v>
      </c>
      <c r="AB253" s="40" t="s">
        <v>122</v>
      </c>
      <c r="AC253" s="104">
        <f t="shared" si="4"/>
        <v>46.15</v>
      </c>
    </row>
    <row r="254" spans="1:29" x14ac:dyDescent="0.25">
      <c r="A254" s="26" t="s">
        <v>827</v>
      </c>
      <c r="B254" s="26">
        <v>489</v>
      </c>
      <c r="C254" s="26">
        <v>283</v>
      </c>
      <c r="D254" s="26">
        <v>30.5</v>
      </c>
      <c r="E254" s="26">
        <v>394</v>
      </c>
      <c r="F254" s="26">
        <v>17</v>
      </c>
      <c r="G254" s="26">
        <v>20.6</v>
      </c>
      <c r="H254" s="26">
        <v>4.6500000000000004</v>
      </c>
      <c r="I254" s="26">
        <v>23.1</v>
      </c>
      <c r="J254" s="26">
        <v>246.5</v>
      </c>
      <c r="K254" s="26">
        <v>193</v>
      </c>
      <c r="L254" s="26">
        <v>102393</v>
      </c>
      <c r="M254" s="26">
        <v>4195</v>
      </c>
      <c r="N254" s="26">
        <v>20.399999999999999</v>
      </c>
      <c r="O254" s="26">
        <v>2384</v>
      </c>
      <c r="P254" s="26">
        <v>4769</v>
      </c>
      <c r="Q254" s="26">
        <v>11571</v>
      </c>
      <c r="R254" s="26">
        <v>818</v>
      </c>
      <c r="S254" s="26">
        <v>6.86</v>
      </c>
      <c r="T254" s="26">
        <v>628</v>
      </c>
      <c r="U254" s="26">
        <v>1227</v>
      </c>
      <c r="V254" s="26">
        <v>1257</v>
      </c>
      <c r="W254" s="26">
        <v>612</v>
      </c>
      <c r="X254" s="26">
        <v>6095764</v>
      </c>
      <c r="Y254" s="26">
        <v>25580</v>
      </c>
      <c r="Z254" s="26">
        <v>16.600000000000001</v>
      </c>
      <c r="AA254" s="40" t="s">
        <v>122</v>
      </c>
      <c r="AB254" s="40" t="s">
        <v>122</v>
      </c>
      <c r="AC254" s="104">
        <f t="shared" si="4"/>
        <v>45.85</v>
      </c>
    </row>
    <row r="255" spans="1:29" x14ac:dyDescent="0.25">
      <c r="A255" s="26" t="s">
        <v>828</v>
      </c>
      <c r="B255" s="26">
        <v>482</v>
      </c>
      <c r="C255" s="26">
        <v>286</v>
      </c>
      <c r="D255" s="26">
        <v>26.9</v>
      </c>
      <c r="E255" s="26">
        <v>394</v>
      </c>
      <c r="F255" s="26">
        <v>16.600000000000001</v>
      </c>
      <c r="G255" s="26">
        <v>23.8</v>
      </c>
      <c r="H255" s="26">
        <v>5.31</v>
      </c>
      <c r="I255" s="26">
        <v>23.7</v>
      </c>
      <c r="J255" s="26">
        <v>226.5</v>
      </c>
      <c r="K255" s="26">
        <v>177</v>
      </c>
      <c r="L255" s="26">
        <v>91155</v>
      </c>
      <c r="M255" s="26">
        <v>3785</v>
      </c>
      <c r="N255" s="26">
        <v>20.07</v>
      </c>
      <c r="O255" s="26">
        <v>2139</v>
      </c>
      <c r="P255" s="26">
        <v>4277</v>
      </c>
      <c r="Q255" s="26">
        <v>10531</v>
      </c>
      <c r="R255" s="26">
        <v>736</v>
      </c>
      <c r="S255" s="26">
        <v>6.83</v>
      </c>
      <c r="T255" s="26">
        <v>566</v>
      </c>
      <c r="U255" s="26">
        <v>1104</v>
      </c>
      <c r="V255" s="26">
        <v>1132</v>
      </c>
      <c r="W255" s="26">
        <v>441</v>
      </c>
      <c r="X255" s="26">
        <v>5451278</v>
      </c>
      <c r="Y255" s="26">
        <v>23028</v>
      </c>
      <c r="Z255" s="26">
        <v>25.5</v>
      </c>
      <c r="AA255" s="40" t="s">
        <v>122</v>
      </c>
      <c r="AB255" s="40" t="s">
        <v>122</v>
      </c>
      <c r="AC255" s="104">
        <f t="shared" si="4"/>
        <v>45.510000000000005</v>
      </c>
    </row>
    <row r="256" spans="1:29" x14ac:dyDescent="0.25">
      <c r="A256" s="26" t="s">
        <v>829</v>
      </c>
      <c r="B256" s="26">
        <v>476</v>
      </c>
      <c r="C256" s="26">
        <v>284</v>
      </c>
      <c r="D256" s="26">
        <v>23.9</v>
      </c>
      <c r="E256" s="26">
        <v>394</v>
      </c>
      <c r="F256" s="26">
        <v>15</v>
      </c>
      <c r="G256" s="26">
        <v>23.8</v>
      </c>
      <c r="H256" s="26">
        <v>5.96</v>
      </c>
      <c r="I256" s="26">
        <v>26.3</v>
      </c>
      <c r="J256" s="26">
        <v>200.6</v>
      </c>
      <c r="K256" s="26">
        <v>157.69999999999999</v>
      </c>
      <c r="L256" s="26">
        <v>79500</v>
      </c>
      <c r="M256" s="26">
        <v>3343</v>
      </c>
      <c r="N256" s="26">
        <v>19.91</v>
      </c>
      <c r="O256" s="26">
        <v>1885</v>
      </c>
      <c r="P256" s="26">
        <v>3769</v>
      </c>
      <c r="Q256" s="26">
        <v>9157</v>
      </c>
      <c r="R256" s="26">
        <v>646</v>
      </c>
      <c r="S256" s="26">
        <v>6.76</v>
      </c>
      <c r="T256" s="26">
        <v>496</v>
      </c>
      <c r="U256" s="26">
        <v>968</v>
      </c>
      <c r="V256" s="26">
        <v>991</v>
      </c>
      <c r="W256" s="26">
        <v>311</v>
      </c>
      <c r="X256" s="26">
        <v>4672524</v>
      </c>
      <c r="Y256" s="26">
        <v>20615</v>
      </c>
      <c r="Z256" s="26">
        <v>39.5</v>
      </c>
      <c r="AA256" s="40" t="s">
        <v>122</v>
      </c>
      <c r="AB256" s="40" t="s">
        <v>122</v>
      </c>
      <c r="AC256" s="104">
        <f t="shared" si="4"/>
        <v>45.21</v>
      </c>
    </row>
    <row r="257" spans="1:29" x14ac:dyDescent="0.25">
      <c r="A257" s="26" t="s">
        <v>830</v>
      </c>
      <c r="B257" s="26">
        <v>472</v>
      </c>
      <c r="C257" s="26">
        <v>283</v>
      </c>
      <c r="D257" s="26">
        <v>22.1</v>
      </c>
      <c r="E257" s="26">
        <v>394</v>
      </c>
      <c r="F257" s="26">
        <v>13.6</v>
      </c>
      <c r="G257" s="26">
        <v>22.2</v>
      </c>
      <c r="H257" s="26">
        <v>6.41</v>
      </c>
      <c r="I257" s="26">
        <v>29</v>
      </c>
      <c r="J257" s="26">
        <v>183.9</v>
      </c>
      <c r="K257" s="26">
        <v>144.4</v>
      </c>
      <c r="L257" s="26">
        <v>72840</v>
      </c>
      <c r="M257" s="26">
        <v>3081</v>
      </c>
      <c r="N257" s="26">
        <v>19.86</v>
      </c>
      <c r="O257" s="26">
        <v>1729</v>
      </c>
      <c r="P257" s="26">
        <v>3458</v>
      </c>
      <c r="Q257" s="26">
        <v>8366</v>
      </c>
      <c r="R257" s="26">
        <v>592</v>
      </c>
      <c r="S257" s="26">
        <v>6.73</v>
      </c>
      <c r="T257" s="26">
        <v>453</v>
      </c>
      <c r="U257" s="26">
        <v>887</v>
      </c>
      <c r="V257" s="26">
        <v>906</v>
      </c>
      <c r="W257" s="26">
        <v>244</v>
      </c>
      <c r="X257" s="26">
        <v>4242867</v>
      </c>
      <c r="Y257" s="26">
        <v>18961</v>
      </c>
      <c r="Z257" s="26">
        <v>54.3</v>
      </c>
      <c r="AA257" s="40" t="s">
        <v>122</v>
      </c>
      <c r="AB257" s="40" t="s">
        <v>122</v>
      </c>
      <c r="AC257" s="104">
        <f t="shared" si="4"/>
        <v>44.989999999999995</v>
      </c>
    </row>
    <row r="258" spans="1:29" x14ac:dyDescent="0.25">
      <c r="A258" s="26" t="s">
        <v>831</v>
      </c>
      <c r="B258" s="26">
        <v>467</v>
      </c>
      <c r="C258" s="26">
        <v>282</v>
      </c>
      <c r="D258" s="26">
        <v>19.600000000000001</v>
      </c>
      <c r="E258" s="26">
        <v>394</v>
      </c>
      <c r="F258" s="26">
        <v>12.2</v>
      </c>
      <c r="G258" s="26">
        <v>22.2</v>
      </c>
      <c r="H258" s="26">
        <v>7.2</v>
      </c>
      <c r="I258" s="26">
        <v>32.299999999999997</v>
      </c>
      <c r="J258" s="26">
        <v>163.19999999999999</v>
      </c>
      <c r="K258" s="26">
        <v>128</v>
      </c>
      <c r="L258" s="26">
        <v>63683</v>
      </c>
      <c r="M258" s="26">
        <v>2720</v>
      </c>
      <c r="N258" s="26">
        <v>19.739999999999998</v>
      </c>
      <c r="O258" s="26">
        <v>1524</v>
      </c>
      <c r="P258" s="26">
        <v>3048</v>
      </c>
      <c r="Q258" s="26">
        <v>7284</v>
      </c>
      <c r="R258" s="26">
        <v>518</v>
      </c>
      <c r="S258" s="26">
        <v>6.68</v>
      </c>
      <c r="T258" s="26">
        <v>397</v>
      </c>
      <c r="U258" s="26">
        <v>777</v>
      </c>
      <c r="V258" s="26">
        <v>793</v>
      </c>
      <c r="W258" s="26">
        <v>171</v>
      </c>
      <c r="X258" s="26">
        <v>3652088</v>
      </c>
      <c r="Y258" s="26">
        <v>16961</v>
      </c>
      <c r="Z258" s="26">
        <v>85.4</v>
      </c>
      <c r="AA258" s="40" t="s">
        <v>122</v>
      </c>
      <c r="AB258" s="40" t="s">
        <v>122</v>
      </c>
      <c r="AC258" s="104">
        <f t="shared" si="4"/>
        <v>44.739999999999995</v>
      </c>
    </row>
    <row r="259" spans="1:29" x14ac:dyDescent="0.25">
      <c r="A259" s="26" t="s">
        <v>832</v>
      </c>
      <c r="B259" s="26">
        <v>463</v>
      </c>
      <c r="C259" s="26">
        <v>280</v>
      </c>
      <c r="D259" s="26">
        <v>17.3</v>
      </c>
      <c r="E259" s="26">
        <v>394</v>
      </c>
      <c r="F259" s="26">
        <v>10.8</v>
      </c>
      <c r="G259" s="26">
        <v>20.6</v>
      </c>
      <c r="H259" s="26">
        <v>8.11</v>
      </c>
      <c r="I259" s="26">
        <v>36.5</v>
      </c>
      <c r="J259" s="26">
        <v>143.9</v>
      </c>
      <c r="K259" s="26">
        <v>113.1</v>
      </c>
      <c r="L259" s="26">
        <v>55359</v>
      </c>
      <c r="M259" s="26">
        <v>2393</v>
      </c>
      <c r="N259" s="26">
        <v>19.63</v>
      </c>
      <c r="O259" s="26">
        <v>1336</v>
      </c>
      <c r="P259" s="26">
        <v>2671</v>
      </c>
      <c r="Q259" s="26">
        <v>6327</v>
      </c>
      <c r="R259" s="26">
        <v>452</v>
      </c>
      <c r="S259" s="26">
        <v>6.63</v>
      </c>
      <c r="T259" s="26">
        <v>346</v>
      </c>
      <c r="U259" s="26">
        <v>678</v>
      </c>
      <c r="V259" s="26">
        <v>692</v>
      </c>
      <c r="W259" s="26">
        <v>118</v>
      </c>
      <c r="X259" s="26">
        <v>3141870</v>
      </c>
      <c r="Y259" s="26">
        <v>15031</v>
      </c>
      <c r="Z259" s="26">
        <v>137</v>
      </c>
      <c r="AA259" s="40" t="s">
        <v>122</v>
      </c>
      <c r="AB259" s="40" t="s">
        <v>122</v>
      </c>
      <c r="AC259" s="104">
        <f t="shared" si="4"/>
        <v>44.57</v>
      </c>
    </row>
    <row r="260" spans="1:29" x14ac:dyDescent="0.25">
      <c r="A260" s="26" t="s">
        <v>833</v>
      </c>
      <c r="B260" s="26">
        <v>469</v>
      </c>
      <c r="C260" s="26">
        <v>194</v>
      </c>
      <c r="D260" s="26">
        <v>20.6</v>
      </c>
      <c r="E260" s="26">
        <v>394</v>
      </c>
      <c r="F260" s="26">
        <v>12.6</v>
      </c>
      <c r="G260" s="26">
        <v>22.2</v>
      </c>
      <c r="H260" s="26">
        <v>4.71</v>
      </c>
      <c r="I260" s="26">
        <v>31.3</v>
      </c>
      <c r="J260" s="26">
        <v>134.19999999999999</v>
      </c>
      <c r="K260" s="26">
        <v>105.7</v>
      </c>
      <c r="L260" s="26">
        <v>48699</v>
      </c>
      <c r="M260" s="26">
        <v>2081</v>
      </c>
      <c r="N260" s="26">
        <v>19.05</v>
      </c>
      <c r="O260" s="26">
        <v>1188</v>
      </c>
      <c r="P260" s="26">
        <v>2376</v>
      </c>
      <c r="Q260" s="26">
        <v>2510</v>
      </c>
      <c r="R260" s="26">
        <v>259</v>
      </c>
      <c r="S260" s="26">
        <v>4.32</v>
      </c>
      <c r="T260" s="26">
        <v>202</v>
      </c>
      <c r="U260" s="26">
        <v>388</v>
      </c>
      <c r="V260" s="26">
        <v>405</v>
      </c>
      <c r="W260" s="26">
        <v>145</v>
      </c>
      <c r="X260" s="26">
        <v>1262119</v>
      </c>
      <c r="Y260" s="26">
        <v>18478</v>
      </c>
      <c r="Z260" s="26">
        <v>69.599999999999994</v>
      </c>
      <c r="AA260" s="40" t="s">
        <v>122</v>
      </c>
      <c r="AB260" s="40" t="s">
        <v>122</v>
      </c>
      <c r="AC260" s="104">
        <f t="shared" si="4"/>
        <v>44.839999999999996</v>
      </c>
    </row>
    <row r="261" spans="1:29" x14ac:dyDescent="0.25">
      <c r="A261" s="26" t="s">
        <v>834</v>
      </c>
      <c r="B261" s="26">
        <v>466</v>
      </c>
      <c r="C261" s="26">
        <v>193</v>
      </c>
      <c r="D261" s="26">
        <v>19.100000000000001</v>
      </c>
      <c r="E261" s="26">
        <v>394</v>
      </c>
      <c r="F261" s="26">
        <v>11.4</v>
      </c>
      <c r="G261" s="26">
        <v>22.2</v>
      </c>
      <c r="H261" s="26">
        <v>5.0599999999999996</v>
      </c>
      <c r="I261" s="26">
        <v>34.4</v>
      </c>
      <c r="J261" s="26">
        <v>123.2</v>
      </c>
      <c r="K261" s="26">
        <v>96.7</v>
      </c>
      <c r="L261" s="26">
        <v>44537</v>
      </c>
      <c r="M261" s="26">
        <v>1917</v>
      </c>
      <c r="N261" s="26">
        <v>19.02</v>
      </c>
      <c r="O261" s="26">
        <v>1090</v>
      </c>
      <c r="P261" s="26">
        <v>2179</v>
      </c>
      <c r="Q261" s="26">
        <v>2281</v>
      </c>
      <c r="R261" s="26">
        <v>236</v>
      </c>
      <c r="S261" s="26">
        <v>4.29</v>
      </c>
      <c r="T261" s="26">
        <v>184</v>
      </c>
      <c r="U261" s="26">
        <v>354</v>
      </c>
      <c r="V261" s="26">
        <v>369</v>
      </c>
      <c r="W261" s="26">
        <v>114</v>
      </c>
      <c r="X261" s="26">
        <v>1138592</v>
      </c>
      <c r="Y261" s="26">
        <v>17030</v>
      </c>
      <c r="Z261" s="26">
        <v>95.5</v>
      </c>
      <c r="AA261" s="40" t="s">
        <v>122</v>
      </c>
      <c r="AB261" s="40" t="s">
        <v>122</v>
      </c>
      <c r="AC261" s="104">
        <f t="shared" ref="AC261:AC324" si="5">(B261-D261)/10</f>
        <v>44.69</v>
      </c>
    </row>
    <row r="262" spans="1:29" x14ac:dyDescent="0.25">
      <c r="A262" s="26" t="s">
        <v>835</v>
      </c>
      <c r="B262" s="26">
        <v>463</v>
      </c>
      <c r="C262" s="26">
        <v>192</v>
      </c>
      <c r="D262" s="26">
        <v>17.7</v>
      </c>
      <c r="E262" s="26">
        <v>394</v>
      </c>
      <c r="F262" s="26">
        <v>10.5</v>
      </c>
      <c r="G262" s="26">
        <v>20.6</v>
      </c>
      <c r="H262" s="26">
        <v>5.44</v>
      </c>
      <c r="I262" s="26">
        <v>37.299999999999997</v>
      </c>
      <c r="J262" s="26">
        <v>113.5</v>
      </c>
      <c r="K262" s="26">
        <v>89.3</v>
      </c>
      <c r="L262" s="26">
        <v>40957</v>
      </c>
      <c r="M262" s="26">
        <v>1770</v>
      </c>
      <c r="N262" s="26">
        <v>18.97</v>
      </c>
      <c r="O262" s="26">
        <v>1008</v>
      </c>
      <c r="P262" s="26">
        <v>2016</v>
      </c>
      <c r="Q262" s="26">
        <v>2085</v>
      </c>
      <c r="R262" s="26">
        <v>218</v>
      </c>
      <c r="S262" s="26">
        <v>4.29</v>
      </c>
      <c r="T262" s="26">
        <v>169</v>
      </c>
      <c r="U262" s="26">
        <v>327</v>
      </c>
      <c r="V262" s="26">
        <v>338</v>
      </c>
      <c r="W262" s="26">
        <v>90.3</v>
      </c>
      <c r="X262" s="26">
        <v>1033863</v>
      </c>
      <c r="Y262" s="26">
        <v>15789</v>
      </c>
      <c r="Z262" s="26">
        <v>128</v>
      </c>
      <c r="AA262" s="40" t="s">
        <v>122</v>
      </c>
      <c r="AB262" s="40" t="s">
        <v>122</v>
      </c>
      <c r="AC262" s="104">
        <f t="shared" si="5"/>
        <v>44.53</v>
      </c>
    </row>
    <row r="263" spans="1:29" x14ac:dyDescent="0.25">
      <c r="A263" s="26" t="s">
        <v>836</v>
      </c>
      <c r="B263" s="26">
        <v>460</v>
      </c>
      <c r="C263" s="26">
        <v>191</v>
      </c>
      <c r="D263" s="26">
        <v>16</v>
      </c>
      <c r="E263" s="26">
        <v>394</v>
      </c>
      <c r="F263" s="26">
        <v>9.9</v>
      </c>
      <c r="G263" s="26">
        <v>20.6</v>
      </c>
      <c r="H263" s="26">
        <v>5.98</v>
      </c>
      <c r="I263" s="26">
        <v>39.700000000000003</v>
      </c>
      <c r="J263" s="26">
        <v>104.5</v>
      </c>
      <c r="K263" s="26">
        <v>81.8</v>
      </c>
      <c r="L263" s="26">
        <v>37045</v>
      </c>
      <c r="M263" s="26">
        <v>1611</v>
      </c>
      <c r="N263" s="26">
        <v>18.82</v>
      </c>
      <c r="O263" s="26">
        <v>918</v>
      </c>
      <c r="P263" s="26">
        <v>1835</v>
      </c>
      <c r="Q263" s="26">
        <v>1869</v>
      </c>
      <c r="R263" s="26">
        <v>195</v>
      </c>
      <c r="S263" s="26">
        <v>4.24</v>
      </c>
      <c r="T263" s="26">
        <v>152</v>
      </c>
      <c r="U263" s="26">
        <v>293</v>
      </c>
      <c r="V263" s="26">
        <v>303</v>
      </c>
      <c r="W263" s="26">
        <v>69.099999999999994</v>
      </c>
      <c r="X263" s="26">
        <v>921078</v>
      </c>
      <c r="Y263" s="26">
        <v>14548</v>
      </c>
      <c r="Z263" s="26">
        <v>180</v>
      </c>
      <c r="AA263" s="40" t="s">
        <v>122</v>
      </c>
      <c r="AB263" s="40" t="s">
        <v>122</v>
      </c>
      <c r="AC263" s="104">
        <f t="shared" si="5"/>
        <v>44.4</v>
      </c>
    </row>
    <row r="264" spans="1:29" x14ac:dyDescent="0.25">
      <c r="A264" s="31" t="s">
        <v>837</v>
      </c>
      <c r="B264" s="26">
        <v>457</v>
      </c>
      <c r="C264" s="26">
        <v>190</v>
      </c>
      <c r="D264" s="26">
        <v>14.5</v>
      </c>
      <c r="E264" s="26">
        <v>394</v>
      </c>
      <c r="F264" s="26">
        <v>9</v>
      </c>
      <c r="G264" s="26">
        <v>20.6</v>
      </c>
      <c r="H264" s="26">
        <v>6.57</v>
      </c>
      <c r="I264" s="26">
        <v>43.7</v>
      </c>
      <c r="J264" s="26">
        <v>94.84</v>
      </c>
      <c r="K264" s="26">
        <v>74.400000000000006</v>
      </c>
      <c r="L264" s="26">
        <v>33299</v>
      </c>
      <c r="M264" s="26">
        <v>1457</v>
      </c>
      <c r="N264" s="26">
        <v>18.75</v>
      </c>
      <c r="O264" s="26">
        <v>828</v>
      </c>
      <c r="P264" s="26">
        <v>1655</v>
      </c>
      <c r="Q264" s="26">
        <v>1669</v>
      </c>
      <c r="R264" s="26">
        <v>175</v>
      </c>
      <c r="S264" s="26">
        <v>4.1900000000000004</v>
      </c>
      <c r="T264" s="26">
        <v>136</v>
      </c>
      <c r="U264" s="26">
        <v>263</v>
      </c>
      <c r="V264" s="26">
        <v>272</v>
      </c>
      <c r="W264" s="26">
        <v>51.6</v>
      </c>
      <c r="X264" s="26">
        <v>816349</v>
      </c>
      <c r="Y264" s="26">
        <v>13238</v>
      </c>
      <c r="Z264" s="26">
        <v>261</v>
      </c>
      <c r="AA264" s="40" t="s">
        <v>122</v>
      </c>
      <c r="AB264" s="40" t="s">
        <v>122</v>
      </c>
      <c r="AC264" s="104">
        <f t="shared" si="5"/>
        <v>44.25</v>
      </c>
    </row>
    <row r="265" spans="1:29" x14ac:dyDescent="0.25">
      <c r="A265" s="26" t="s">
        <v>838</v>
      </c>
      <c r="B265" s="26">
        <v>459</v>
      </c>
      <c r="C265" s="26">
        <v>154</v>
      </c>
      <c r="D265" s="26">
        <v>15.4</v>
      </c>
      <c r="E265" s="26">
        <v>394</v>
      </c>
      <c r="F265" s="26">
        <v>9.1</v>
      </c>
      <c r="G265" s="26">
        <v>20.6</v>
      </c>
      <c r="H265" s="26">
        <v>5.01</v>
      </c>
      <c r="I265" s="26">
        <v>43.1</v>
      </c>
      <c r="J265" s="26">
        <v>87.1</v>
      </c>
      <c r="K265" s="26">
        <v>68.5</v>
      </c>
      <c r="L265" s="26">
        <v>29636</v>
      </c>
      <c r="M265" s="26">
        <v>1291</v>
      </c>
      <c r="N265" s="26">
        <v>18.420000000000002</v>
      </c>
      <c r="O265" s="26">
        <v>743</v>
      </c>
      <c r="P265" s="26">
        <v>1486</v>
      </c>
      <c r="Q265" s="26">
        <v>937</v>
      </c>
      <c r="R265" s="26">
        <v>122</v>
      </c>
      <c r="S265" s="26">
        <v>3.28</v>
      </c>
      <c r="T265" s="26">
        <v>95.9</v>
      </c>
      <c r="U265" s="26">
        <v>183</v>
      </c>
      <c r="V265" s="26">
        <v>192</v>
      </c>
      <c r="W265" s="26">
        <v>50.8</v>
      </c>
      <c r="X265" s="26">
        <v>459196</v>
      </c>
      <c r="Y265" s="26">
        <v>14203</v>
      </c>
      <c r="Z265" s="26">
        <v>212</v>
      </c>
      <c r="AA265" s="40" t="s">
        <v>122</v>
      </c>
      <c r="AB265" s="40" t="s">
        <v>122</v>
      </c>
      <c r="AC265" s="104">
        <f t="shared" si="5"/>
        <v>44.36</v>
      </c>
    </row>
    <row r="266" spans="1:29" x14ac:dyDescent="0.25">
      <c r="A266" s="26" t="s">
        <v>839</v>
      </c>
      <c r="B266" s="26">
        <v>455</v>
      </c>
      <c r="C266" s="26">
        <v>153</v>
      </c>
      <c r="D266" s="26">
        <v>13.3</v>
      </c>
      <c r="E266" s="26">
        <v>394</v>
      </c>
      <c r="F266" s="26">
        <v>8</v>
      </c>
      <c r="G266" s="26">
        <v>20.6</v>
      </c>
      <c r="H266" s="26">
        <v>5.73</v>
      </c>
      <c r="I266" s="26">
        <v>49.2</v>
      </c>
      <c r="J266" s="26">
        <v>76.13</v>
      </c>
      <c r="K266" s="26">
        <v>59.5</v>
      </c>
      <c r="L266" s="26">
        <v>25473</v>
      </c>
      <c r="M266" s="26">
        <v>1121</v>
      </c>
      <c r="N266" s="26">
        <v>18.309999999999999</v>
      </c>
      <c r="O266" s="26">
        <v>642</v>
      </c>
      <c r="P266" s="26">
        <v>1285</v>
      </c>
      <c r="Q266" s="26">
        <v>795</v>
      </c>
      <c r="R266" s="26">
        <v>104</v>
      </c>
      <c r="S266" s="26">
        <v>3.23</v>
      </c>
      <c r="T266" s="26">
        <v>81.5</v>
      </c>
      <c r="U266" s="26">
        <v>156</v>
      </c>
      <c r="V266" s="26">
        <v>163</v>
      </c>
      <c r="W266" s="26">
        <v>33.700000000000003</v>
      </c>
      <c r="X266" s="26">
        <v>386692</v>
      </c>
      <c r="Y266" s="26">
        <v>12480</v>
      </c>
      <c r="Z266" s="26">
        <v>362</v>
      </c>
      <c r="AA266" s="40" t="s">
        <v>122</v>
      </c>
      <c r="AB266" s="40" t="s">
        <v>122</v>
      </c>
      <c r="AC266" s="104">
        <f t="shared" si="5"/>
        <v>44.17</v>
      </c>
    </row>
    <row r="267" spans="1:29" x14ac:dyDescent="0.25">
      <c r="A267" s="26" t="s">
        <v>840</v>
      </c>
      <c r="B267" s="26">
        <v>450</v>
      </c>
      <c r="C267" s="26">
        <v>152</v>
      </c>
      <c r="D267" s="26">
        <v>10.8</v>
      </c>
      <c r="E267" s="26">
        <v>394</v>
      </c>
      <c r="F267" s="26">
        <v>7.6</v>
      </c>
      <c r="G267" s="26">
        <v>19.100000000000001</v>
      </c>
      <c r="H267" s="26">
        <v>7.06</v>
      </c>
      <c r="I267" s="26">
        <v>51.7</v>
      </c>
      <c r="J267" s="26">
        <v>66.45</v>
      </c>
      <c r="K267" s="26">
        <v>52.1</v>
      </c>
      <c r="L267" s="26">
        <v>21228</v>
      </c>
      <c r="M267" s="26">
        <v>944</v>
      </c>
      <c r="N267" s="26">
        <v>17.88</v>
      </c>
      <c r="O267" s="26">
        <v>545</v>
      </c>
      <c r="P267" s="26">
        <v>1090</v>
      </c>
      <c r="Q267" s="26">
        <v>637</v>
      </c>
      <c r="R267" s="26">
        <v>84</v>
      </c>
      <c r="S267" s="26">
        <v>3.1</v>
      </c>
      <c r="T267" s="26">
        <v>66</v>
      </c>
      <c r="U267" s="26">
        <v>126</v>
      </c>
      <c r="V267" s="26">
        <v>132</v>
      </c>
      <c r="W267" s="26">
        <v>21.2</v>
      </c>
      <c r="X267" s="26">
        <v>306131</v>
      </c>
      <c r="Y267" s="26">
        <v>10963</v>
      </c>
      <c r="Z267" s="26">
        <v>637</v>
      </c>
      <c r="AA267" s="40" t="s">
        <v>122</v>
      </c>
      <c r="AB267" s="40" t="s">
        <v>122</v>
      </c>
      <c r="AC267" s="104">
        <f t="shared" si="5"/>
        <v>43.92</v>
      </c>
    </row>
    <row r="268" spans="1:29" x14ac:dyDescent="0.25">
      <c r="A268" s="26" t="s">
        <v>841</v>
      </c>
      <c r="B268" s="26">
        <v>431</v>
      </c>
      <c r="C268" s="26">
        <v>265</v>
      </c>
      <c r="D268" s="26">
        <v>25</v>
      </c>
      <c r="E268" s="26">
        <v>346</v>
      </c>
      <c r="F268" s="26">
        <v>14.9</v>
      </c>
      <c r="G268" s="26">
        <v>23.5</v>
      </c>
      <c r="H268" s="26">
        <v>5.29</v>
      </c>
      <c r="I268" s="26">
        <v>23.3</v>
      </c>
      <c r="J268" s="26">
        <v>189.7</v>
      </c>
      <c r="K268" s="26">
        <v>148.80000000000001</v>
      </c>
      <c r="L268" s="26">
        <v>62018</v>
      </c>
      <c r="M268" s="26">
        <v>2868</v>
      </c>
      <c r="N268" s="26">
        <v>18.03</v>
      </c>
      <c r="O268" s="26">
        <v>1622</v>
      </c>
      <c r="P268" s="26">
        <v>3245</v>
      </c>
      <c r="Q268" s="26">
        <v>7742</v>
      </c>
      <c r="R268" s="26">
        <v>585</v>
      </c>
      <c r="S268" s="26">
        <v>6.38</v>
      </c>
      <c r="T268" s="26">
        <v>450</v>
      </c>
      <c r="U268" s="26">
        <v>878</v>
      </c>
      <c r="V268" s="26">
        <v>900</v>
      </c>
      <c r="W268" s="26">
        <v>322</v>
      </c>
      <c r="X268" s="26">
        <v>3195577</v>
      </c>
      <c r="Y268" s="26">
        <v>23787</v>
      </c>
      <c r="Z268" s="26">
        <v>21.9</v>
      </c>
      <c r="AA268" s="40" t="s">
        <v>122</v>
      </c>
      <c r="AB268" s="40" t="s">
        <v>122</v>
      </c>
      <c r="AC268" s="104">
        <f t="shared" si="5"/>
        <v>40.6</v>
      </c>
    </row>
    <row r="269" spans="1:29" x14ac:dyDescent="0.25">
      <c r="A269" s="26" t="s">
        <v>842</v>
      </c>
      <c r="B269" s="26">
        <v>425</v>
      </c>
      <c r="C269" s="26">
        <v>263</v>
      </c>
      <c r="D269" s="26">
        <v>22.2</v>
      </c>
      <c r="E269" s="26">
        <v>346</v>
      </c>
      <c r="F269" s="26">
        <v>13.3</v>
      </c>
      <c r="G269" s="26">
        <v>22.2</v>
      </c>
      <c r="H269" s="26">
        <v>5.92</v>
      </c>
      <c r="I269" s="26">
        <v>26</v>
      </c>
      <c r="J269" s="26">
        <v>169</v>
      </c>
      <c r="K269" s="26">
        <v>132.4</v>
      </c>
      <c r="L269" s="26">
        <v>54110</v>
      </c>
      <c r="M269" s="26">
        <v>2540</v>
      </c>
      <c r="N269" s="26">
        <v>17.91</v>
      </c>
      <c r="O269" s="26">
        <v>1434</v>
      </c>
      <c r="P269" s="26">
        <v>2868</v>
      </c>
      <c r="Q269" s="26">
        <v>6785</v>
      </c>
      <c r="R269" s="26">
        <v>515</v>
      </c>
      <c r="S269" s="26">
        <v>6.32</v>
      </c>
      <c r="T269" s="26">
        <v>394</v>
      </c>
      <c r="U269" s="26">
        <v>772</v>
      </c>
      <c r="V269" s="26">
        <v>788</v>
      </c>
      <c r="W269" s="26">
        <v>227</v>
      </c>
      <c r="X269" s="26">
        <v>2739066</v>
      </c>
      <c r="Y269" s="26">
        <v>21305</v>
      </c>
      <c r="Z269" s="26">
        <v>34.299999999999997</v>
      </c>
      <c r="AA269" s="40" t="s">
        <v>122</v>
      </c>
      <c r="AB269" s="40" t="s">
        <v>122</v>
      </c>
      <c r="AC269" s="104">
        <f t="shared" si="5"/>
        <v>40.28</v>
      </c>
    </row>
    <row r="270" spans="1:29" x14ac:dyDescent="0.25">
      <c r="A270" s="26" t="s">
        <v>843</v>
      </c>
      <c r="B270" s="26">
        <v>420</v>
      </c>
      <c r="C270" s="26">
        <v>261</v>
      </c>
      <c r="D270" s="26">
        <v>19.3</v>
      </c>
      <c r="E270" s="26">
        <v>346</v>
      </c>
      <c r="F270" s="26">
        <v>11.6</v>
      </c>
      <c r="G270" s="26">
        <v>22.2</v>
      </c>
      <c r="H270" s="26">
        <v>6.77</v>
      </c>
      <c r="I270" s="26">
        <v>29.9</v>
      </c>
      <c r="J270" s="26">
        <v>145.80000000000001</v>
      </c>
      <c r="K270" s="26">
        <v>114.6</v>
      </c>
      <c r="L270" s="26">
        <v>46202</v>
      </c>
      <c r="M270" s="26">
        <v>2196</v>
      </c>
      <c r="N270" s="26">
        <v>17.78</v>
      </c>
      <c r="O270" s="26">
        <v>1229</v>
      </c>
      <c r="P270" s="26">
        <v>2458</v>
      </c>
      <c r="Q270" s="26">
        <v>5744</v>
      </c>
      <c r="R270" s="26">
        <v>441</v>
      </c>
      <c r="S270" s="26">
        <v>6.27</v>
      </c>
      <c r="T270" s="26">
        <v>337</v>
      </c>
      <c r="U270" s="26">
        <v>661</v>
      </c>
      <c r="V270" s="26">
        <v>674</v>
      </c>
      <c r="W270" s="26">
        <v>149</v>
      </c>
      <c r="X270" s="26">
        <v>2306723</v>
      </c>
      <c r="Y270" s="26">
        <v>18478</v>
      </c>
      <c r="Z270" s="26">
        <v>58.7</v>
      </c>
      <c r="AA270" s="40" t="s">
        <v>122</v>
      </c>
      <c r="AB270" s="40" t="s">
        <v>122</v>
      </c>
      <c r="AC270" s="104">
        <f t="shared" si="5"/>
        <v>40.07</v>
      </c>
    </row>
    <row r="271" spans="1:29" x14ac:dyDescent="0.25">
      <c r="A271" s="26" t="s">
        <v>844</v>
      </c>
      <c r="B271" s="26">
        <v>415</v>
      </c>
      <c r="C271" s="26">
        <v>260</v>
      </c>
      <c r="D271" s="26">
        <v>16.899999999999999</v>
      </c>
      <c r="E271" s="26">
        <v>346</v>
      </c>
      <c r="F271" s="26">
        <v>10</v>
      </c>
      <c r="G271" s="26">
        <v>20.6</v>
      </c>
      <c r="H271" s="26">
        <v>7.7</v>
      </c>
      <c r="I271" s="26">
        <v>34.5</v>
      </c>
      <c r="J271" s="26">
        <v>127.1</v>
      </c>
      <c r="K271" s="26">
        <v>99.7</v>
      </c>
      <c r="L271" s="26">
        <v>39708</v>
      </c>
      <c r="M271" s="26">
        <v>1917</v>
      </c>
      <c r="N271" s="26">
        <v>17.68</v>
      </c>
      <c r="O271" s="26">
        <v>1065</v>
      </c>
      <c r="P271" s="26">
        <v>2130</v>
      </c>
      <c r="Q271" s="26">
        <v>4953</v>
      </c>
      <c r="R271" s="26">
        <v>380</v>
      </c>
      <c r="S271" s="26">
        <v>6.25</v>
      </c>
      <c r="T271" s="26">
        <v>291</v>
      </c>
      <c r="U271" s="26">
        <v>570</v>
      </c>
      <c r="V271" s="26">
        <v>582</v>
      </c>
      <c r="W271" s="26">
        <v>99.5</v>
      </c>
      <c r="X271" s="26">
        <v>1960312</v>
      </c>
      <c r="Y271" s="26">
        <v>16203</v>
      </c>
      <c r="Z271" s="26">
        <v>98.7</v>
      </c>
      <c r="AA271" s="40" t="s">
        <v>122</v>
      </c>
      <c r="AB271" s="40" t="s">
        <v>122</v>
      </c>
      <c r="AC271" s="104">
        <f t="shared" si="5"/>
        <v>39.81</v>
      </c>
    </row>
    <row r="272" spans="1:29" x14ac:dyDescent="0.25">
      <c r="A272" s="26" t="s">
        <v>845</v>
      </c>
      <c r="B272" s="26">
        <v>417</v>
      </c>
      <c r="C272" s="26">
        <v>181</v>
      </c>
      <c r="D272" s="26">
        <v>18.2</v>
      </c>
      <c r="E272" s="26">
        <v>346</v>
      </c>
      <c r="F272" s="26">
        <v>10.9</v>
      </c>
      <c r="G272" s="26">
        <v>22.2</v>
      </c>
      <c r="H272" s="26">
        <v>4.9800000000000004</v>
      </c>
      <c r="I272" s="26">
        <v>31.7</v>
      </c>
      <c r="J272" s="26">
        <v>108.4</v>
      </c>
      <c r="K272" s="26">
        <v>84.8</v>
      </c>
      <c r="L272" s="26">
        <v>31550</v>
      </c>
      <c r="M272" s="26">
        <v>1511</v>
      </c>
      <c r="N272" s="26">
        <v>17.07</v>
      </c>
      <c r="O272" s="26">
        <v>860</v>
      </c>
      <c r="P272" s="26">
        <v>1721</v>
      </c>
      <c r="Q272" s="26">
        <v>1794</v>
      </c>
      <c r="R272" s="26">
        <v>198</v>
      </c>
      <c r="S272" s="26">
        <v>4.0599999999999996</v>
      </c>
      <c r="T272" s="26">
        <v>155</v>
      </c>
      <c r="U272" s="26">
        <v>297</v>
      </c>
      <c r="V272" s="26">
        <v>310</v>
      </c>
      <c r="W272" s="26">
        <v>92.4</v>
      </c>
      <c r="X272" s="26">
        <v>714305</v>
      </c>
      <c r="Y272" s="26">
        <v>18271</v>
      </c>
      <c r="Z272" s="26">
        <v>71.5</v>
      </c>
      <c r="AA272" s="40" t="s">
        <v>122</v>
      </c>
      <c r="AB272" s="40" t="s">
        <v>122</v>
      </c>
      <c r="AC272" s="104">
        <f t="shared" si="5"/>
        <v>39.880000000000003</v>
      </c>
    </row>
    <row r="273" spans="1:29" x14ac:dyDescent="0.25">
      <c r="A273" s="26" t="s">
        <v>846</v>
      </c>
      <c r="B273" s="26">
        <v>413</v>
      </c>
      <c r="C273" s="26">
        <v>180</v>
      </c>
      <c r="D273" s="26">
        <v>16</v>
      </c>
      <c r="E273" s="26">
        <v>346</v>
      </c>
      <c r="F273" s="26">
        <v>9.65</v>
      </c>
      <c r="G273" s="26">
        <v>20.6</v>
      </c>
      <c r="H273" s="26">
        <v>5.61</v>
      </c>
      <c r="I273" s="26">
        <v>35.9</v>
      </c>
      <c r="J273" s="26">
        <v>94.8</v>
      </c>
      <c r="K273" s="26">
        <v>74.400000000000006</v>
      </c>
      <c r="L273" s="26">
        <v>27430</v>
      </c>
      <c r="M273" s="26">
        <v>1327</v>
      </c>
      <c r="N273" s="26">
        <v>16.97</v>
      </c>
      <c r="O273" s="26">
        <v>754</v>
      </c>
      <c r="P273" s="26">
        <v>1508</v>
      </c>
      <c r="Q273" s="26">
        <v>1548</v>
      </c>
      <c r="R273" s="26">
        <v>172</v>
      </c>
      <c r="S273" s="26">
        <v>4.04</v>
      </c>
      <c r="T273" s="26">
        <v>134</v>
      </c>
      <c r="U273" s="26">
        <v>258</v>
      </c>
      <c r="V273" s="26">
        <v>267</v>
      </c>
      <c r="W273" s="26">
        <v>63.3</v>
      </c>
      <c r="X273" s="26">
        <v>609576</v>
      </c>
      <c r="Y273" s="26">
        <v>16134</v>
      </c>
      <c r="Z273" s="26">
        <v>116</v>
      </c>
      <c r="AA273" s="40" t="s">
        <v>122</v>
      </c>
      <c r="AB273" s="40" t="s">
        <v>122</v>
      </c>
      <c r="AC273" s="104">
        <f t="shared" si="5"/>
        <v>39.700000000000003</v>
      </c>
    </row>
    <row r="274" spans="1:29" x14ac:dyDescent="0.25">
      <c r="A274" s="26" t="s">
        <v>847</v>
      </c>
      <c r="B274" s="26">
        <v>410</v>
      </c>
      <c r="C274" s="26">
        <v>179</v>
      </c>
      <c r="D274" s="26">
        <v>14.4</v>
      </c>
      <c r="E274" s="26">
        <v>346</v>
      </c>
      <c r="F274" s="26">
        <v>8.76</v>
      </c>
      <c r="G274" s="26">
        <v>20.6</v>
      </c>
      <c r="H274" s="26">
        <v>6.23</v>
      </c>
      <c r="I274" s="26">
        <v>39.5</v>
      </c>
      <c r="J274" s="26">
        <v>85.8</v>
      </c>
      <c r="K274" s="26">
        <v>67</v>
      </c>
      <c r="L274" s="26">
        <v>24391</v>
      </c>
      <c r="M274" s="26">
        <v>1191</v>
      </c>
      <c r="N274" s="26">
        <v>16.89</v>
      </c>
      <c r="O274" s="26">
        <v>674</v>
      </c>
      <c r="P274" s="26">
        <v>1349</v>
      </c>
      <c r="Q274" s="26">
        <v>1365</v>
      </c>
      <c r="R274" s="26">
        <v>153</v>
      </c>
      <c r="S274" s="26">
        <v>3.99</v>
      </c>
      <c r="T274" s="26">
        <v>119</v>
      </c>
      <c r="U274" s="26">
        <v>230</v>
      </c>
      <c r="V274" s="26">
        <v>238</v>
      </c>
      <c r="W274" s="26">
        <v>46.2</v>
      </c>
      <c r="X274" s="26">
        <v>534386</v>
      </c>
      <c r="Y274" s="26">
        <v>14617</v>
      </c>
      <c r="Z274" s="26">
        <v>174</v>
      </c>
      <c r="AA274" s="40" t="s">
        <v>122</v>
      </c>
      <c r="AB274" s="40" t="s">
        <v>122</v>
      </c>
      <c r="AC274" s="104">
        <f t="shared" si="5"/>
        <v>39.56</v>
      </c>
    </row>
    <row r="275" spans="1:29" x14ac:dyDescent="0.25">
      <c r="A275" s="26" t="s">
        <v>848</v>
      </c>
      <c r="B275" s="26">
        <v>407</v>
      </c>
      <c r="C275" s="26">
        <v>178</v>
      </c>
      <c r="D275" s="26">
        <v>12.8</v>
      </c>
      <c r="E275" s="26">
        <v>346</v>
      </c>
      <c r="F275" s="26">
        <v>7.75</v>
      </c>
      <c r="G275" s="26">
        <v>20.6</v>
      </c>
      <c r="H275" s="26">
        <v>6.93</v>
      </c>
      <c r="I275" s="26">
        <v>44.7</v>
      </c>
      <c r="J275" s="26">
        <v>76.099999999999994</v>
      </c>
      <c r="K275" s="26">
        <v>59.5</v>
      </c>
      <c r="L275" s="26">
        <v>21561</v>
      </c>
      <c r="M275" s="26">
        <v>1060</v>
      </c>
      <c r="N275" s="26">
        <v>16.84</v>
      </c>
      <c r="O275" s="26">
        <v>597</v>
      </c>
      <c r="P275" s="26">
        <v>1195</v>
      </c>
      <c r="Q275" s="26">
        <v>1203</v>
      </c>
      <c r="R275" s="26">
        <v>135</v>
      </c>
      <c r="S275" s="26">
        <v>3.99</v>
      </c>
      <c r="T275" s="26">
        <v>104</v>
      </c>
      <c r="U275" s="26">
        <v>203</v>
      </c>
      <c r="V275" s="26">
        <v>208</v>
      </c>
      <c r="W275" s="26">
        <v>32.9</v>
      </c>
      <c r="X275" s="26">
        <v>464567</v>
      </c>
      <c r="Y275" s="26">
        <v>13031</v>
      </c>
      <c r="Z275" s="26">
        <v>271</v>
      </c>
      <c r="AA275" s="40" t="s">
        <v>122</v>
      </c>
      <c r="AB275" s="40" t="s">
        <v>122</v>
      </c>
      <c r="AC275" s="104">
        <f t="shared" si="5"/>
        <v>39.42</v>
      </c>
    </row>
    <row r="276" spans="1:29" x14ac:dyDescent="0.25">
      <c r="A276" s="26" t="s">
        <v>849</v>
      </c>
      <c r="B276" s="26">
        <v>403</v>
      </c>
      <c r="C276" s="26">
        <v>177</v>
      </c>
      <c r="D276" s="26">
        <v>10.9</v>
      </c>
      <c r="E276" s="26">
        <v>346</v>
      </c>
      <c r="F276" s="26">
        <v>7.49</v>
      </c>
      <c r="G276" s="26">
        <v>19.100000000000001</v>
      </c>
      <c r="H276" s="26">
        <v>8.1199999999999992</v>
      </c>
      <c r="I276" s="26">
        <v>46.2</v>
      </c>
      <c r="J276" s="26">
        <v>68.400000000000006</v>
      </c>
      <c r="K276" s="26">
        <v>53.6</v>
      </c>
      <c r="L276" s="26">
        <v>18647</v>
      </c>
      <c r="M276" s="26">
        <v>926</v>
      </c>
      <c r="N276" s="26">
        <v>16.54</v>
      </c>
      <c r="O276" s="26">
        <v>524</v>
      </c>
      <c r="P276" s="26">
        <v>1049</v>
      </c>
      <c r="Q276" s="26">
        <v>1020</v>
      </c>
      <c r="R276" s="26">
        <v>115</v>
      </c>
      <c r="S276" s="26">
        <v>3.86</v>
      </c>
      <c r="T276" s="26">
        <v>88.5</v>
      </c>
      <c r="U276" s="26">
        <v>172.1</v>
      </c>
      <c r="V276" s="26">
        <v>177</v>
      </c>
      <c r="W276" s="26">
        <v>22.5</v>
      </c>
      <c r="X276" s="26">
        <v>392062</v>
      </c>
      <c r="Y276" s="26">
        <v>11721</v>
      </c>
      <c r="Z276" s="26">
        <v>438</v>
      </c>
      <c r="AA276" s="40" t="s">
        <v>122</v>
      </c>
      <c r="AB276" s="40" t="s">
        <v>122</v>
      </c>
      <c r="AC276" s="104">
        <f t="shared" si="5"/>
        <v>39.21</v>
      </c>
    </row>
    <row r="277" spans="1:29" x14ac:dyDescent="0.25">
      <c r="A277" s="26" t="s">
        <v>850</v>
      </c>
      <c r="B277" s="26">
        <v>403</v>
      </c>
      <c r="C277" s="26">
        <v>140</v>
      </c>
      <c r="D277" s="26">
        <v>11.2</v>
      </c>
      <c r="E277" s="26">
        <v>346</v>
      </c>
      <c r="F277" s="26">
        <v>6.99</v>
      </c>
      <c r="G277" s="26">
        <v>19.100000000000001</v>
      </c>
      <c r="H277" s="26">
        <v>6.28</v>
      </c>
      <c r="I277" s="26">
        <v>49.5</v>
      </c>
      <c r="J277" s="26">
        <v>58.8</v>
      </c>
      <c r="K277" s="26">
        <v>46.1</v>
      </c>
      <c r="L277" s="26">
        <v>15609</v>
      </c>
      <c r="M277" s="26">
        <v>773</v>
      </c>
      <c r="N277" s="26">
        <v>16.28</v>
      </c>
      <c r="O277" s="26">
        <v>442</v>
      </c>
      <c r="P277" s="26">
        <v>885</v>
      </c>
      <c r="Q277" s="26">
        <v>516</v>
      </c>
      <c r="R277" s="26">
        <v>73.599999999999994</v>
      </c>
      <c r="S277" s="26">
        <v>2.97</v>
      </c>
      <c r="T277" s="26">
        <v>57.4</v>
      </c>
      <c r="U277" s="26">
        <v>110.4</v>
      </c>
      <c r="V277" s="26">
        <v>115</v>
      </c>
      <c r="W277" s="26">
        <v>19.100000000000001</v>
      </c>
      <c r="X277" s="26">
        <v>198448</v>
      </c>
      <c r="Y277" s="26">
        <v>11997</v>
      </c>
      <c r="Z277" s="26">
        <v>421</v>
      </c>
      <c r="AA277" s="40" t="s">
        <v>122</v>
      </c>
      <c r="AB277" s="40" t="s">
        <v>122</v>
      </c>
      <c r="AC277" s="104">
        <f t="shared" si="5"/>
        <v>39.18</v>
      </c>
    </row>
    <row r="278" spans="1:29" x14ac:dyDescent="0.25">
      <c r="A278" s="26" t="s">
        <v>851</v>
      </c>
      <c r="B278" s="26">
        <v>399</v>
      </c>
      <c r="C278" s="26">
        <v>140</v>
      </c>
      <c r="D278" s="26">
        <v>8.76</v>
      </c>
      <c r="E278" s="26">
        <v>346</v>
      </c>
      <c r="F278" s="26">
        <v>6.35</v>
      </c>
      <c r="G278" s="26">
        <v>19.100000000000001</v>
      </c>
      <c r="H278" s="26">
        <v>7.97</v>
      </c>
      <c r="I278" s="26">
        <v>54.5</v>
      </c>
      <c r="J278" s="26">
        <v>49.5</v>
      </c>
      <c r="K278" s="26">
        <v>38.700000000000003</v>
      </c>
      <c r="L278" s="26">
        <v>12529</v>
      </c>
      <c r="M278" s="26">
        <v>629</v>
      </c>
      <c r="N278" s="26">
        <v>15.9</v>
      </c>
      <c r="O278" s="26">
        <v>362</v>
      </c>
      <c r="P278" s="26">
        <v>724</v>
      </c>
      <c r="Q278" s="26">
        <v>399</v>
      </c>
      <c r="R278" s="26">
        <v>57.2</v>
      </c>
      <c r="S278" s="26">
        <v>2.84</v>
      </c>
      <c r="T278" s="26">
        <v>44.9</v>
      </c>
      <c r="U278" s="26">
        <v>85.79</v>
      </c>
      <c r="V278" s="26">
        <v>89.8</v>
      </c>
      <c r="W278" s="26">
        <v>10.8</v>
      </c>
      <c r="X278" s="26">
        <v>151723</v>
      </c>
      <c r="Y278" s="26">
        <v>10135</v>
      </c>
      <c r="Z278" s="26">
        <v>860</v>
      </c>
      <c r="AA278" s="40" t="s">
        <v>122</v>
      </c>
      <c r="AB278" s="40" t="s">
        <v>122</v>
      </c>
      <c r="AC278" s="104">
        <f t="shared" si="5"/>
        <v>39.024000000000001</v>
      </c>
    </row>
    <row r="279" spans="1:29" x14ac:dyDescent="0.25">
      <c r="A279" s="26" t="s">
        <v>852</v>
      </c>
      <c r="B279" s="26">
        <v>580</v>
      </c>
      <c r="C279" s="26">
        <v>471</v>
      </c>
      <c r="D279" s="26">
        <v>130</v>
      </c>
      <c r="E279" s="26">
        <v>286</v>
      </c>
      <c r="F279" s="26">
        <v>95</v>
      </c>
      <c r="G279" s="26">
        <v>63.5</v>
      </c>
      <c r="H279" s="26">
        <v>1.81</v>
      </c>
      <c r="I279" s="26">
        <v>3.01</v>
      </c>
      <c r="J279" s="26">
        <v>1529</v>
      </c>
      <c r="K279" s="26">
        <v>1202</v>
      </c>
      <c r="L279" s="26">
        <v>665970</v>
      </c>
      <c r="M279" s="26">
        <v>22942</v>
      </c>
      <c r="N279" s="26">
        <v>20.85</v>
      </c>
      <c r="O279" s="26">
        <v>15027</v>
      </c>
      <c r="P279" s="26">
        <v>30054</v>
      </c>
      <c r="Q279" s="26">
        <v>229344</v>
      </c>
      <c r="R279" s="26">
        <v>9734</v>
      </c>
      <c r="S279" s="26">
        <v>12.24</v>
      </c>
      <c r="T279" s="26">
        <v>7595</v>
      </c>
      <c r="U279" s="26">
        <v>14601</v>
      </c>
      <c r="V279" s="26">
        <v>15191</v>
      </c>
      <c r="W279" s="26">
        <v>77419</v>
      </c>
      <c r="X279" s="26">
        <v>116276030</v>
      </c>
      <c r="Y279" s="26">
        <v>130311</v>
      </c>
      <c r="Z279" s="26">
        <v>0.03</v>
      </c>
      <c r="AA279" s="40" t="s">
        <v>122</v>
      </c>
      <c r="AB279" s="40" t="s">
        <v>122</v>
      </c>
      <c r="AC279" s="104">
        <f t="shared" si="5"/>
        <v>45</v>
      </c>
    </row>
    <row r="280" spans="1:29" x14ac:dyDescent="0.25">
      <c r="A280" s="26" t="s">
        <v>853</v>
      </c>
      <c r="B280" s="26">
        <v>569</v>
      </c>
      <c r="C280" s="26">
        <v>454</v>
      </c>
      <c r="D280" s="26">
        <v>124.7</v>
      </c>
      <c r="E280" s="26">
        <v>286</v>
      </c>
      <c r="F280" s="26">
        <v>78</v>
      </c>
      <c r="G280" s="26">
        <v>55.6</v>
      </c>
      <c r="H280" s="26">
        <v>1.82</v>
      </c>
      <c r="I280" s="26">
        <v>3.66</v>
      </c>
      <c r="J280" s="26">
        <v>1387</v>
      </c>
      <c r="K280" s="26">
        <v>1086</v>
      </c>
      <c r="L280" s="26">
        <v>595211</v>
      </c>
      <c r="M280" s="26">
        <v>20975</v>
      </c>
      <c r="N280" s="26">
        <v>20.75</v>
      </c>
      <c r="O280" s="26">
        <v>13601</v>
      </c>
      <c r="P280" s="26">
        <v>27203</v>
      </c>
      <c r="Q280" s="26">
        <v>196461</v>
      </c>
      <c r="R280" s="26">
        <v>8636</v>
      </c>
      <c r="S280" s="26">
        <v>11.91</v>
      </c>
      <c r="T280" s="26">
        <v>6686</v>
      </c>
      <c r="U280" s="26">
        <v>12954</v>
      </c>
      <c r="V280" s="26">
        <v>13372</v>
      </c>
      <c r="W280" s="26">
        <v>60354</v>
      </c>
      <c r="X280" s="26">
        <v>97209984</v>
      </c>
      <c r="Y280" s="26">
        <v>120658</v>
      </c>
      <c r="Z280" s="26">
        <v>0.04</v>
      </c>
      <c r="AA280" s="40" t="s">
        <v>122</v>
      </c>
      <c r="AB280" s="40" t="s">
        <v>122</v>
      </c>
      <c r="AC280" s="104">
        <f t="shared" si="5"/>
        <v>44.43</v>
      </c>
    </row>
    <row r="281" spans="1:29" x14ac:dyDescent="0.25">
      <c r="A281" s="26" t="s">
        <v>854</v>
      </c>
      <c r="B281" s="26">
        <v>550</v>
      </c>
      <c r="C281" s="26">
        <v>448</v>
      </c>
      <c r="D281" s="26">
        <v>114.8</v>
      </c>
      <c r="E281" s="26">
        <v>286</v>
      </c>
      <c r="F281" s="26">
        <v>71.900000000000006</v>
      </c>
      <c r="G281" s="26">
        <v>52.4</v>
      </c>
      <c r="H281" s="26">
        <v>1.95</v>
      </c>
      <c r="I281" s="26">
        <v>3.98</v>
      </c>
      <c r="J281" s="26">
        <v>1265</v>
      </c>
      <c r="K281" s="26">
        <v>989.6</v>
      </c>
      <c r="L281" s="26">
        <v>516127</v>
      </c>
      <c r="M281" s="26">
        <v>18845</v>
      </c>
      <c r="N281" s="26">
        <v>20.27</v>
      </c>
      <c r="O281" s="26">
        <v>12126</v>
      </c>
      <c r="P281" s="26">
        <v>24253</v>
      </c>
      <c r="Q281" s="26">
        <v>173569</v>
      </c>
      <c r="R281" s="26">
        <v>7735</v>
      </c>
      <c r="S281" s="26">
        <v>11.73</v>
      </c>
      <c r="T281" s="26">
        <v>5981</v>
      </c>
      <c r="U281" s="26">
        <v>11602</v>
      </c>
      <c r="V281" s="26">
        <v>11963</v>
      </c>
      <c r="W281" s="26">
        <v>46618</v>
      </c>
      <c r="X281" s="26">
        <v>81903439</v>
      </c>
      <c r="Y281" s="26">
        <v>112385</v>
      </c>
      <c r="Z281" s="26">
        <v>0.05</v>
      </c>
      <c r="AA281" s="40" t="s">
        <v>122</v>
      </c>
      <c r="AB281" s="40" t="s">
        <v>122</v>
      </c>
      <c r="AC281" s="104">
        <f t="shared" si="5"/>
        <v>43.519999999999996</v>
      </c>
    </row>
    <row r="282" spans="1:29" x14ac:dyDescent="0.25">
      <c r="A282" s="26" t="s">
        <v>855</v>
      </c>
      <c r="B282" s="26">
        <v>531</v>
      </c>
      <c r="C282" s="26">
        <v>442</v>
      </c>
      <c r="D282" s="26">
        <v>105.7</v>
      </c>
      <c r="E282" s="26">
        <v>286</v>
      </c>
      <c r="F282" s="26">
        <v>65.900000000000006</v>
      </c>
      <c r="G282" s="26">
        <v>49.6</v>
      </c>
      <c r="H282" s="26">
        <v>2.09</v>
      </c>
      <c r="I282" s="26">
        <v>4.34</v>
      </c>
      <c r="J282" s="26">
        <v>1148</v>
      </c>
      <c r="K282" s="26">
        <v>900.3</v>
      </c>
      <c r="L282" s="26">
        <v>449530</v>
      </c>
      <c r="M282" s="26">
        <v>17043</v>
      </c>
      <c r="N282" s="26">
        <v>19.809999999999999</v>
      </c>
      <c r="O282" s="26">
        <v>10815</v>
      </c>
      <c r="P282" s="26">
        <v>21631</v>
      </c>
      <c r="Q282" s="26">
        <v>153173</v>
      </c>
      <c r="R282" s="26">
        <v>6932</v>
      </c>
      <c r="S282" s="26">
        <v>11.56</v>
      </c>
      <c r="T282" s="26">
        <v>5342</v>
      </c>
      <c r="U282" s="26">
        <v>10398</v>
      </c>
      <c r="V282" s="26">
        <v>10684</v>
      </c>
      <c r="W282" s="26">
        <v>36212</v>
      </c>
      <c r="X282" s="26">
        <v>69282254</v>
      </c>
      <c r="Y282" s="26">
        <v>104111</v>
      </c>
      <c r="Z282" s="26">
        <v>7.0000000000000007E-2</v>
      </c>
      <c r="AA282" s="40" t="s">
        <v>122</v>
      </c>
      <c r="AB282" s="40" t="s">
        <v>122</v>
      </c>
      <c r="AC282" s="104">
        <f t="shared" si="5"/>
        <v>42.53</v>
      </c>
    </row>
    <row r="283" spans="1:29" x14ac:dyDescent="0.25">
      <c r="A283" s="26" t="s">
        <v>856</v>
      </c>
      <c r="B283" s="26">
        <v>514</v>
      </c>
      <c r="C283" s="26">
        <v>437</v>
      </c>
      <c r="D283" s="26">
        <v>97</v>
      </c>
      <c r="E283" s="26">
        <v>286</v>
      </c>
      <c r="F283" s="26">
        <v>60.5</v>
      </c>
      <c r="G283" s="26">
        <v>46</v>
      </c>
      <c r="H283" s="26">
        <v>2.25</v>
      </c>
      <c r="I283" s="26">
        <v>4.7300000000000004</v>
      </c>
      <c r="J283" s="26">
        <v>1045</v>
      </c>
      <c r="K283" s="26">
        <v>818.5</v>
      </c>
      <c r="L283" s="26">
        <v>392506</v>
      </c>
      <c r="M283" s="26">
        <v>15256</v>
      </c>
      <c r="N283" s="26">
        <v>19.38</v>
      </c>
      <c r="O283" s="26">
        <v>9668</v>
      </c>
      <c r="P283" s="26">
        <v>19337</v>
      </c>
      <c r="Q283" s="26">
        <v>135275</v>
      </c>
      <c r="R283" s="26">
        <v>6194</v>
      </c>
      <c r="S283" s="26">
        <v>11.4</v>
      </c>
      <c r="T283" s="26">
        <v>4777</v>
      </c>
      <c r="U283" s="26">
        <v>9291</v>
      </c>
      <c r="V283" s="26">
        <v>9554</v>
      </c>
      <c r="W283" s="26">
        <v>27888</v>
      </c>
      <c r="X283" s="26">
        <v>58809355</v>
      </c>
      <c r="Y283" s="26">
        <v>97906</v>
      </c>
      <c r="Z283" s="26">
        <v>0.09</v>
      </c>
      <c r="AA283" s="40" t="s">
        <v>122</v>
      </c>
      <c r="AB283" s="40" t="s">
        <v>122</v>
      </c>
      <c r="AC283" s="104">
        <f t="shared" si="5"/>
        <v>41.7</v>
      </c>
    </row>
    <row r="284" spans="1:29" x14ac:dyDescent="0.25">
      <c r="A284" s="26" t="s">
        <v>857</v>
      </c>
      <c r="B284" s="26">
        <v>498</v>
      </c>
      <c r="C284" s="26">
        <v>432</v>
      </c>
      <c r="D284" s="26">
        <v>88.9</v>
      </c>
      <c r="E284" s="26">
        <v>286</v>
      </c>
      <c r="F284" s="26">
        <v>55.6</v>
      </c>
      <c r="G284" s="26">
        <v>44.4</v>
      </c>
      <c r="H284" s="26">
        <v>2.4300000000000002</v>
      </c>
      <c r="I284" s="26">
        <v>5.14</v>
      </c>
      <c r="J284" s="26">
        <v>948.4</v>
      </c>
      <c r="K284" s="26">
        <v>744.1</v>
      </c>
      <c r="L284" s="26">
        <v>341726</v>
      </c>
      <c r="M284" s="26">
        <v>13732</v>
      </c>
      <c r="N284" s="26">
        <v>19</v>
      </c>
      <c r="O284" s="26">
        <v>8603</v>
      </c>
      <c r="P284" s="26">
        <v>17206</v>
      </c>
      <c r="Q284" s="26">
        <v>119875</v>
      </c>
      <c r="R284" s="26">
        <v>5555</v>
      </c>
      <c r="S284" s="26">
        <v>11.25</v>
      </c>
      <c r="T284" s="26">
        <v>4277</v>
      </c>
      <c r="U284" s="26">
        <v>8333</v>
      </c>
      <c r="V284" s="26">
        <v>8554</v>
      </c>
      <c r="W284" s="26">
        <v>21394</v>
      </c>
      <c r="X284" s="26">
        <v>50216207</v>
      </c>
      <c r="Y284" s="26">
        <v>90321</v>
      </c>
      <c r="Z284" s="26">
        <v>0.12</v>
      </c>
      <c r="AA284" s="40" t="s">
        <v>122</v>
      </c>
      <c r="AB284" s="40" t="s">
        <v>122</v>
      </c>
      <c r="AC284" s="104">
        <f t="shared" si="5"/>
        <v>40.910000000000004</v>
      </c>
    </row>
    <row r="285" spans="1:29" x14ac:dyDescent="0.25">
      <c r="A285" s="26" t="s">
        <v>858</v>
      </c>
      <c r="B285" s="26">
        <v>483</v>
      </c>
      <c r="C285" s="26">
        <v>428</v>
      </c>
      <c r="D285" s="26">
        <v>81.5</v>
      </c>
      <c r="E285" s="26">
        <v>286</v>
      </c>
      <c r="F285" s="26">
        <v>51.2</v>
      </c>
      <c r="G285" s="26">
        <v>41.3</v>
      </c>
      <c r="H285" s="26">
        <v>2.62</v>
      </c>
      <c r="I285" s="26">
        <v>5.58</v>
      </c>
      <c r="J285" s="26">
        <v>864.5</v>
      </c>
      <c r="K285" s="26">
        <v>677.1</v>
      </c>
      <c r="L285" s="26">
        <v>299270</v>
      </c>
      <c r="M285" s="26">
        <v>12389</v>
      </c>
      <c r="N285" s="26">
        <v>18.62</v>
      </c>
      <c r="O285" s="26">
        <v>7669</v>
      </c>
      <c r="P285" s="26">
        <v>15338</v>
      </c>
      <c r="Q285" s="26">
        <v>106555</v>
      </c>
      <c r="R285" s="26">
        <v>4982</v>
      </c>
      <c r="S285" s="26">
        <v>11.13</v>
      </c>
      <c r="T285" s="26">
        <v>3835</v>
      </c>
      <c r="U285" s="26">
        <v>7473</v>
      </c>
      <c r="V285" s="26">
        <v>7669</v>
      </c>
      <c r="W285" s="26">
        <v>16441</v>
      </c>
      <c r="X285" s="26">
        <v>42965739</v>
      </c>
      <c r="Y285" s="26">
        <v>84116</v>
      </c>
      <c r="Z285" s="26">
        <v>0.15</v>
      </c>
      <c r="AA285" s="40" t="s">
        <v>122</v>
      </c>
      <c r="AB285" s="40" t="s">
        <v>122</v>
      </c>
      <c r="AC285" s="104">
        <f t="shared" si="5"/>
        <v>40.15</v>
      </c>
    </row>
    <row r="286" spans="1:29" x14ac:dyDescent="0.25">
      <c r="A286" s="26" t="s">
        <v>859</v>
      </c>
      <c r="B286" s="26">
        <v>474</v>
      </c>
      <c r="C286" s="26">
        <v>424</v>
      </c>
      <c r="D286" s="26">
        <v>77.099999999999994</v>
      </c>
      <c r="E286" s="26">
        <v>286</v>
      </c>
      <c r="F286" s="26">
        <v>47.6</v>
      </c>
      <c r="G286" s="26">
        <v>39.700000000000003</v>
      </c>
      <c r="H286" s="26">
        <v>2.75</v>
      </c>
      <c r="I286" s="26">
        <v>6</v>
      </c>
      <c r="J286" s="26">
        <v>806.5</v>
      </c>
      <c r="K286" s="26">
        <v>634</v>
      </c>
      <c r="L286" s="26">
        <v>274713</v>
      </c>
      <c r="M286" s="26">
        <v>11586</v>
      </c>
      <c r="N286" s="26">
        <v>18.440000000000001</v>
      </c>
      <c r="O286" s="26">
        <v>7120</v>
      </c>
      <c r="P286" s="26">
        <v>14240</v>
      </c>
      <c r="Q286" s="26">
        <v>98231</v>
      </c>
      <c r="R286" s="26">
        <v>4638</v>
      </c>
      <c r="S286" s="26">
        <v>11.02</v>
      </c>
      <c r="T286" s="26">
        <v>3556</v>
      </c>
      <c r="U286" s="26">
        <v>6956</v>
      </c>
      <c r="V286" s="26">
        <v>7112</v>
      </c>
      <c r="W286" s="26">
        <v>13777</v>
      </c>
      <c r="X286" s="26">
        <v>38669165</v>
      </c>
      <c r="Y286" s="26">
        <v>79290</v>
      </c>
      <c r="Z286" s="26">
        <v>0.19</v>
      </c>
      <c r="AA286" s="40" t="s">
        <v>122</v>
      </c>
      <c r="AB286" s="40" t="s">
        <v>122</v>
      </c>
      <c r="AC286" s="104">
        <f t="shared" si="5"/>
        <v>39.69</v>
      </c>
    </row>
    <row r="287" spans="1:29" x14ac:dyDescent="0.25">
      <c r="A287" s="26" t="s">
        <v>860</v>
      </c>
      <c r="B287" s="26">
        <v>465</v>
      </c>
      <c r="C287" s="26">
        <v>421</v>
      </c>
      <c r="D287" s="26">
        <v>72.3</v>
      </c>
      <c r="E287" s="26">
        <v>286</v>
      </c>
      <c r="F287" s="26">
        <v>45</v>
      </c>
      <c r="G287" s="26">
        <v>38.1</v>
      </c>
      <c r="H287" s="26">
        <v>2.92</v>
      </c>
      <c r="I287" s="26">
        <v>6.36</v>
      </c>
      <c r="J287" s="26">
        <v>754.8</v>
      </c>
      <c r="K287" s="26">
        <v>592.29999999999995</v>
      </c>
      <c r="L287" s="26">
        <v>249739</v>
      </c>
      <c r="M287" s="26">
        <v>10750</v>
      </c>
      <c r="N287" s="26">
        <v>18.190000000000001</v>
      </c>
      <c r="O287" s="26">
        <v>6563</v>
      </c>
      <c r="P287" s="26">
        <v>13126</v>
      </c>
      <c r="Q287" s="26">
        <v>90322</v>
      </c>
      <c r="R287" s="26">
        <v>4293</v>
      </c>
      <c r="S287" s="26">
        <v>10.95</v>
      </c>
      <c r="T287" s="26">
        <v>3294</v>
      </c>
      <c r="U287" s="26">
        <v>6440</v>
      </c>
      <c r="V287" s="26">
        <v>6588</v>
      </c>
      <c r="W287" s="26">
        <v>11363</v>
      </c>
      <c r="X287" s="26">
        <v>34641127</v>
      </c>
      <c r="Y287" s="26">
        <v>75153</v>
      </c>
      <c r="Z287" s="26">
        <v>0.23</v>
      </c>
      <c r="AA287" s="40" t="s">
        <v>122</v>
      </c>
      <c r="AB287" s="40" t="s">
        <v>122</v>
      </c>
      <c r="AC287" s="104">
        <f t="shared" si="5"/>
        <v>39.269999999999996</v>
      </c>
    </row>
    <row r="288" spans="1:29" x14ac:dyDescent="0.25">
      <c r="A288" s="26" t="s">
        <v>861</v>
      </c>
      <c r="B288" s="26">
        <v>455</v>
      </c>
      <c r="C288" s="26">
        <v>418</v>
      </c>
      <c r="D288" s="26">
        <v>67.599999999999994</v>
      </c>
      <c r="E288" s="26">
        <v>286</v>
      </c>
      <c r="F288" s="26">
        <v>42</v>
      </c>
      <c r="G288" s="26">
        <v>36.5</v>
      </c>
      <c r="H288" s="26">
        <v>3.1</v>
      </c>
      <c r="I288" s="26">
        <v>6.8</v>
      </c>
      <c r="J288" s="26">
        <v>703.2</v>
      </c>
      <c r="K288" s="26">
        <v>550.6</v>
      </c>
      <c r="L288" s="26">
        <v>226430</v>
      </c>
      <c r="M288" s="26">
        <v>9947</v>
      </c>
      <c r="N288" s="26">
        <v>17.96</v>
      </c>
      <c r="O288" s="26">
        <v>6030</v>
      </c>
      <c r="P288" s="26">
        <v>12061</v>
      </c>
      <c r="Q288" s="26">
        <v>82830</v>
      </c>
      <c r="R288" s="26">
        <v>3949</v>
      </c>
      <c r="S288" s="26">
        <v>10.85</v>
      </c>
      <c r="T288" s="26">
        <v>3032</v>
      </c>
      <c r="U288" s="26">
        <v>5924</v>
      </c>
      <c r="V288" s="26">
        <v>6063</v>
      </c>
      <c r="W288" s="26">
        <v>9240</v>
      </c>
      <c r="X288" s="26">
        <v>31150161</v>
      </c>
      <c r="Y288" s="26">
        <v>71016</v>
      </c>
      <c r="Z288" s="26">
        <v>0.28999999999999998</v>
      </c>
      <c r="AA288" s="40" t="s">
        <v>122</v>
      </c>
      <c r="AB288" s="40" t="s">
        <v>122</v>
      </c>
      <c r="AC288" s="104">
        <f t="shared" si="5"/>
        <v>38.739999999999995</v>
      </c>
    </row>
    <row r="289" spans="1:29" x14ac:dyDescent="0.25">
      <c r="A289" s="26" t="s">
        <v>862</v>
      </c>
      <c r="B289" s="26">
        <v>446</v>
      </c>
      <c r="C289" s="26">
        <v>416</v>
      </c>
      <c r="D289" s="26">
        <v>62.7</v>
      </c>
      <c r="E289" s="26">
        <v>286</v>
      </c>
      <c r="F289" s="26">
        <v>39.1</v>
      </c>
      <c r="G289" s="26">
        <v>34.9</v>
      </c>
      <c r="H289" s="26">
        <v>3.31</v>
      </c>
      <c r="I289" s="26">
        <v>7.31</v>
      </c>
      <c r="J289" s="26">
        <v>651.6</v>
      </c>
      <c r="K289" s="26">
        <v>509</v>
      </c>
      <c r="L289" s="26">
        <v>203953</v>
      </c>
      <c r="M289" s="26">
        <v>9160</v>
      </c>
      <c r="N289" s="26">
        <v>17.73</v>
      </c>
      <c r="O289" s="26">
        <v>5506</v>
      </c>
      <c r="P289" s="26">
        <v>11012</v>
      </c>
      <c r="Q289" s="26">
        <v>75338</v>
      </c>
      <c r="R289" s="26">
        <v>3622</v>
      </c>
      <c r="S289" s="26">
        <v>10.77</v>
      </c>
      <c r="T289" s="26">
        <v>2769</v>
      </c>
      <c r="U289" s="26">
        <v>5432</v>
      </c>
      <c r="V289" s="26">
        <v>5539</v>
      </c>
      <c r="W289" s="26">
        <v>7409</v>
      </c>
      <c r="X289" s="26">
        <v>27659194</v>
      </c>
      <c r="Y289" s="26">
        <v>66190</v>
      </c>
      <c r="Z289" s="26">
        <v>0.38</v>
      </c>
      <c r="AA289" s="40" t="s">
        <v>122</v>
      </c>
      <c r="AB289" s="40" t="s">
        <v>122</v>
      </c>
      <c r="AC289" s="104">
        <f t="shared" si="5"/>
        <v>38.33</v>
      </c>
    </row>
    <row r="290" spans="1:29" x14ac:dyDescent="0.25">
      <c r="A290" s="26" t="s">
        <v>863</v>
      </c>
      <c r="B290" s="26">
        <v>435</v>
      </c>
      <c r="C290" s="26">
        <v>412</v>
      </c>
      <c r="D290" s="26">
        <v>57.4</v>
      </c>
      <c r="E290" s="26">
        <v>286</v>
      </c>
      <c r="F290" s="26">
        <v>35.799999999999997</v>
      </c>
      <c r="G290" s="26">
        <v>33.299999999999997</v>
      </c>
      <c r="H290" s="26">
        <v>3.59</v>
      </c>
      <c r="I290" s="26">
        <v>7.98</v>
      </c>
      <c r="J290" s="26">
        <v>589.70000000000005</v>
      </c>
      <c r="K290" s="26">
        <v>462.8</v>
      </c>
      <c r="L290" s="26">
        <v>180228</v>
      </c>
      <c r="M290" s="26">
        <v>8292</v>
      </c>
      <c r="N290" s="26">
        <v>17.48</v>
      </c>
      <c r="O290" s="26">
        <v>4941</v>
      </c>
      <c r="P290" s="26">
        <v>9881</v>
      </c>
      <c r="Q290" s="26">
        <v>67013</v>
      </c>
      <c r="R290" s="26">
        <v>3261</v>
      </c>
      <c r="S290" s="26">
        <v>10.67</v>
      </c>
      <c r="T290" s="26">
        <v>2491</v>
      </c>
      <c r="U290" s="26">
        <v>4892</v>
      </c>
      <c r="V290" s="26">
        <v>4982</v>
      </c>
      <c r="W290" s="26">
        <v>5661</v>
      </c>
      <c r="X290" s="26">
        <v>23926546</v>
      </c>
      <c r="Y290" s="26">
        <v>60812</v>
      </c>
      <c r="Z290" s="26">
        <v>0.51</v>
      </c>
      <c r="AA290" s="40" t="s">
        <v>122</v>
      </c>
      <c r="AB290" s="40" t="s">
        <v>122</v>
      </c>
      <c r="AC290" s="104">
        <f t="shared" si="5"/>
        <v>37.760000000000005</v>
      </c>
    </row>
    <row r="291" spans="1:29" x14ac:dyDescent="0.25">
      <c r="A291" s="26" t="s">
        <v>864</v>
      </c>
      <c r="B291" s="26">
        <v>425</v>
      </c>
      <c r="C291" s="26">
        <v>409</v>
      </c>
      <c r="D291" s="26">
        <v>52.6</v>
      </c>
      <c r="E291" s="26">
        <v>286</v>
      </c>
      <c r="F291" s="26">
        <v>32.799999999999997</v>
      </c>
      <c r="G291" s="26">
        <v>31.8</v>
      </c>
      <c r="H291" s="26">
        <v>3.89</v>
      </c>
      <c r="I291" s="26">
        <v>8.7200000000000006</v>
      </c>
      <c r="J291" s="26">
        <v>537.4</v>
      </c>
      <c r="K291" s="26">
        <v>421.2</v>
      </c>
      <c r="L291" s="26">
        <v>159833</v>
      </c>
      <c r="M291" s="26">
        <v>7522</v>
      </c>
      <c r="N291" s="26">
        <v>17.25</v>
      </c>
      <c r="O291" s="26">
        <v>4441</v>
      </c>
      <c r="P291" s="26">
        <v>8882</v>
      </c>
      <c r="Q291" s="26">
        <v>59937</v>
      </c>
      <c r="R291" s="26">
        <v>2933</v>
      </c>
      <c r="S291" s="26">
        <v>10.59</v>
      </c>
      <c r="T291" s="26">
        <v>2245</v>
      </c>
      <c r="U291" s="26">
        <v>4400</v>
      </c>
      <c r="V291" s="26">
        <v>4490</v>
      </c>
      <c r="W291" s="26">
        <v>4329</v>
      </c>
      <c r="X291" s="26">
        <v>20865237</v>
      </c>
      <c r="Y291" s="26">
        <v>55985</v>
      </c>
      <c r="Z291" s="26">
        <v>0.7</v>
      </c>
      <c r="AA291" s="40" t="s">
        <v>122</v>
      </c>
      <c r="AB291" s="40" t="s">
        <v>122</v>
      </c>
      <c r="AC291" s="104">
        <f t="shared" si="5"/>
        <v>37.239999999999995</v>
      </c>
    </row>
    <row r="292" spans="1:29" x14ac:dyDescent="0.25">
      <c r="A292" s="26" t="s">
        <v>865</v>
      </c>
      <c r="B292" s="26">
        <v>416</v>
      </c>
      <c r="C292" s="26">
        <v>406</v>
      </c>
      <c r="D292" s="26">
        <v>48</v>
      </c>
      <c r="E292" s="26">
        <v>286</v>
      </c>
      <c r="F292" s="26">
        <v>29.8</v>
      </c>
      <c r="G292" s="26">
        <v>30.2</v>
      </c>
      <c r="H292" s="26">
        <v>4.2300000000000004</v>
      </c>
      <c r="I292" s="26">
        <v>9.57</v>
      </c>
      <c r="J292" s="26">
        <v>487.7</v>
      </c>
      <c r="K292" s="26">
        <v>382.5</v>
      </c>
      <c r="L292" s="26">
        <v>141519</v>
      </c>
      <c r="M292" s="26">
        <v>6801</v>
      </c>
      <c r="N292" s="26">
        <v>17.04</v>
      </c>
      <c r="O292" s="26">
        <v>3990</v>
      </c>
      <c r="P292" s="26">
        <v>7981</v>
      </c>
      <c r="Q292" s="26">
        <v>53694</v>
      </c>
      <c r="R292" s="26">
        <v>2638</v>
      </c>
      <c r="S292" s="26">
        <v>10.49</v>
      </c>
      <c r="T292" s="26">
        <v>2016</v>
      </c>
      <c r="U292" s="26">
        <v>3957</v>
      </c>
      <c r="V292" s="26">
        <v>4031</v>
      </c>
      <c r="W292" s="26">
        <v>3292</v>
      </c>
      <c r="X292" s="26">
        <v>18206732</v>
      </c>
      <c r="Y292" s="26">
        <v>51435</v>
      </c>
      <c r="Z292" s="26">
        <v>0.97</v>
      </c>
      <c r="AA292" s="40" t="s">
        <v>122</v>
      </c>
      <c r="AB292" s="40" t="s">
        <v>122</v>
      </c>
      <c r="AC292" s="104">
        <f t="shared" si="5"/>
        <v>36.799999999999997</v>
      </c>
    </row>
    <row r="293" spans="1:29" x14ac:dyDescent="0.25">
      <c r="A293" s="26" t="s">
        <v>866</v>
      </c>
      <c r="B293" s="26">
        <v>407</v>
      </c>
      <c r="C293" s="26">
        <v>404</v>
      </c>
      <c r="D293" s="26">
        <v>43.7</v>
      </c>
      <c r="E293" s="26">
        <v>286</v>
      </c>
      <c r="F293" s="26">
        <v>27.2</v>
      </c>
      <c r="G293" s="26">
        <v>30.2</v>
      </c>
      <c r="H293" s="26">
        <v>4.62</v>
      </c>
      <c r="I293" s="26">
        <v>10.5</v>
      </c>
      <c r="J293" s="26">
        <v>441.9</v>
      </c>
      <c r="K293" s="26">
        <v>346.7</v>
      </c>
      <c r="L293" s="26">
        <v>125286</v>
      </c>
      <c r="M293" s="26">
        <v>6145</v>
      </c>
      <c r="N293" s="26">
        <v>16.84</v>
      </c>
      <c r="O293" s="26">
        <v>3572</v>
      </c>
      <c r="P293" s="26">
        <v>7145</v>
      </c>
      <c r="Q293" s="26">
        <v>47867</v>
      </c>
      <c r="R293" s="26">
        <v>2376</v>
      </c>
      <c r="S293" s="26">
        <v>10.41</v>
      </c>
      <c r="T293" s="26">
        <v>1811</v>
      </c>
      <c r="U293" s="26">
        <v>3564</v>
      </c>
      <c r="V293" s="26">
        <v>3622</v>
      </c>
      <c r="W293" s="26">
        <v>2477</v>
      </c>
      <c r="X293" s="26">
        <v>15843616</v>
      </c>
      <c r="Y293" s="26">
        <v>47022</v>
      </c>
      <c r="Z293" s="26">
        <v>1.37</v>
      </c>
      <c r="AA293" s="40" t="s">
        <v>122</v>
      </c>
      <c r="AB293" s="40" t="s">
        <v>122</v>
      </c>
      <c r="AC293" s="104">
        <f t="shared" si="5"/>
        <v>36.33</v>
      </c>
    </row>
    <row r="294" spans="1:29" x14ac:dyDescent="0.25">
      <c r="A294" s="26" t="s">
        <v>867</v>
      </c>
      <c r="B294" s="26">
        <v>399</v>
      </c>
      <c r="C294" s="26">
        <v>401</v>
      </c>
      <c r="D294" s="26">
        <v>39.6</v>
      </c>
      <c r="E294" s="26">
        <v>286</v>
      </c>
      <c r="F294" s="26">
        <v>24.9</v>
      </c>
      <c r="G294" s="26">
        <v>28.6</v>
      </c>
      <c r="H294" s="26">
        <v>5.0599999999999996</v>
      </c>
      <c r="I294" s="26">
        <v>11.5</v>
      </c>
      <c r="J294" s="26">
        <v>400</v>
      </c>
      <c r="K294" s="26">
        <v>314</v>
      </c>
      <c r="L294" s="26">
        <v>110718</v>
      </c>
      <c r="M294" s="26">
        <v>5539</v>
      </c>
      <c r="N294" s="26">
        <v>16.64</v>
      </c>
      <c r="O294" s="26">
        <v>3195</v>
      </c>
      <c r="P294" s="26">
        <v>6391</v>
      </c>
      <c r="Q294" s="26">
        <v>42872</v>
      </c>
      <c r="R294" s="26">
        <v>2130</v>
      </c>
      <c r="S294" s="26">
        <v>10.34</v>
      </c>
      <c r="T294" s="26">
        <v>1622</v>
      </c>
      <c r="U294" s="26">
        <v>3195</v>
      </c>
      <c r="V294" s="26">
        <v>3245</v>
      </c>
      <c r="W294" s="26">
        <v>1856</v>
      </c>
      <c r="X294" s="26">
        <v>13829597</v>
      </c>
      <c r="Y294" s="26">
        <v>42954</v>
      </c>
      <c r="Z294" s="26">
        <v>1.93</v>
      </c>
      <c r="AA294" s="40" t="s">
        <v>122</v>
      </c>
      <c r="AB294" s="40" t="s">
        <v>122</v>
      </c>
      <c r="AC294" s="104">
        <f t="shared" si="5"/>
        <v>35.94</v>
      </c>
    </row>
    <row r="295" spans="1:29" x14ac:dyDescent="0.25">
      <c r="A295" s="26" t="s">
        <v>868</v>
      </c>
      <c r="B295" s="26">
        <v>393</v>
      </c>
      <c r="C295" s="26">
        <v>399</v>
      </c>
      <c r="D295" s="26">
        <v>36.6</v>
      </c>
      <c r="E295" s="26">
        <v>286</v>
      </c>
      <c r="F295" s="26">
        <v>22.6</v>
      </c>
      <c r="G295" s="26">
        <v>30.2</v>
      </c>
      <c r="H295" s="26">
        <v>5.45</v>
      </c>
      <c r="I295" s="26">
        <v>12.6</v>
      </c>
      <c r="J295" s="26">
        <v>366.5</v>
      </c>
      <c r="K295" s="26">
        <v>287.2</v>
      </c>
      <c r="L295" s="26">
        <v>99896</v>
      </c>
      <c r="M295" s="26">
        <v>5080</v>
      </c>
      <c r="N295" s="26">
        <v>16.510000000000002</v>
      </c>
      <c r="O295" s="26">
        <v>2909</v>
      </c>
      <c r="P295" s="26">
        <v>5817</v>
      </c>
      <c r="Q295" s="26">
        <v>38751</v>
      </c>
      <c r="R295" s="26">
        <v>1950</v>
      </c>
      <c r="S295" s="26">
        <v>10.29</v>
      </c>
      <c r="T295" s="26">
        <v>1475</v>
      </c>
      <c r="U295" s="26">
        <v>2925</v>
      </c>
      <c r="V295" s="26">
        <v>2950</v>
      </c>
      <c r="W295" s="26">
        <v>1448</v>
      </c>
      <c r="X295" s="26">
        <v>12325796</v>
      </c>
      <c r="Y295" s="26">
        <v>39576</v>
      </c>
      <c r="Z295" s="26">
        <v>2.63</v>
      </c>
      <c r="AA295" s="40" t="s">
        <v>122</v>
      </c>
      <c r="AB295" s="40" t="s">
        <v>122</v>
      </c>
      <c r="AC295" s="104">
        <f t="shared" si="5"/>
        <v>35.64</v>
      </c>
    </row>
    <row r="296" spans="1:29" x14ac:dyDescent="0.25">
      <c r="A296" s="26" t="s">
        <v>869</v>
      </c>
      <c r="B296" s="26">
        <v>387</v>
      </c>
      <c r="C296" s="26">
        <v>398</v>
      </c>
      <c r="D296" s="26">
        <v>33.299999999999997</v>
      </c>
      <c r="E296" s="26">
        <v>286</v>
      </c>
      <c r="F296" s="26">
        <v>21.1</v>
      </c>
      <c r="G296" s="26">
        <v>30.2</v>
      </c>
      <c r="H296" s="26">
        <v>5.97</v>
      </c>
      <c r="I296" s="26">
        <v>13.6</v>
      </c>
      <c r="J296" s="26">
        <v>334.2</v>
      </c>
      <c r="K296" s="26">
        <v>261.89999999999998</v>
      </c>
      <c r="L296" s="26">
        <v>89074</v>
      </c>
      <c r="M296" s="26">
        <v>4605</v>
      </c>
      <c r="N296" s="26">
        <v>16.329999999999998</v>
      </c>
      <c r="O296" s="26">
        <v>2622</v>
      </c>
      <c r="P296" s="26">
        <v>5244</v>
      </c>
      <c r="Q296" s="26">
        <v>34880</v>
      </c>
      <c r="R296" s="26">
        <v>1753</v>
      </c>
      <c r="S296" s="26">
        <v>10.210000000000001</v>
      </c>
      <c r="T296" s="26">
        <v>1336</v>
      </c>
      <c r="U296" s="26">
        <v>2630</v>
      </c>
      <c r="V296" s="26">
        <v>2671</v>
      </c>
      <c r="W296" s="26">
        <v>1103</v>
      </c>
      <c r="X296" s="26">
        <v>10875703</v>
      </c>
      <c r="Y296" s="26">
        <v>36404</v>
      </c>
      <c r="Z296" s="26">
        <v>3.64</v>
      </c>
      <c r="AA296" s="40" t="s">
        <v>122</v>
      </c>
      <c r="AB296" s="40" t="s">
        <v>122</v>
      </c>
      <c r="AC296" s="104">
        <f t="shared" si="5"/>
        <v>35.369999999999997</v>
      </c>
    </row>
    <row r="297" spans="1:29" x14ac:dyDescent="0.25">
      <c r="A297" s="26" t="s">
        <v>870</v>
      </c>
      <c r="B297" s="26">
        <v>380</v>
      </c>
      <c r="C297" s="26">
        <v>395</v>
      </c>
      <c r="D297" s="26">
        <v>30.2</v>
      </c>
      <c r="E297" s="26">
        <v>286</v>
      </c>
      <c r="F297" s="26">
        <v>18.899999999999999</v>
      </c>
      <c r="G297" s="26">
        <v>25.4</v>
      </c>
      <c r="H297" s="26">
        <v>6.54</v>
      </c>
      <c r="I297" s="26">
        <v>15.1</v>
      </c>
      <c r="J297" s="26">
        <v>301.3</v>
      </c>
      <c r="K297" s="26">
        <v>236.6</v>
      </c>
      <c r="L297" s="26">
        <v>79084</v>
      </c>
      <c r="M297" s="26">
        <v>4162</v>
      </c>
      <c r="N297" s="26">
        <v>16.21</v>
      </c>
      <c r="O297" s="26">
        <v>2352</v>
      </c>
      <c r="P297" s="26">
        <v>4703</v>
      </c>
      <c r="Q297" s="26">
        <v>31134</v>
      </c>
      <c r="R297" s="26">
        <v>1576</v>
      </c>
      <c r="S297" s="26">
        <v>10.16</v>
      </c>
      <c r="T297" s="26">
        <v>1196</v>
      </c>
      <c r="U297" s="26">
        <v>2365</v>
      </c>
      <c r="V297" s="26">
        <v>2393</v>
      </c>
      <c r="W297" s="26">
        <v>824</v>
      </c>
      <c r="X297" s="26">
        <v>9559877</v>
      </c>
      <c r="Y297" s="26">
        <v>33026</v>
      </c>
      <c r="Z297" s="26">
        <v>5.24</v>
      </c>
      <c r="AA297" s="40" t="s">
        <v>122</v>
      </c>
      <c r="AB297" s="40" t="s">
        <v>122</v>
      </c>
      <c r="AC297" s="104">
        <f t="shared" si="5"/>
        <v>34.980000000000004</v>
      </c>
    </row>
    <row r="298" spans="1:29" x14ac:dyDescent="0.25">
      <c r="A298" s="26" t="s">
        <v>871</v>
      </c>
      <c r="B298" s="26">
        <v>375</v>
      </c>
      <c r="C298" s="26">
        <v>394</v>
      </c>
      <c r="D298" s="26">
        <v>27.7</v>
      </c>
      <c r="E298" s="26">
        <v>286</v>
      </c>
      <c r="F298" s="26">
        <v>17.3</v>
      </c>
      <c r="G298" s="26">
        <v>25.4</v>
      </c>
      <c r="H298" s="26">
        <v>7.11</v>
      </c>
      <c r="I298" s="26">
        <v>16.5</v>
      </c>
      <c r="J298" s="26">
        <v>275.5</v>
      </c>
      <c r="K298" s="26">
        <v>215.8</v>
      </c>
      <c r="L298" s="26">
        <v>71176</v>
      </c>
      <c r="M298" s="26">
        <v>3802</v>
      </c>
      <c r="N298" s="26">
        <v>16.079999999999998</v>
      </c>
      <c r="O298" s="26">
        <v>2130</v>
      </c>
      <c r="P298" s="26">
        <v>4261</v>
      </c>
      <c r="Q298" s="26">
        <v>28179</v>
      </c>
      <c r="R298" s="26">
        <v>1431</v>
      </c>
      <c r="S298" s="26">
        <v>10.11</v>
      </c>
      <c r="T298" s="26">
        <v>1090</v>
      </c>
      <c r="U298" s="26">
        <v>2146</v>
      </c>
      <c r="V298" s="26">
        <v>2179</v>
      </c>
      <c r="W298" s="26">
        <v>633</v>
      </c>
      <c r="X298" s="26">
        <v>8512587</v>
      </c>
      <c r="Y298" s="26">
        <v>30337</v>
      </c>
      <c r="Z298" s="26">
        <v>7.32</v>
      </c>
      <c r="AA298" s="40" t="s">
        <v>122</v>
      </c>
      <c r="AB298" s="40" t="s">
        <v>122</v>
      </c>
      <c r="AC298" s="104">
        <f t="shared" si="5"/>
        <v>34.730000000000004</v>
      </c>
    </row>
    <row r="299" spans="1:29" x14ac:dyDescent="0.25">
      <c r="A299" s="26" t="s">
        <v>872</v>
      </c>
      <c r="B299" s="26">
        <v>372</v>
      </c>
      <c r="C299" s="26">
        <v>374</v>
      </c>
      <c r="D299" s="26">
        <v>26.2</v>
      </c>
      <c r="E299" s="26">
        <v>286</v>
      </c>
      <c r="F299" s="26">
        <v>16.399999999999999</v>
      </c>
      <c r="G299" s="26">
        <v>23.8</v>
      </c>
      <c r="H299" s="26">
        <v>7.15</v>
      </c>
      <c r="I299" s="26">
        <v>17.399999999999999</v>
      </c>
      <c r="J299" s="26">
        <v>250.3</v>
      </c>
      <c r="K299" s="26">
        <v>196.4</v>
      </c>
      <c r="L299" s="26">
        <v>63683</v>
      </c>
      <c r="M299" s="26">
        <v>3425</v>
      </c>
      <c r="N299" s="26">
        <v>15.95</v>
      </c>
      <c r="O299" s="26">
        <v>1917</v>
      </c>
      <c r="P299" s="26">
        <v>3835</v>
      </c>
      <c r="Q299" s="26">
        <v>22809</v>
      </c>
      <c r="R299" s="26">
        <v>1221</v>
      </c>
      <c r="S299" s="26">
        <v>9.5500000000000007</v>
      </c>
      <c r="T299" s="26">
        <v>926</v>
      </c>
      <c r="U299" s="26">
        <v>1831</v>
      </c>
      <c r="V299" s="26">
        <v>1852</v>
      </c>
      <c r="W299" s="26">
        <v>512</v>
      </c>
      <c r="X299" s="26">
        <v>6847665</v>
      </c>
      <c r="Y299" s="26">
        <v>28820</v>
      </c>
      <c r="Z299" s="26">
        <v>9</v>
      </c>
      <c r="AA299" s="40" t="s">
        <v>122</v>
      </c>
      <c r="AB299" s="40" t="s">
        <v>122</v>
      </c>
      <c r="AC299" s="104">
        <f t="shared" si="5"/>
        <v>34.58</v>
      </c>
    </row>
    <row r="300" spans="1:29" x14ac:dyDescent="0.25">
      <c r="A300" s="26" t="s">
        <v>873</v>
      </c>
      <c r="B300" s="26">
        <v>368</v>
      </c>
      <c r="C300" s="26">
        <v>373</v>
      </c>
      <c r="D300" s="26">
        <v>23.9</v>
      </c>
      <c r="E300" s="26">
        <v>286</v>
      </c>
      <c r="F300" s="26">
        <v>15</v>
      </c>
      <c r="G300" s="26">
        <v>23.8</v>
      </c>
      <c r="H300" s="26">
        <v>7.8</v>
      </c>
      <c r="I300" s="26">
        <v>19.100000000000001</v>
      </c>
      <c r="J300" s="26">
        <v>227.7</v>
      </c>
      <c r="K300" s="26">
        <v>178.6</v>
      </c>
      <c r="L300" s="26">
        <v>57440</v>
      </c>
      <c r="M300" s="26">
        <v>3114</v>
      </c>
      <c r="N300" s="26">
        <v>15.85</v>
      </c>
      <c r="O300" s="26">
        <v>1737</v>
      </c>
      <c r="P300" s="26">
        <v>3474</v>
      </c>
      <c r="Q300" s="26">
        <v>20603</v>
      </c>
      <c r="R300" s="26">
        <v>1106</v>
      </c>
      <c r="S300" s="26">
        <v>9.5</v>
      </c>
      <c r="T300" s="26">
        <v>836</v>
      </c>
      <c r="U300" s="26">
        <v>1659</v>
      </c>
      <c r="V300" s="26">
        <v>1671</v>
      </c>
      <c r="W300" s="26">
        <v>390</v>
      </c>
      <c r="X300" s="26">
        <v>6095764</v>
      </c>
      <c r="Y300" s="26">
        <v>26407</v>
      </c>
      <c r="Z300" s="26">
        <v>12.6</v>
      </c>
      <c r="AA300" s="40" t="s">
        <v>122</v>
      </c>
      <c r="AB300" s="40" t="s">
        <v>122</v>
      </c>
      <c r="AC300" s="104">
        <f t="shared" si="5"/>
        <v>34.410000000000004</v>
      </c>
    </row>
    <row r="301" spans="1:29" x14ac:dyDescent="0.25">
      <c r="A301" s="26" t="s">
        <v>874</v>
      </c>
      <c r="B301" s="26">
        <v>364</v>
      </c>
      <c r="C301" s="26">
        <v>371</v>
      </c>
      <c r="D301" s="26">
        <v>21.8</v>
      </c>
      <c r="E301" s="26">
        <v>286</v>
      </c>
      <c r="F301" s="26">
        <v>13.3</v>
      </c>
      <c r="G301" s="26">
        <v>22.2</v>
      </c>
      <c r="H301" s="26">
        <v>8.49</v>
      </c>
      <c r="I301" s="26">
        <v>21.4</v>
      </c>
      <c r="J301" s="26">
        <v>206.5</v>
      </c>
      <c r="K301" s="26">
        <v>162.19999999999999</v>
      </c>
      <c r="L301" s="26">
        <v>51613</v>
      </c>
      <c r="M301" s="26">
        <v>2835</v>
      </c>
      <c r="N301" s="26">
        <v>15.8</v>
      </c>
      <c r="O301" s="26">
        <v>1573</v>
      </c>
      <c r="P301" s="26">
        <v>3146</v>
      </c>
      <c r="Q301" s="26">
        <v>18606</v>
      </c>
      <c r="R301" s="26">
        <v>1003</v>
      </c>
      <c r="S301" s="26">
        <v>9.4700000000000006</v>
      </c>
      <c r="T301" s="26">
        <v>760</v>
      </c>
      <c r="U301" s="26">
        <v>1504</v>
      </c>
      <c r="V301" s="26">
        <v>1519</v>
      </c>
      <c r="W301" s="26">
        <v>296</v>
      </c>
      <c r="X301" s="26">
        <v>5424425</v>
      </c>
      <c r="Y301" s="26">
        <v>24063</v>
      </c>
      <c r="Z301" s="26">
        <v>17.899999999999999</v>
      </c>
      <c r="AA301" s="40" t="s">
        <v>122</v>
      </c>
      <c r="AB301" s="40" t="s">
        <v>122</v>
      </c>
      <c r="AC301" s="104">
        <f t="shared" si="5"/>
        <v>34.22</v>
      </c>
    </row>
    <row r="302" spans="1:29" x14ac:dyDescent="0.25">
      <c r="A302" s="26" t="s">
        <v>875</v>
      </c>
      <c r="B302" s="26">
        <v>360</v>
      </c>
      <c r="C302" s="26">
        <v>370</v>
      </c>
      <c r="D302" s="26">
        <v>19.8</v>
      </c>
      <c r="E302" s="26">
        <v>286</v>
      </c>
      <c r="F302" s="26">
        <v>12.3</v>
      </c>
      <c r="G302" s="26">
        <v>22.2</v>
      </c>
      <c r="H302" s="26">
        <v>9.34</v>
      </c>
      <c r="I302" s="26">
        <v>23.2</v>
      </c>
      <c r="J302" s="26">
        <v>187.7</v>
      </c>
      <c r="K302" s="26">
        <v>147.30000000000001</v>
      </c>
      <c r="L302" s="26">
        <v>46202</v>
      </c>
      <c r="M302" s="26">
        <v>2573</v>
      </c>
      <c r="N302" s="26">
        <v>15.67</v>
      </c>
      <c r="O302" s="26">
        <v>1417</v>
      </c>
      <c r="P302" s="26">
        <v>2835</v>
      </c>
      <c r="Q302" s="26">
        <v>16733</v>
      </c>
      <c r="R302" s="26">
        <v>905</v>
      </c>
      <c r="S302" s="26">
        <v>9.42</v>
      </c>
      <c r="T302" s="26">
        <v>685</v>
      </c>
      <c r="U302" s="26">
        <v>1357</v>
      </c>
      <c r="V302" s="26">
        <v>1370</v>
      </c>
      <c r="W302" s="26">
        <v>224</v>
      </c>
      <c r="X302" s="26">
        <v>4833646</v>
      </c>
      <c r="Y302" s="26">
        <v>21994</v>
      </c>
      <c r="Z302" s="26">
        <v>25.7</v>
      </c>
      <c r="AA302" s="40" t="s">
        <v>122</v>
      </c>
      <c r="AB302" s="40" t="s">
        <v>122</v>
      </c>
      <c r="AC302" s="104">
        <f t="shared" si="5"/>
        <v>34.019999999999996</v>
      </c>
    </row>
    <row r="303" spans="1:29" x14ac:dyDescent="0.25">
      <c r="A303" s="26" t="s">
        <v>876</v>
      </c>
      <c r="B303" s="26">
        <v>356</v>
      </c>
      <c r="C303" s="26">
        <v>369</v>
      </c>
      <c r="D303" s="26">
        <v>18</v>
      </c>
      <c r="E303" s="26">
        <v>286</v>
      </c>
      <c r="F303" s="26">
        <v>11.2</v>
      </c>
      <c r="G303" s="26">
        <v>22.2</v>
      </c>
      <c r="H303" s="26">
        <v>10.199999999999999</v>
      </c>
      <c r="I303" s="26">
        <v>25.6</v>
      </c>
      <c r="J303" s="26">
        <v>171</v>
      </c>
      <c r="K303" s="26">
        <v>133.9</v>
      </c>
      <c r="L303" s="26">
        <v>41582</v>
      </c>
      <c r="M303" s="26">
        <v>2343</v>
      </c>
      <c r="N303" s="26">
        <v>15.6</v>
      </c>
      <c r="O303" s="26">
        <v>1286</v>
      </c>
      <c r="P303" s="26">
        <v>2573</v>
      </c>
      <c r="Q303" s="26">
        <v>15068</v>
      </c>
      <c r="R303" s="26">
        <v>818</v>
      </c>
      <c r="S303" s="26">
        <v>9.4</v>
      </c>
      <c r="T303" s="26">
        <v>619</v>
      </c>
      <c r="U303" s="26">
        <v>1227</v>
      </c>
      <c r="V303" s="26">
        <v>1239</v>
      </c>
      <c r="W303" s="26">
        <v>169</v>
      </c>
      <c r="X303" s="26">
        <v>4296574</v>
      </c>
      <c r="Y303" s="26">
        <v>19995</v>
      </c>
      <c r="Z303" s="26">
        <v>36.799999999999997</v>
      </c>
      <c r="AA303" s="40" t="s">
        <v>122</v>
      </c>
      <c r="AB303" s="40" t="s">
        <v>122</v>
      </c>
      <c r="AC303" s="104">
        <f t="shared" si="5"/>
        <v>33.799999999999997</v>
      </c>
    </row>
    <row r="304" spans="1:29" x14ac:dyDescent="0.25">
      <c r="A304" s="26" t="s">
        <v>877</v>
      </c>
      <c r="B304" s="26">
        <v>363</v>
      </c>
      <c r="C304" s="26">
        <v>257</v>
      </c>
      <c r="D304" s="26">
        <v>21.7</v>
      </c>
      <c r="E304" s="26">
        <v>279</v>
      </c>
      <c r="F304" s="26">
        <v>13</v>
      </c>
      <c r="G304" s="26">
        <v>25.4</v>
      </c>
      <c r="H304" s="26">
        <v>5.92</v>
      </c>
      <c r="I304" s="26">
        <v>21.6</v>
      </c>
      <c r="J304" s="26">
        <v>155.5</v>
      </c>
      <c r="K304" s="26">
        <v>122</v>
      </c>
      <c r="L304" s="26">
        <v>36712</v>
      </c>
      <c r="M304" s="26">
        <v>2016</v>
      </c>
      <c r="N304" s="26">
        <v>15.37</v>
      </c>
      <c r="O304" s="26">
        <v>1139</v>
      </c>
      <c r="P304" s="26">
        <v>2278</v>
      </c>
      <c r="Q304" s="26">
        <v>6160</v>
      </c>
      <c r="R304" s="26">
        <v>480</v>
      </c>
      <c r="S304" s="26">
        <v>6.3</v>
      </c>
      <c r="T304" s="26">
        <v>367</v>
      </c>
      <c r="U304" s="26">
        <v>720</v>
      </c>
      <c r="V304" s="26">
        <v>734</v>
      </c>
      <c r="W304" s="26">
        <v>211</v>
      </c>
      <c r="X304" s="26">
        <v>1801876</v>
      </c>
      <c r="Y304" s="26">
        <v>24821</v>
      </c>
      <c r="Z304" s="26">
        <v>17.8</v>
      </c>
      <c r="AA304" s="40" t="s">
        <v>122</v>
      </c>
      <c r="AB304" s="40" t="s">
        <v>122</v>
      </c>
      <c r="AC304" s="104">
        <f t="shared" si="5"/>
        <v>34.130000000000003</v>
      </c>
    </row>
    <row r="305" spans="1:29" x14ac:dyDescent="0.25">
      <c r="A305" s="26" t="s">
        <v>878</v>
      </c>
      <c r="B305" s="26">
        <v>360</v>
      </c>
      <c r="C305" s="26">
        <v>256</v>
      </c>
      <c r="D305" s="26">
        <v>19.899999999999999</v>
      </c>
      <c r="E305" s="26">
        <v>279</v>
      </c>
      <c r="F305" s="26">
        <v>11.4</v>
      </c>
      <c r="G305" s="26">
        <v>23.8</v>
      </c>
      <c r="H305" s="26">
        <v>6.41</v>
      </c>
      <c r="I305" s="26">
        <v>24.4</v>
      </c>
      <c r="J305" s="26">
        <v>140.6</v>
      </c>
      <c r="K305" s="26">
        <v>110.1</v>
      </c>
      <c r="L305" s="26">
        <v>33132</v>
      </c>
      <c r="M305" s="26">
        <v>1835</v>
      </c>
      <c r="N305" s="26">
        <v>15.34</v>
      </c>
      <c r="O305" s="26">
        <v>1032</v>
      </c>
      <c r="P305" s="26">
        <v>2065</v>
      </c>
      <c r="Q305" s="26">
        <v>5578</v>
      </c>
      <c r="R305" s="26">
        <v>436</v>
      </c>
      <c r="S305" s="26">
        <v>6.3</v>
      </c>
      <c r="T305" s="26">
        <v>333</v>
      </c>
      <c r="U305" s="26">
        <v>654</v>
      </c>
      <c r="V305" s="26">
        <v>665</v>
      </c>
      <c r="W305" s="26">
        <v>161</v>
      </c>
      <c r="X305" s="26">
        <v>1608530</v>
      </c>
      <c r="Y305" s="26">
        <v>22684</v>
      </c>
      <c r="Z305" s="26">
        <v>25</v>
      </c>
      <c r="AA305" s="40" t="s">
        <v>122</v>
      </c>
      <c r="AB305" s="40" t="s">
        <v>122</v>
      </c>
      <c r="AC305" s="104">
        <f t="shared" si="5"/>
        <v>34.010000000000005</v>
      </c>
    </row>
    <row r="306" spans="1:29" x14ac:dyDescent="0.25">
      <c r="A306" s="26" t="s">
        <v>879</v>
      </c>
      <c r="B306" s="26">
        <v>357</v>
      </c>
      <c r="C306" s="26">
        <v>255</v>
      </c>
      <c r="D306" s="26">
        <v>18.3</v>
      </c>
      <c r="E306" s="26">
        <v>279</v>
      </c>
      <c r="F306" s="26">
        <v>10.5</v>
      </c>
      <c r="G306" s="26">
        <v>23.8</v>
      </c>
      <c r="H306" s="26">
        <v>6.97</v>
      </c>
      <c r="I306" s="26">
        <v>26.5</v>
      </c>
      <c r="J306" s="26">
        <v>129</v>
      </c>
      <c r="K306" s="26">
        <v>101.2</v>
      </c>
      <c r="L306" s="26">
        <v>30094</v>
      </c>
      <c r="M306" s="26">
        <v>1688</v>
      </c>
      <c r="N306" s="26">
        <v>15.27</v>
      </c>
      <c r="O306" s="26">
        <v>942</v>
      </c>
      <c r="P306" s="26">
        <v>1885</v>
      </c>
      <c r="Q306" s="26">
        <v>5036</v>
      </c>
      <c r="R306" s="26">
        <v>397</v>
      </c>
      <c r="S306" s="26">
        <v>6.25</v>
      </c>
      <c r="T306" s="26">
        <v>302</v>
      </c>
      <c r="U306" s="26">
        <v>595</v>
      </c>
      <c r="V306" s="26">
        <v>605</v>
      </c>
      <c r="W306" s="26">
        <v>126</v>
      </c>
      <c r="X306" s="26">
        <v>1444723</v>
      </c>
      <c r="Y306" s="26">
        <v>20822</v>
      </c>
      <c r="Z306" s="26">
        <v>34.700000000000003</v>
      </c>
      <c r="AA306" s="40" t="s">
        <v>122</v>
      </c>
      <c r="AB306" s="40" t="s">
        <v>122</v>
      </c>
      <c r="AC306" s="104">
        <f t="shared" si="5"/>
        <v>33.869999999999997</v>
      </c>
    </row>
    <row r="307" spans="1:29" x14ac:dyDescent="0.25">
      <c r="A307" s="26" t="s">
        <v>880</v>
      </c>
      <c r="B307" s="26">
        <v>353</v>
      </c>
      <c r="C307" s="26">
        <v>254</v>
      </c>
      <c r="D307" s="26">
        <v>16.399999999999999</v>
      </c>
      <c r="E307" s="26">
        <v>279</v>
      </c>
      <c r="F307" s="26">
        <v>9.5299999999999994</v>
      </c>
      <c r="G307" s="26">
        <v>23.8</v>
      </c>
      <c r="H307" s="26">
        <v>7.75</v>
      </c>
      <c r="I307" s="26">
        <v>29.3</v>
      </c>
      <c r="J307" s="26">
        <v>115.5</v>
      </c>
      <c r="K307" s="26">
        <v>90.8</v>
      </c>
      <c r="L307" s="26">
        <v>26639</v>
      </c>
      <c r="M307" s="26">
        <v>1511</v>
      </c>
      <c r="N307" s="26">
        <v>15.19</v>
      </c>
      <c r="O307" s="26">
        <v>836</v>
      </c>
      <c r="P307" s="26">
        <v>1671</v>
      </c>
      <c r="Q307" s="26">
        <v>4454</v>
      </c>
      <c r="R307" s="26">
        <v>352</v>
      </c>
      <c r="S307" s="26">
        <v>6.22</v>
      </c>
      <c r="T307" s="26">
        <v>269</v>
      </c>
      <c r="U307" s="26">
        <v>528.5</v>
      </c>
      <c r="V307" s="26">
        <v>537</v>
      </c>
      <c r="W307" s="26">
        <v>91.6</v>
      </c>
      <c r="X307" s="26">
        <v>1264804</v>
      </c>
      <c r="Y307" s="26">
        <v>18754</v>
      </c>
      <c r="Z307" s="26">
        <v>51.7</v>
      </c>
      <c r="AA307" s="40" t="s">
        <v>122</v>
      </c>
      <c r="AB307" s="40" t="s">
        <v>122</v>
      </c>
      <c r="AC307" s="104">
        <f t="shared" si="5"/>
        <v>33.660000000000004</v>
      </c>
    </row>
    <row r="308" spans="1:29" x14ac:dyDescent="0.25">
      <c r="A308" s="26" t="s">
        <v>881</v>
      </c>
      <c r="B308" s="26">
        <v>354</v>
      </c>
      <c r="C308" s="26">
        <v>205</v>
      </c>
      <c r="D308" s="26">
        <v>16.8</v>
      </c>
      <c r="E308" s="26">
        <v>279</v>
      </c>
      <c r="F308" s="26">
        <v>9.4</v>
      </c>
      <c r="G308" s="26">
        <v>23.8</v>
      </c>
      <c r="H308" s="26">
        <v>6.11</v>
      </c>
      <c r="I308" s="26">
        <v>29.7</v>
      </c>
      <c r="J308" s="26">
        <v>100.6</v>
      </c>
      <c r="K308" s="26">
        <v>78.900000000000006</v>
      </c>
      <c r="L308" s="26">
        <v>22518</v>
      </c>
      <c r="M308" s="26">
        <v>1275</v>
      </c>
      <c r="N308" s="26">
        <v>14.96</v>
      </c>
      <c r="O308" s="26">
        <v>714</v>
      </c>
      <c r="P308" s="26">
        <v>1427</v>
      </c>
      <c r="Q308" s="26">
        <v>2402</v>
      </c>
      <c r="R308" s="26">
        <v>234</v>
      </c>
      <c r="S308" s="26">
        <v>4.88</v>
      </c>
      <c r="T308" s="26">
        <v>180</v>
      </c>
      <c r="U308" s="26">
        <v>351.5</v>
      </c>
      <c r="V308" s="26">
        <v>361</v>
      </c>
      <c r="W308" s="26">
        <v>80.7</v>
      </c>
      <c r="X308" s="26">
        <v>682081</v>
      </c>
      <c r="Y308" s="26">
        <v>19512</v>
      </c>
      <c r="Z308" s="26">
        <v>47.3</v>
      </c>
      <c r="AA308" s="40" t="s">
        <v>122</v>
      </c>
      <c r="AB308" s="40" t="s">
        <v>122</v>
      </c>
      <c r="AC308" s="104">
        <f t="shared" si="5"/>
        <v>33.72</v>
      </c>
    </row>
    <row r="309" spans="1:29" x14ac:dyDescent="0.25">
      <c r="A309" s="26" t="s">
        <v>882</v>
      </c>
      <c r="B309" s="26">
        <v>350</v>
      </c>
      <c r="C309" s="26">
        <v>204</v>
      </c>
      <c r="D309" s="26">
        <v>15.1</v>
      </c>
      <c r="E309" s="26">
        <v>279</v>
      </c>
      <c r="F309" s="26">
        <v>8.64</v>
      </c>
      <c r="G309" s="26">
        <v>22.2</v>
      </c>
      <c r="H309" s="26">
        <v>6.75</v>
      </c>
      <c r="I309" s="26">
        <v>32.4</v>
      </c>
      <c r="J309" s="26">
        <v>90.97</v>
      </c>
      <c r="K309" s="26">
        <v>71.400000000000006</v>
      </c>
      <c r="L309" s="26">
        <v>20187</v>
      </c>
      <c r="M309" s="26">
        <v>1152</v>
      </c>
      <c r="N309" s="26">
        <v>14.86</v>
      </c>
      <c r="O309" s="26">
        <v>642</v>
      </c>
      <c r="P309" s="26">
        <v>1285</v>
      </c>
      <c r="Q309" s="26">
        <v>2139</v>
      </c>
      <c r="R309" s="26">
        <v>210</v>
      </c>
      <c r="S309" s="26">
        <v>4.8499999999999996</v>
      </c>
      <c r="T309" s="26">
        <v>161</v>
      </c>
      <c r="U309" s="26">
        <v>314.60000000000002</v>
      </c>
      <c r="V309" s="26">
        <v>321</v>
      </c>
      <c r="W309" s="26">
        <v>60.8</v>
      </c>
      <c r="X309" s="26">
        <v>601520</v>
      </c>
      <c r="Y309" s="26">
        <v>17788</v>
      </c>
      <c r="Z309" s="26">
        <v>67.7</v>
      </c>
      <c r="AA309" s="40" t="s">
        <v>122</v>
      </c>
      <c r="AB309" s="40" t="s">
        <v>122</v>
      </c>
      <c r="AC309" s="104">
        <f t="shared" si="5"/>
        <v>33.489999999999995</v>
      </c>
    </row>
    <row r="310" spans="1:29" x14ac:dyDescent="0.25">
      <c r="A310" s="26" t="s">
        <v>883</v>
      </c>
      <c r="B310" s="26">
        <v>347</v>
      </c>
      <c r="C310" s="26">
        <v>203</v>
      </c>
      <c r="D310" s="26">
        <v>13.5</v>
      </c>
      <c r="E310" s="26">
        <v>279</v>
      </c>
      <c r="F310" s="26">
        <v>7.75</v>
      </c>
      <c r="G310" s="26">
        <v>22.2</v>
      </c>
      <c r="H310" s="26">
        <v>7.54</v>
      </c>
      <c r="I310" s="26">
        <v>36.1</v>
      </c>
      <c r="J310" s="26">
        <v>81.290000000000006</v>
      </c>
      <c r="K310" s="26">
        <v>64</v>
      </c>
      <c r="L310" s="26">
        <v>17815</v>
      </c>
      <c r="M310" s="26">
        <v>1027</v>
      </c>
      <c r="N310" s="26">
        <v>14.78</v>
      </c>
      <c r="O310" s="26">
        <v>570</v>
      </c>
      <c r="P310" s="26">
        <v>1141</v>
      </c>
      <c r="Q310" s="26">
        <v>1881</v>
      </c>
      <c r="R310" s="26">
        <v>185</v>
      </c>
      <c r="S310" s="26">
        <v>4.8</v>
      </c>
      <c r="T310" s="26">
        <v>142</v>
      </c>
      <c r="U310" s="26">
        <v>277.8</v>
      </c>
      <c r="V310" s="26">
        <v>283</v>
      </c>
      <c r="W310" s="26">
        <v>43.7</v>
      </c>
      <c r="X310" s="26">
        <v>523645</v>
      </c>
      <c r="Y310" s="26">
        <v>15996</v>
      </c>
      <c r="Z310" s="26">
        <v>103</v>
      </c>
      <c r="AA310" s="40" t="s">
        <v>122</v>
      </c>
      <c r="AB310" s="40" t="s">
        <v>122</v>
      </c>
      <c r="AC310" s="104">
        <f t="shared" si="5"/>
        <v>33.35</v>
      </c>
    </row>
    <row r="311" spans="1:29" x14ac:dyDescent="0.25">
      <c r="A311" s="26" t="s">
        <v>884</v>
      </c>
      <c r="B311" s="26">
        <v>358</v>
      </c>
      <c r="C311" s="26">
        <v>172</v>
      </c>
      <c r="D311" s="26">
        <v>13.1</v>
      </c>
      <c r="E311" s="26">
        <v>305</v>
      </c>
      <c r="F311" s="26">
        <v>7.87</v>
      </c>
      <c r="G311" s="26">
        <v>15.9</v>
      </c>
      <c r="H311" s="26">
        <v>6.57</v>
      </c>
      <c r="I311" s="26">
        <v>38.700000000000003</v>
      </c>
      <c r="J311" s="26">
        <v>72.260000000000005</v>
      </c>
      <c r="K311" s="26">
        <v>56.6</v>
      </c>
      <c r="L311" s="26">
        <v>16025</v>
      </c>
      <c r="M311" s="26">
        <v>895</v>
      </c>
      <c r="N311" s="26">
        <v>14.91</v>
      </c>
      <c r="O311" s="26">
        <v>504</v>
      </c>
      <c r="P311" s="26">
        <v>1008</v>
      </c>
      <c r="Q311" s="26">
        <v>1111</v>
      </c>
      <c r="R311" s="26">
        <v>129</v>
      </c>
      <c r="S311" s="26">
        <v>3.94</v>
      </c>
      <c r="T311" s="26">
        <v>99.1</v>
      </c>
      <c r="U311" s="26">
        <v>193.7</v>
      </c>
      <c r="V311" s="26">
        <v>198</v>
      </c>
      <c r="W311" s="26">
        <v>33.299999999999997</v>
      </c>
      <c r="X311" s="26">
        <v>330299</v>
      </c>
      <c r="Y311" s="26">
        <v>15100</v>
      </c>
      <c r="Z311" s="26">
        <v>144</v>
      </c>
      <c r="AA311" s="40" t="s">
        <v>122</v>
      </c>
      <c r="AB311" s="40" t="s">
        <v>122</v>
      </c>
      <c r="AC311" s="104">
        <f t="shared" si="5"/>
        <v>34.489999999999995</v>
      </c>
    </row>
    <row r="312" spans="1:29" x14ac:dyDescent="0.25">
      <c r="A312" s="26" t="s">
        <v>885</v>
      </c>
      <c r="B312" s="26">
        <v>355</v>
      </c>
      <c r="C312" s="26">
        <v>171</v>
      </c>
      <c r="D312" s="26">
        <v>11.6</v>
      </c>
      <c r="E312" s="26">
        <v>305</v>
      </c>
      <c r="F312" s="26">
        <v>7.24</v>
      </c>
      <c r="G312" s="26">
        <v>15.9</v>
      </c>
      <c r="H312" s="26">
        <v>7.41</v>
      </c>
      <c r="I312" s="26">
        <v>42.1</v>
      </c>
      <c r="J312" s="26">
        <v>64.52</v>
      </c>
      <c r="K312" s="26">
        <v>50.6</v>
      </c>
      <c r="L312" s="26">
        <v>14152</v>
      </c>
      <c r="M312" s="26">
        <v>796</v>
      </c>
      <c r="N312" s="26">
        <v>14.81</v>
      </c>
      <c r="O312" s="26">
        <v>447</v>
      </c>
      <c r="P312" s="26">
        <v>895</v>
      </c>
      <c r="Q312" s="26">
        <v>970</v>
      </c>
      <c r="R312" s="26">
        <v>113</v>
      </c>
      <c r="S312" s="26">
        <v>3.89</v>
      </c>
      <c r="T312" s="26">
        <v>86.9</v>
      </c>
      <c r="U312" s="26">
        <v>170</v>
      </c>
      <c r="V312" s="26">
        <v>174</v>
      </c>
      <c r="W312" s="26">
        <v>23.7</v>
      </c>
      <c r="X312" s="26">
        <v>287333</v>
      </c>
      <c r="Y312" s="26">
        <v>13583</v>
      </c>
      <c r="Z312" s="26">
        <v>223</v>
      </c>
      <c r="AA312" s="40" t="s">
        <v>122</v>
      </c>
      <c r="AB312" s="40" t="s">
        <v>122</v>
      </c>
      <c r="AC312" s="104">
        <f t="shared" si="5"/>
        <v>34.339999999999996</v>
      </c>
    </row>
    <row r="313" spans="1:29" x14ac:dyDescent="0.25">
      <c r="A313" s="26" t="s">
        <v>886</v>
      </c>
      <c r="B313" s="26">
        <v>352</v>
      </c>
      <c r="C313" s="26">
        <v>171</v>
      </c>
      <c r="D313" s="26">
        <v>9.7799999999999994</v>
      </c>
      <c r="E313" s="26">
        <v>305</v>
      </c>
      <c r="F313" s="26">
        <v>6.86</v>
      </c>
      <c r="G313" s="26">
        <v>15.9</v>
      </c>
      <c r="H313" s="26">
        <v>8.74</v>
      </c>
      <c r="I313" s="26">
        <v>44.4</v>
      </c>
      <c r="J313" s="26">
        <v>57.1</v>
      </c>
      <c r="K313" s="26">
        <v>44.6</v>
      </c>
      <c r="L313" s="26">
        <v>12112</v>
      </c>
      <c r="M313" s="26">
        <v>688</v>
      </c>
      <c r="N313" s="26">
        <v>14.55</v>
      </c>
      <c r="O313" s="26">
        <v>388</v>
      </c>
      <c r="P313" s="26">
        <v>775</v>
      </c>
      <c r="Q313" s="26">
        <v>816</v>
      </c>
      <c r="R313" s="26">
        <v>95.4</v>
      </c>
      <c r="S313" s="26">
        <v>3.78</v>
      </c>
      <c r="T313" s="26">
        <v>73.7</v>
      </c>
      <c r="U313" s="26">
        <v>143</v>
      </c>
      <c r="V313" s="26">
        <v>147</v>
      </c>
      <c r="W313" s="26">
        <v>15.8</v>
      </c>
      <c r="X313" s="26">
        <v>238191</v>
      </c>
      <c r="Y313" s="26">
        <v>12066</v>
      </c>
      <c r="Z313" s="26">
        <v>370</v>
      </c>
      <c r="AA313" s="40" t="s">
        <v>122</v>
      </c>
      <c r="AB313" s="40" t="s">
        <v>122</v>
      </c>
      <c r="AC313" s="104">
        <f t="shared" si="5"/>
        <v>34.222000000000001</v>
      </c>
    </row>
    <row r="314" spans="1:29" x14ac:dyDescent="0.25">
      <c r="A314" s="26" t="s">
        <v>887</v>
      </c>
      <c r="B314" s="26">
        <v>353</v>
      </c>
      <c r="C314" s="26">
        <v>128</v>
      </c>
      <c r="D314" s="26">
        <v>10.7</v>
      </c>
      <c r="E314" s="26">
        <v>305</v>
      </c>
      <c r="F314" s="26">
        <v>6.48</v>
      </c>
      <c r="G314" s="26">
        <v>14.3</v>
      </c>
      <c r="H314" s="26">
        <v>5.98</v>
      </c>
      <c r="I314" s="26">
        <v>47.1</v>
      </c>
      <c r="J314" s="26">
        <v>49.61</v>
      </c>
      <c r="K314" s="26">
        <v>38.700000000000003</v>
      </c>
      <c r="L314" s="26">
        <v>10198</v>
      </c>
      <c r="M314" s="26">
        <v>578</v>
      </c>
      <c r="N314" s="26">
        <v>14.35</v>
      </c>
      <c r="O314" s="26">
        <v>329</v>
      </c>
      <c r="P314" s="26">
        <v>659</v>
      </c>
      <c r="Q314" s="26">
        <v>371</v>
      </c>
      <c r="R314" s="26">
        <v>58</v>
      </c>
      <c r="S314" s="26">
        <v>2.74</v>
      </c>
      <c r="T314" s="26">
        <v>45.4</v>
      </c>
      <c r="U314" s="26">
        <v>87</v>
      </c>
      <c r="V314" s="26">
        <v>90.8</v>
      </c>
      <c r="W314" s="26">
        <v>15</v>
      </c>
      <c r="X314" s="26">
        <v>108757</v>
      </c>
      <c r="Y314" s="26">
        <v>13031</v>
      </c>
      <c r="Z314" s="26">
        <v>292</v>
      </c>
      <c r="AA314" s="40" t="s">
        <v>122</v>
      </c>
      <c r="AB314" s="40" t="s">
        <v>122</v>
      </c>
      <c r="AC314" s="104">
        <f t="shared" si="5"/>
        <v>34.230000000000004</v>
      </c>
    </row>
    <row r="315" spans="1:29" x14ac:dyDescent="0.25">
      <c r="A315" s="26" t="s">
        <v>888</v>
      </c>
      <c r="B315" s="26">
        <v>349</v>
      </c>
      <c r="C315" s="26">
        <v>127</v>
      </c>
      <c r="D315" s="26">
        <v>8.51</v>
      </c>
      <c r="E315" s="26">
        <v>305</v>
      </c>
      <c r="F315" s="26">
        <v>5.84</v>
      </c>
      <c r="G315" s="26">
        <v>14.3</v>
      </c>
      <c r="H315" s="26">
        <v>7.46</v>
      </c>
      <c r="I315" s="26">
        <v>52.2</v>
      </c>
      <c r="J315" s="26">
        <v>41.87</v>
      </c>
      <c r="K315" s="26">
        <v>32.700000000000003</v>
      </c>
      <c r="L315" s="26">
        <v>8283</v>
      </c>
      <c r="M315" s="26">
        <v>475</v>
      </c>
      <c r="N315" s="26">
        <v>14.07</v>
      </c>
      <c r="O315" s="26">
        <v>272</v>
      </c>
      <c r="P315" s="26">
        <v>544</v>
      </c>
      <c r="Q315" s="26">
        <v>291</v>
      </c>
      <c r="R315" s="26">
        <v>45.9</v>
      </c>
      <c r="S315" s="26">
        <v>2.64</v>
      </c>
      <c r="T315" s="26">
        <v>36</v>
      </c>
      <c r="U315" s="26">
        <v>68.8</v>
      </c>
      <c r="V315" s="26">
        <v>71.900000000000006</v>
      </c>
      <c r="W315" s="26">
        <v>8.74</v>
      </c>
      <c r="X315" s="26">
        <v>84320</v>
      </c>
      <c r="Y315" s="26">
        <v>11101</v>
      </c>
      <c r="Z315" s="26">
        <v>574</v>
      </c>
      <c r="AA315" s="40" t="s">
        <v>122</v>
      </c>
      <c r="AB315" s="40" t="s">
        <v>122</v>
      </c>
      <c r="AC315" s="104">
        <f t="shared" si="5"/>
        <v>34.048999999999999</v>
      </c>
    </row>
    <row r="316" spans="1:29" x14ac:dyDescent="0.25">
      <c r="A316" s="26" t="s">
        <v>889</v>
      </c>
      <c r="B316" s="26">
        <v>427</v>
      </c>
      <c r="C316" s="26">
        <v>340</v>
      </c>
      <c r="D316" s="26">
        <v>75.099999999999994</v>
      </c>
      <c r="E316" s="26">
        <v>241</v>
      </c>
      <c r="F316" s="26">
        <v>45.1</v>
      </c>
      <c r="G316" s="26">
        <v>38.1</v>
      </c>
      <c r="H316" s="26">
        <v>2.2599999999999998</v>
      </c>
      <c r="I316" s="26">
        <v>5.35</v>
      </c>
      <c r="J316" s="26">
        <v>637.4</v>
      </c>
      <c r="K316" s="26">
        <v>500</v>
      </c>
      <c r="L316" s="26">
        <v>168990</v>
      </c>
      <c r="M316" s="26">
        <v>7915</v>
      </c>
      <c r="N316" s="26">
        <v>16.28</v>
      </c>
      <c r="O316" s="26">
        <v>4941</v>
      </c>
      <c r="P316" s="26">
        <v>9881</v>
      </c>
      <c r="Q316" s="26">
        <v>49532</v>
      </c>
      <c r="R316" s="26">
        <v>2901</v>
      </c>
      <c r="S316" s="26">
        <v>8.81</v>
      </c>
      <c r="T316" s="26">
        <v>2245</v>
      </c>
      <c r="U316" s="26">
        <v>4351</v>
      </c>
      <c r="V316" s="26">
        <v>4490</v>
      </c>
      <c r="W316" s="26">
        <v>10114</v>
      </c>
      <c r="X316" s="26">
        <v>15306544</v>
      </c>
      <c r="Y316" s="26">
        <v>88253</v>
      </c>
      <c r="Z316" s="26">
        <v>0.13</v>
      </c>
      <c r="AA316" s="40" t="s">
        <v>122</v>
      </c>
      <c r="AB316" s="40" t="s">
        <v>122</v>
      </c>
      <c r="AC316" s="104">
        <f t="shared" si="5"/>
        <v>35.19</v>
      </c>
    </row>
    <row r="317" spans="1:29" x14ac:dyDescent="0.25">
      <c r="A317" s="26" t="s">
        <v>890</v>
      </c>
      <c r="B317" s="26">
        <v>415</v>
      </c>
      <c r="C317" s="26">
        <v>336</v>
      </c>
      <c r="D317" s="26">
        <v>68.7</v>
      </c>
      <c r="E317" s="26">
        <v>241</v>
      </c>
      <c r="F317" s="26">
        <v>41.3</v>
      </c>
      <c r="G317" s="26">
        <v>36.5</v>
      </c>
      <c r="H317" s="26">
        <v>2.4500000000000002</v>
      </c>
      <c r="I317" s="26">
        <v>5.85</v>
      </c>
      <c r="J317" s="26">
        <v>578.1</v>
      </c>
      <c r="K317" s="26">
        <v>453.9</v>
      </c>
      <c r="L317" s="26">
        <v>147762</v>
      </c>
      <c r="M317" s="26">
        <v>7128</v>
      </c>
      <c r="N317" s="26">
        <v>15.98</v>
      </c>
      <c r="O317" s="26">
        <v>4400</v>
      </c>
      <c r="P317" s="26">
        <v>8800</v>
      </c>
      <c r="Q317" s="26">
        <v>43704</v>
      </c>
      <c r="R317" s="26">
        <v>2606</v>
      </c>
      <c r="S317" s="26">
        <v>8.69</v>
      </c>
      <c r="T317" s="26">
        <v>1999</v>
      </c>
      <c r="U317" s="26">
        <v>3908</v>
      </c>
      <c r="V317" s="26">
        <v>3998</v>
      </c>
      <c r="W317" s="26">
        <v>7700</v>
      </c>
      <c r="X317" s="26">
        <v>13050843</v>
      </c>
      <c r="Y317" s="26">
        <v>81358</v>
      </c>
      <c r="Z317" s="26">
        <v>0.17</v>
      </c>
      <c r="AA317" s="40" t="s">
        <v>122</v>
      </c>
      <c r="AB317" s="40" t="s">
        <v>122</v>
      </c>
      <c r="AC317" s="104">
        <f t="shared" si="5"/>
        <v>34.630000000000003</v>
      </c>
    </row>
    <row r="318" spans="1:29" x14ac:dyDescent="0.25">
      <c r="A318" s="26" t="s">
        <v>891</v>
      </c>
      <c r="B318" s="26">
        <v>403</v>
      </c>
      <c r="C318" s="26">
        <v>334</v>
      </c>
      <c r="D318" s="26">
        <v>62.7</v>
      </c>
      <c r="E318" s="26">
        <v>241</v>
      </c>
      <c r="F318" s="26">
        <v>38.9</v>
      </c>
      <c r="G318" s="26">
        <v>34.9</v>
      </c>
      <c r="H318" s="26">
        <v>2.66</v>
      </c>
      <c r="I318" s="26">
        <v>6.21</v>
      </c>
      <c r="J318" s="26">
        <v>528.4</v>
      </c>
      <c r="K318" s="26">
        <v>415.2</v>
      </c>
      <c r="L318" s="26">
        <v>129448</v>
      </c>
      <c r="M318" s="26">
        <v>6440</v>
      </c>
      <c r="N318" s="26">
        <v>15.65</v>
      </c>
      <c r="O318" s="26">
        <v>3941</v>
      </c>
      <c r="P318" s="26">
        <v>7882</v>
      </c>
      <c r="Q318" s="26">
        <v>39001</v>
      </c>
      <c r="R318" s="26">
        <v>2343</v>
      </c>
      <c r="S318" s="26">
        <v>8.59</v>
      </c>
      <c r="T318" s="26">
        <v>1803</v>
      </c>
      <c r="U318" s="26">
        <v>3515</v>
      </c>
      <c r="V318" s="26">
        <v>3605</v>
      </c>
      <c r="W318" s="26">
        <v>5952</v>
      </c>
      <c r="X318" s="26">
        <v>11278506</v>
      </c>
      <c r="Y318" s="26">
        <v>75842</v>
      </c>
      <c r="Z318" s="26">
        <v>0.23</v>
      </c>
      <c r="AA318" s="40" t="s">
        <v>122</v>
      </c>
      <c r="AB318" s="40" t="s">
        <v>122</v>
      </c>
      <c r="AC318" s="104">
        <f t="shared" si="5"/>
        <v>34.03</v>
      </c>
    </row>
    <row r="319" spans="1:29" x14ac:dyDescent="0.25">
      <c r="A319" s="26" t="s">
        <v>892</v>
      </c>
      <c r="B319" s="26">
        <v>391</v>
      </c>
      <c r="C319" s="26">
        <v>330</v>
      </c>
      <c r="D319" s="26">
        <v>57.2</v>
      </c>
      <c r="E319" s="26">
        <v>241</v>
      </c>
      <c r="F319" s="26">
        <v>35.4</v>
      </c>
      <c r="G319" s="26">
        <v>33.299999999999997</v>
      </c>
      <c r="H319" s="26">
        <v>2.89</v>
      </c>
      <c r="I319" s="26">
        <v>6.81</v>
      </c>
      <c r="J319" s="26">
        <v>478.1</v>
      </c>
      <c r="K319" s="26">
        <v>375</v>
      </c>
      <c r="L319" s="26">
        <v>113215</v>
      </c>
      <c r="M319" s="26">
        <v>5785</v>
      </c>
      <c r="N319" s="26">
        <v>15.39</v>
      </c>
      <c r="O319" s="26">
        <v>3507</v>
      </c>
      <c r="P319" s="26">
        <v>7014</v>
      </c>
      <c r="Q319" s="26">
        <v>34464</v>
      </c>
      <c r="R319" s="26">
        <v>2081</v>
      </c>
      <c r="S319" s="26">
        <v>8.48</v>
      </c>
      <c r="T319" s="26">
        <v>1606</v>
      </c>
      <c r="U319" s="26">
        <v>3122</v>
      </c>
      <c r="V319" s="26">
        <v>3212</v>
      </c>
      <c r="W319" s="26">
        <v>4495</v>
      </c>
      <c r="X319" s="26">
        <v>9613584</v>
      </c>
      <c r="Y319" s="26">
        <v>69637</v>
      </c>
      <c r="Z319" s="26">
        <v>0.31</v>
      </c>
      <c r="AA319" s="40" t="s">
        <v>122</v>
      </c>
      <c r="AB319" s="40" t="s">
        <v>122</v>
      </c>
      <c r="AC319" s="104">
        <f t="shared" si="5"/>
        <v>33.380000000000003</v>
      </c>
    </row>
    <row r="320" spans="1:29" x14ac:dyDescent="0.25">
      <c r="A320" s="26" t="s">
        <v>893</v>
      </c>
      <c r="B320" s="26">
        <v>382</v>
      </c>
      <c r="C320" s="26">
        <v>328</v>
      </c>
      <c r="D320" s="26">
        <v>52.6</v>
      </c>
      <c r="E320" s="26">
        <v>241</v>
      </c>
      <c r="F320" s="26">
        <v>32.6</v>
      </c>
      <c r="G320" s="26">
        <v>31.8</v>
      </c>
      <c r="H320" s="26">
        <v>3.11</v>
      </c>
      <c r="I320" s="26">
        <v>7.39</v>
      </c>
      <c r="J320" s="26">
        <v>436.8</v>
      </c>
      <c r="K320" s="26">
        <v>342.3</v>
      </c>
      <c r="L320" s="26">
        <v>100728</v>
      </c>
      <c r="M320" s="26">
        <v>5260</v>
      </c>
      <c r="N320" s="26">
        <v>15.16</v>
      </c>
      <c r="O320" s="26">
        <v>3163</v>
      </c>
      <c r="P320" s="26">
        <v>6325</v>
      </c>
      <c r="Q320" s="26">
        <v>30884</v>
      </c>
      <c r="R320" s="26">
        <v>1885</v>
      </c>
      <c r="S320" s="26">
        <v>8.41</v>
      </c>
      <c r="T320" s="26">
        <v>1450</v>
      </c>
      <c r="U320" s="26">
        <v>2827</v>
      </c>
      <c r="V320" s="26">
        <v>2901</v>
      </c>
      <c r="W320" s="26">
        <v>3488</v>
      </c>
      <c r="X320" s="26">
        <v>8378319</v>
      </c>
      <c r="Y320" s="26">
        <v>64742</v>
      </c>
      <c r="Z320" s="26">
        <v>0.41</v>
      </c>
      <c r="AA320" s="40" t="s">
        <v>122</v>
      </c>
      <c r="AB320" s="40" t="s">
        <v>122</v>
      </c>
      <c r="AC320" s="104">
        <f t="shared" si="5"/>
        <v>32.94</v>
      </c>
    </row>
    <row r="321" spans="1:29" x14ac:dyDescent="0.25">
      <c r="A321" s="26" t="s">
        <v>894</v>
      </c>
      <c r="B321" s="26">
        <v>374</v>
      </c>
      <c r="C321" s="26">
        <v>325</v>
      </c>
      <c r="D321" s="26">
        <v>48.3</v>
      </c>
      <c r="E321" s="26">
        <v>241</v>
      </c>
      <c r="F321" s="26">
        <v>30</v>
      </c>
      <c r="G321" s="26">
        <v>31.8</v>
      </c>
      <c r="H321" s="26">
        <v>3.37</v>
      </c>
      <c r="I321" s="26">
        <v>8.0500000000000007</v>
      </c>
      <c r="J321" s="26">
        <v>398.7</v>
      </c>
      <c r="K321" s="26">
        <v>312.5</v>
      </c>
      <c r="L321" s="26">
        <v>89074</v>
      </c>
      <c r="M321" s="26">
        <v>4785</v>
      </c>
      <c r="N321" s="26">
        <v>14.96</v>
      </c>
      <c r="O321" s="26">
        <v>2851</v>
      </c>
      <c r="P321" s="26">
        <v>5703</v>
      </c>
      <c r="Q321" s="26">
        <v>27638</v>
      </c>
      <c r="R321" s="26">
        <v>1704</v>
      </c>
      <c r="S321" s="26">
        <v>8.33</v>
      </c>
      <c r="T321" s="26">
        <v>1303</v>
      </c>
      <c r="U321" s="26">
        <v>2556</v>
      </c>
      <c r="V321" s="26">
        <v>2606</v>
      </c>
      <c r="W321" s="26">
        <v>2693</v>
      </c>
      <c r="X321" s="26">
        <v>7304176</v>
      </c>
      <c r="Y321" s="26">
        <v>59778</v>
      </c>
      <c r="Z321" s="26">
        <v>0.56000000000000005</v>
      </c>
      <c r="AA321" s="40" t="s">
        <v>122</v>
      </c>
      <c r="AB321" s="40" t="s">
        <v>122</v>
      </c>
      <c r="AC321" s="104">
        <f t="shared" si="5"/>
        <v>32.57</v>
      </c>
    </row>
    <row r="322" spans="1:29" x14ac:dyDescent="0.25">
      <c r="A322" s="26" t="s">
        <v>895</v>
      </c>
      <c r="B322" s="26">
        <v>365</v>
      </c>
      <c r="C322" s="26">
        <v>322</v>
      </c>
      <c r="D322" s="26">
        <v>44.1</v>
      </c>
      <c r="E322" s="26">
        <v>241</v>
      </c>
      <c r="F322" s="26">
        <v>26.9</v>
      </c>
      <c r="G322" s="26">
        <v>30.2</v>
      </c>
      <c r="H322" s="26">
        <v>3.65</v>
      </c>
      <c r="I322" s="26">
        <v>8.9600000000000009</v>
      </c>
      <c r="J322" s="26">
        <v>360</v>
      </c>
      <c r="K322" s="26">
        <v>282.8</v>
      </c>
      <c r="L322" s="26">
        <v>78668</v>
      </c>
      <c r="M322" s="26">
        <v>4310</v>
      </c>
      <c r="N322" s="26">
        <v>14.78</v>
      </c>
      <c r="O322" s="26">
        <v>2548</v>
      </c>
      <c r="P322" s="26">
        <v>5096</v>
      </c>
      <c r="Q322" s="26">
        <v>24516</v>
      </c>
      <c r="R322" s="26">
        <v>1524</v>
      </c>
      <c r="S322" s="26">
        <v>8.26</v>
      </c>
      <c r="T322" s="26">
        <v>1172</v>
      </c>
      <c r="U322" s="26">
        <v>2286</v>
      </c>
      <c r="V322" s="26">
        <v>2343</v>
      </c>
      <c r="W322" s="26">
        <v>2031</v>
      </c>
      <c r="X322" s="26">
        <v>6337446</v>
      </c>
      <c r="Y322" s="26">
        <v>54744</v>
      </c>
      <c r="Z322" s="26">
        <v>0.78</v>
      </c>
      <c r="AA322" s="40" t="s">
        <v>122</v>
      </c>
      <c r="AB322" s="40" t="s">
        <v>122</v>
      </c>
      <c r="AC322" s="104">
        <f t="shared" si="5"/>
        <v>32.089999999999996</v>
      </c>
    </row>
    <row r="323" spans="1:29" x14ac:dyDescent="0.25">
      <c r="A323" s="26" t="s">
        <v>896</v>
      </c>
      <c r="B323" s="26">
        <v>356</v>
      </c>
      <c r="C323" s="26">
        <v>319</v>
      </c>
      <c r="D323" s="26">
        <v>39.6</v>
      </c>
      <c r="E323" s="26">
        <v>241</v>
      </c>
      <c r="F323" s="26">
        <v>24.4</v>
      </c>
      <c r="G323" s="26">
        <v>28.6</v>
      </c>
      <c r="H323" s="26">
        <v>4.03</v>
      </c>
      <c r="I323" s="26">
        <v>9.9</v>
      </c>
      <c r="J323" s="26">
        <v>322.60000000000002</v>
      </c>
      <c r="K323" s="26">
        <v>253</v>
      </c>
      <c r="L323" s="26">
        <v>68678</v>
      </c>
      <c r="M323" s="26">
        <v>3851</v>
      </c>
      <c r="N323" s="26">
        <v>14.58</v>
      </c>
      <c r="O323" s="26">
        <v>2253</v>
      </c>
      <c r="P323" s="26">
        <v>4506</v>
      </c>
      <c r="Q323" s="26">
        <v>21519</v>
      </c>
      <c r="R323" s="26">
        <v>1349</v>
      </c>
      <c r="S323" s="26">
        <v>8.18</v>
      </c>
      <c r="T323" s="26">
        <v>1032</v>
      </c>
      <c r="U323" s="26">
        <v>2023</v>
      </c>
      <c r="V323" s="26">
        <v>2065</v>
      </c>
      <c r="W323" s="26">
        <v>1482</v>
      </c>
      <c r="X323" s="26">
        <v>5397571</v>
      </c>
      <c r="Y323" s="26">
        <v>49573</v>
      </c>
      <c r="Z323" s="26">
        <v>1.1399999999999999</v>
      </c>
      <c r="AA323" s="40" t="s">
        <v>122</v>
      </c>
      <c r="AB323" s="40" t="s">
        <v>122</v>
      </c>
      <c r="AC323" s="104">
        <f t="shared" si="5"/>
        <v>31.639999999999997</v>
      </c>
    </row>
    <row r="324" spans="1:29" x14ac:dyDescent="0.25">
      <c r="A324" s="26" t="s">
        <v>897</v>
      </c>
      <c r="B324" s="26">
        <v>348</v>
      </c>
      <c r="C324" s="26">
        <v>317</v>
      </c>
      <c r="D324" s="26">
        <v>35.6</v>
      </c>
      <c r="E324" s="26">
        <v>241</v>
      </c>
      <c r="F324" s="26">
        <v>22.1</v>
      </c>
      <c r="G324" s="26">
        <v>27</v>
      </c>
      <c r="H324" s="26">
        <v>4.46</v>
      </c>
      <c r="I324" s="26">
        <v>10.9</v>
      </c>
      <c r="J324" s="26">
        <v>288.39999999999998</v>
      </c>
      <c r="K324" s="26">
        <v>226.2</v>
      </c>
      <c r="L324" s="26">
        <v>59521</v>
      </c>
      <c r="M324" s="26">
        <v>3425</v>
      </c>
      <c r="N324" s="26">
        <v>14.38</v>
      </c>
      <c r="O324" s="26">
        <v>1991</v>
      </c>
      <c r="P324" s="26">
        <v>3982</v>
      </c>
      <c r="Q324" s="26">
        <v>18897</v>
      </c>
      <c r="R324" s="26">
        <v>1193</v>
      </c>
      <c r="S324" s="26">
        <v>8.1</v>
      </c>
      <c r="T324" s="26">
        <v>909</v>
      </c>
      <c r="U324" s="26">
        <v>1789</v>
      </c>
      <c r="V324" s="26">
        <v>1819</v>
      </c>
      <c r="W324" s="26">
        <v>1074</v>
      </c>
      <c r="X324" s="26">
        <v>4618817</v>
      </c>
      <c r="Y324" s="26">
        <v>44885</v>
      </c>
      <c r="Z324" s="26">
        <v>1.67</v>
      </c>
      <c r="AA324" s="40" t="s">
        <v>122</v>
      </c>
      <c r="AB324" s="40" t="s">
        <v>122</v>
      </c>
      <c r="AC324" s="104">
        <f t="shared" si="5"/>
        <v>31.24</v>
      </c>
    </row>
    <row r="325" spans="1:29" x14ac:dyDescent="0.25">
      <c r="A325" s="26" t="s">
        <v>898</v>
      </c>
      <c r="B325" s="26">
        <v>341</v>
      </c>
      <c r="C325" s="26">
        <v>315</v>
      </c>
      <c r="D325" s="26">
        <v>31.8</v>
      </c>
      <c r="E325" s="26">
        <v>241</v>
      </c>
      <c r="F325" s="26">
        <v>20.100000000000001</v>
      </c>
      <c r="G325" s="26">
        <v>25.4</v>
      </c>
      <c r="H325" s="26">
        <v>4.96</v>
      </c>
      <c r="I325" s="26">
        <v>12</v>
      </c>
      <c r="J325" s="26">
        <v>257.39999999999998</v>
      </c>
      <c r="K325" s="26">
        <v>202.4</v>
      </c>
      <c r="L325" s="26">
        <v>51613</v>
      </c>
      <c r="M325" s="26">
        <v>3048</v>
      </c>
      <c r="N325" s="26">
        <v>14.17</v>
      </c>
      <c r="O325" s="26">
        <v>1753</v>
      </c>
      <c r="P325" s="26">
        <v>3507</v>
      </c>
      <c r="Q325" s="26">
        <v>16566</v>
      </c>
      <c r="R325" s="26">
        <v>1052</v>
      </c>
      <c r="S325" s="26">
        <v>8.0299999999999994</v>
      </c>
      <c r="T325" s="26">
        <v>803</v>
      </c>
      <c r="U325" s="26">
        <v>1578</v>
      </c>
      <c r="V325" s="26">
        <v>1606</v>
      </c>
      <c r="W325" s="26">
        <v>770</v>
      </c>
      <c r="X325" s="26">
        <v>3947477</v>
      </c>
      <c r="Y325" s="26">
        <v>40334</v>
      </c>
      <c r="Z325" s="26">
        <v>2.5</v>
      </c>
      <c r="AA325" s="40" t="s">
        <v>122</v>
      </c>
      <c r="AB325" s="40" t="s">
        <v>122</v>
      </c>
      <c r="AC325" s="104">
        <f t="shared" ref="AC325:AC388" si="6">(B325-D325)/10</f>
        <v>30.919999999999998</v>
      </c>
    </row>
    <row r="326" spans="1:29" x14ac:dyDescent="0.25">
      <c r="A326" s="26" t="s">
        <v>899</v>
      </c>
      <c r="B326" s="26">
        <v>333</v>
      </c>
      <c r="C326" s="26">
        <v>313</v>
      </c>
      <c r="D326" s="26">
        <v>28.1</v>
      </c>
      <c r="E326" s="26">
        <v>241</v>
      </c>
      <c r="F326" s="26">
        <v>18</v>
      </c>
      <c r="G326" s="26">
        <v>25.4</v>
      </c>
      <c r="H326" s="26">
        <v>5.57</v>
      </c>
      <c r="I326" s="26">
        <v>13.4</v>
      </c>
      <c r="J326" s="26">
        <v>227.7</v>
      </c>
      <c r="K326" s="26">
        <v>178.6</v>
      </c>
      <c r="L326" s="26">
        <v>44537</v>
      </c>
      <c r="M326" s="26">
        <v>2671</v>
      </c>
      <c r="N326" s="26">
        <v>14</v>
      </c>
      <c r="O326" s="26">
        <v>1524</v>
      </c>
      <c r="P326" s="26">
        <v>3048</v>
      </c>
      <c r="Q326" s="26">
        <v>14360</v>
      </c>
      <c r="R326" s="26">
        <v>918</v>
      </c>
      <c r="S326" s="26">
        <v>7.95</v>
      </c>
      <c r="T326" s="26">
        <v>700</v>
      </c>
      <c r="U326" s="26">
        <v>1377</v>
      </c>
      <c r="V326" s="26">
        <v>1399</v>
      </c>
      <c r="W326" s="26">
        <v>537</v>
      </c>
      <c r="X326" s="26">
        <v>3329845</v>
      </c>
      <c r="Y326" s="26">
        <v>36129</v>
      </c>
      <c r="Z326" s="26">
        <v>3.87</v>
      </c>
      <c r="AA326" s="40" t="s">
        <v>122</v>
      </c>
      <c r="AB326" s="40" t="s">
        <v>122</v>
      </c>
      <c r="AC326" s="104">
        <f t="shared" si="6"/>
        <v>30.49</v>
      </c>
    </row>
    <row r="327" spans="1:29" x14ac:dyDescent="0.25">
      <c r="A327" s="26" t="s">
        <v>900</v>
      </c>
      <c r="B327" s="26">
        <v>327</v>
      </c>
      <c r="C327" s="26">
        <v>310</v>
      </c>
      <c r="D327" s="26">
        <v>25.1</v>
      </c>
      <c r="E327" s="26">
        <v>241</v>
      </c>
      <c r="F327" s="26">
        <v>15.5</v>
      </c>
      <c r="G327" s="26">
        <v>23.8</v>
      </c>
      <c r="H327" s="26">
        <v>6.17</v>
      </c>
      <c r="I327" s="26">
        <v>15.6</v>
      </c>
      <c r="J327" s="26">
        <v>201.3</v>
      </c>
      <c r="K327" s="26">
        <v>157.69999999999999</v>
      </c>
      <c r="L327" s="26">
        <v>38834</v>
      </c>
      <c r="M327" s="26">
        <v>2376</v>
      </c>
      <c r="N327" s="26">
        <v>13.89</v>
      </c>
      <c r="O327" s="26">
        <v>1344</v>
      </c>
      <c r="P327" s="26">
        <v>2687</v>
      </c>
      <c r="Q327" s="26">
        <v>12529</v>
      </c>
      <c r="R327" s="26">
        <v>808</v>
      </c>
      <c r="S327" s="26">
        <v>7.9</v>
      </c>
      <c r="T327" s="26">
        <v>615</v>
      </c>
      <c r="U327" s="26">
        <v>1212</v>
      </c>
      <c r="V327" s="26">
        <v>1231</v>
      </c>
      <c r="W327" s="26">
        <v>380</v>
      </c>
      <c r="X327" s="26">
        <v>2873334</v>
      </c>
      <c r="Y327" s="26">
        <v>32130</v>
      </c>
      <c r="Z327" s="26">
        <v>6</v>
      </c>
      <c r="AA327" s="40" t="s">
        <v>122</v>
      </c>
      <c r="AB327" s="40" t="s">
        <v>122</v>
      </c>
      <c r="AC327" s="104">
        <f t="shared" si="6"/>
        <v>30.189999999999998</v>
      </c>
    </row>
    <row r="328" spans="1:29" x14ac:dyDescent="0.25">
      <c r="A328" s="26" t="s">
        <v>901</v>
      </c>
      <c r="B328" s="26">
        <v>323</v>
      </c>
      <c r="C328" s="26">
        <v>309</v>
      </c>
      <c r="D328" s="26">
        <v>22.9</v>
      </c>
      <c r="E328" s="26">
        <v>241</v>
      </c>
      <c r="F328" s="26">
        <v>14</v>
      </c>
      <c r="G328" s="26">
        <v>22.2</v>
      </c>
      <c r="H328" s="26">
        <v>6.76</v>
      </c>
      <c r="I328" s="26">
        <v>17.3</v>
      </c>
      <c r="J328" s="26">
        <v>181.9</v>
      </c>
      <c r="K328" s="26">
        <v>142.9</v>
      </c>
      <c r="L328" s="26">
        <v>34672</v>
      </c>
      <c r="M328" s="26">
        <v>2147</v>
      </c>
      <c r="N328" s="26">
        <v>13.82</v>
      </c>
      <c r="O328" s="26">
        <v>1204</v>
      </c>
      <c r="P328" s="26">
        <v>2409</v>
      </c>
      <c r="Q328" s="26">
        <v>11238</v>
      </c>
      <c r="R328" s="26">
        <v>728</v>
      </c>
      <c r="S328" s="26">
        <v>7.85</v>
      </c>
      <c r="T328" s="26">
        <v>553</v>
      </c>
      <c r="U328" s="26">
        <v>1091</v>
      </c>
      <c r="V328" s="26">
        <v>1106</v>
      </c>
      <c r="W328" s="26">
        <v>286</v>
      </c>
      <c r="X328" s="26">
        <v>2526923</v>
      </c>
      <c r="Y328" s="26">
        <v>29303</v>
      </c>
      <c r="Z328" s="26">
        <v>8.52</v>
      </c>
      <c r="AA328" s="40" t="s">
        <v>122</v>
      </c>
      <c r="AB328" s="40" t="s">
        <v>122</v>
      </c>
      <c r="AC328" s="104">
        <f t="shared" si="6"/>
        <v>30.01</v>
      </c>
    </row>
    <row r="329" spans="1:29" x14ac:dyDescent="0.25">
      <c r="A329" s="26" t="s">
        <v>902</v>
      </c>
      <c r="B329" s="26">
        <v>318</v>
      </c>
      <c r="C329" s="26">
        <v>308</v>
      </c>
      <c r="D329" s="26">
        <v>20.6</v>
      </c>
      <c r="E329" s="26">
        <v>241</v>
      </c>
      <c r="F329" s="26">
        <v>13.1</v>
      </c>
      <c r="G329" s="26">
        <v>22.2</v>
      </c>
      <c r="H329" s="26">
        <v>7.48</v>
      </c>
      <c r="I329" s="26">
        <v>18.399999999999999</v>
      </c>
      <c r="J329" s="26">
        <v>165.2</v>
      </c>
      <c r="K329" s="26">
        <v>129.5</v>
      </c>
      <c r="L329" s="26">
        <v>30801</v>
      </c>
      <c r="M329" s="26">
        <v>1934</v>
      </c>
      <c r="N329" s="26">
        <v>13.67</v>
      </c>
      <c r="O329" s="26">
        <v>1082</v>
      </c>
      <c r="P329" s="26">
        <v>2163</v>
      </c>
      <c r="Q329" s="26">
        <v>10031</v>
      </c>
      <c r="R329" s="26">
        <v>651</v>
      </c>
      <c r="S329" s="26">
        <v>7.8</v>
      </c>
      <c r="T329" s="26">
        <v>495</v>
      </c>
      <c r="U329" s="26">
        <v>976</v>
      </c>
      <c r="V329" s="26">
        <v>990</v>
      </c>
      <c r="W329" s="26">
        <v>212</v>
      </c>
      <c r="X329" s="26">
        <v>2220792</v>
      </c>
      <c r="Y329" s="26">
        <v>26752</v>
      </c>
      <c r="Z329" s="26">
        <v>12.3</v>
      </c>
      <c r="AA329" s="40" t="s">
        <v>122</v>
      </c>
      <c r="AB329" s="40" t="s">
        <v>122</v>
      </c>
      <c r="AC329" s="104">
        <f t="shared" si="6"/>
        <v>29.74</v>
      </c>
    </row>
    <row r="330" spans="1:29" x14ac:dyDescent="0.25">
      <c r="A330" s="26" t="s">
        <v>903</v>
      </c>
      <c r="B330" s="26">
        <v>314</v>
      </c>
      <c r="C330" s="26">
        <v>307</v>
      </c>
      <c r="D330" s="26">
        <v>18.7</v>
      </c>
      <c r="E330" s="26">
        <v>241</v>
      </c>
      <c r="F330" s="26">
        <v>11.9</v>
      </c>
      <c r="G330" s="26">
        <v>22.2</v>
      </c>
      <c r="H330" s="26">
        <v>8.2200000000000006</v>
      </c>
      <c r="I330" s="26">
        <v>20.2</v>
      </c>
      <c r="J330" s="26">
        <v>149.69999999999999</v>
      </c>
      <c r="K330" s="26">
        <v>117.6</v>
      </c>
      <c r="L330" s="26">
        <v>27555</v>
      </c>
      <c r="M330" s="26">
        <v>1753</v>
      </c>
      <c r="N330" s="26">
        <v>13.56</v>
      </c>
      <c r="O330" s="26">
        <v>975</v>
      </c>
      <c r="P330" s="26">
        <v>1950</v>
      </c>
      <c r="Q330" s="26">
        <v>8991</v>
      </c>
      <c r="R330" s="26">
        <v>587</v>
      </c>
      <c r="S330" s="26">
        <v>7.75</v>
      </c>
      <c r="T330" s="26">
        <v>445</v>
      </c>
      <c r="U330" s="26">
        <v>880</v>
      </c>
      <c r="V330" s="26">
        <v>890</v>
      </c>
      <c r="W330" s="26">
        <v>160</v>
      </c>
      <c r="X330" s="26">
        <v>1968368</v>
      </c>
      <c r="Y330" s="26">
        <v>24339</v>
      </c>
      <c r="Z330" s="26">
        <v>17.600000000000001</v>
      </c>
      <c r="AA330" s="40" t="s">
        <v>122</v>
      </c>
      <c r="AB330" s="40" t="s">
        <v>122</v>
      </c>
      <c r="AC330" s="104">
        <f t="shared" si="6"/>
        <v>29.53</v>
      </c>
    </row>
    <row r="331" spans="1:29" x14ac:dyDescent="0.25">
      <c r="A331" s="26" t="s">
        <v>904</v>
      </c>
      <c r="B331" s="26">
        <v>311</v>
      </c>
      <c r="C331" s="26">
        <v>306</v>
      </c>
      <c r="D331" s="26">
        <v>17</v>
      </c>
      <c r="E331" s="26">
        <v>241</v>
      </c>
      <c r="F331" s="26">
        <v>10.9</v>
      </c>
      <c r="G331" s="26">
        <v>22.2</v>
      </c>
      <c r="H331" s="26">
        <v>8.99</v>
      </c>
      <c r="I331" s="26">
        <v>22.1</v>
      </c>
      <c r="J331" s="26">
        <v>136.1</v>
      </c>
      <c r="K331" s="26">
        <v>107.1</v>
      </c>
      <c r="L331" s="26">
        <v>24849</v>
      </c>
      <c r="M331" s="26">
        <v>1596</v>
      </c>
      <c r="N331" s="26">
        <v>13.49</v>
      </c>
      <c r="O331" s="26">
        <v>885</v>
      </c>
      <c r="P331" s="26">
        <v>1770</v>
      </c>
      <c r="Q331" s="26">
        <v>8117</v>
      </c>
      <c r="R331" s="26">
        <v>531</v>
      </c>
      <c r="S331" s="26">
        <v>7.72</v>
      </c>
      <c r="T331" s="26">
        <v>403</v>
      </c>
      <c r="U331" s="26">
        <v>796</v>
      </c>
      <c r="V331" s="26">
        <v>806</v>
      </c>
      <c r="W331" s="26">
        <v>122</v>
      </c>
      <c r="X331" s="26">
        <v>1756225</v>
      </c>
      <c r="Y331" s="26">
        <v>22270</v>
      </c>
      <c r="Z331" s="26">
        <v>24.8</v>
      </c>
      <c r="AA331" s="40" t="s">
        <v>122</v>
      </c>
      <c r="AB331" s="40" t="s">
        <v>122</v>
      </c>
      <c r="AC331" s="104">
        <f t="shared" si="6"/>
        <v>29.4</v>
      </c>
    </row>
    <row r="332" spans="1:29" x14ac:dyDescent="0.25">
      <c r="A332" s="26" t="s">
        <v>905</v>
      </c>
      <c r="B332" s="26">
        <v>308</v>
      </c>
      <c r="C332" s="26">
        <v>305</v>
      </c>
      <c r="D332" s="26">
        <v>15.4</v>
      </c>
      <c r="E332" s="26">
        <v>241</v>
      </c>
      <c r="F332" s="26">
        <v>9.91</v>
      </c>
      <c r="G332" s="26">
        <v>20.6</v>
      </c>
      <c r="H332" s="26">
        <v>9.92</v>
      </c>
      <c r="I332" s="26">
        <v>24.4</v>
      </c>
      <c r="J332" s="26">
        <v>123.2</v>
      </c>
      <c r="K332" s="26">
        <v>96.7</v>
      </c>
      <c r="L332" s="26">
        <v>22185</v>
      </c>
      <c r="M332" s="26">
        <v>1440</v>
      </c>
      <c r="N332" s="26">
        <v>13.41</v>
      </c>
      <c r="O332" s="26">
        <v>793</v>
      </c>
      <c r="P332" s="26">
        <v>1586</v>
      </c>
      <c r="Q332" s="26">
        <v>7242</v>
      </c>
      <c r="R332" s="26">
        <v>477</v>
      </c>
      <c r="S332" s="26">
        <v>7.67</v>
      </c>
      <c r="T332" s="26">
        <v>361</v>
      </c>
      <c r="U332" s="26">
        <v>715</v>
      </c>
      <c r="V332" s="26">
        <v>723</v>
      </c>
      <c r="W332" s="26">
        <v>90.7</v>
      </c>
      <c r="X332" s="26">
        <v>1552137</v>
      </c>
      <c r="Y332" s="26">
        <v>20271</v>
      </c>
      <c r="Z332" s="26">
        <v>36.200000000000003</v>
      </c>
      <c r="AA332" s="40" t="s">
        <v>122</v>
      </c>
      <c r="AB332" s="40" t="s">
        <v>122</v>
      </c>
      <c r="AC332" s="104">
        <f t="shared" si="6"/>
        <v>29.26</v>
      </c>
    </row>
    <row r="333" spans="1:29" x14ac:dyDescent="0.25">
      <c r="A333" s="26" t="s">
        <v>906</v>
      </c>
      <c r="B333" s="26">
        <v>310</v>
      </c>
      <c r="C333" s="26">
        <v>254</v>
      </c>
      <c r="D333" s="26">
        <v>16.3</v>
      </c>
      <c r="E333" s="26">
        <v>241</v>
      </c>
      <c r="F333" s="26">
        <v>9.14</v>
      </c>
      <c r="G333" s="26">
        <v>20.6</v>
      </c>
      <c r="H333" s="26">
        <v>7.82</v>
      </c>
      <c r="I333" s="26">
        <v>26.4</v>
      </c>
      <c r="J333" s="26">
        <v>109.7</v>
      </c>
      <c r="K333" s="26">
        <v>86.3</v>
      </c>
      <c r="L333" s="26">
        <v>19771</v>
      </c>
      <c r="M333" s="26">
        <v>1278</v>
      </c>
      <c r="N333" s="26">
        <v>13.41</v>
      </c>
      <c r="O333" s="26">
        <v>708</v>
      </c>
      <c r="P333" s="26">
        <v>1416</v>
      </c>
      <c r="Q333" s="26">
        <v>4454</v>
      </c>
      <c r="R333" s="26">
        <v>351</v>
      </c>
      <c r="S333" s="26">
        <v>6.38</v>
      </c>
      <c r="T333" s="26">
        <v>266</v>
      </c>
      <c r="U333" s="26">
        <v>526</v>
      </c>
      <c r="V333" s="26">
        <v>533</v>
      </c>
      <c r="W333" s="26">
        <v>87.4</v>
      </c>
      <c r="X333" s="26">
        <v>958673</v>
      </c>
      <c r="Y333" s="26">
        <v>21167</v>
      </c>
      <c r="Z333" s="26">
        <v>30.9</v>
      </c>
      <c r="AA333" s="40" t="s">
        <v>122</v>
      </c>
      <c r="AB333" s="40" t="s">
        <v>122</v>
      </c>
      <c r="AC333" s="104">
        <f t="shared" si="6"/>
        <v>29.369999999999997</v>
      </c>
    </row>
    <row r="334" spans="1:29" x14ac:dyDescent="0.25">
      <c r="A334" s="26" t="s">
        <v>907</v>
      </c>
      <c r="B334" s="26">
        <v>306</v>
      </c>
      <c r="C334" s="26">
        <v>254</v>
      </c>
      <c r="D334" s="26">
        <v>14.6</v>
      </c>
      <c r="E334" s="26">
        <v>241</v>
      </c>
      <c r="F334" s="26">
        <v>8.76</v>
      </c>
      <c r="G334" s="26">
        <v>20.6</v>
      </c>
      <c r="H334" s="26">
        <v>8.69</v>
      </c>
      <c r="I334" s="26">
        <v>27.5</v>
      </c>
      <c r="J334" s="26">
        <v>100.6</v>
      </c>
      <c r="K334" s="26">
        <v>78.900000000000006</v>
      </c>
      <c r="L334" s="26">
        <v>17690</v>
      </c>
      <c r="M334" s="26">
        <v>1157</v>
      </c>
      <c r="N334" s="26">
        <v>13.28</v>
      </c>
      <c r="O334" s="26">
        <v>638</v>
      </c>
      <c r="P334" s="26">
        <v>1277</v>
      </c>
      <c r="Q334" s="26">
        <v>3987</v>
      </c>
      <c r="R334" s="26">
        <v>315</v>
      </c>
      <c r="S334" s="26">
        <v>6.3</v>
      </c>
      <c r="T334" s="26">
        <v>238</v>
      </c>
      <c r="U334" s="26">
        <v>472</v>
      </c>
      <c r="V334" s="26">
        <v>477</v>
      </c>
      <c r="W334" s="26">
        <v>65.8</v>
      </c>
      <c r="X334" s="26">
        <v>848573</v>
      </c>
      <c r="Y334" s="26">
        <v>19443</v>
      </c>
      <c r="Z334" s="26">
        <v>44.2</v>
      </c>
      <c r="AA334" s="40" t="s">
        <v>122</v>
      </c>
      <c r="AB334" s="40" t="s">
        <v>122</v>
      </c>
      <c r="AC334" s="104">
        <f t="shared" si="6"/>
        <v>29.139999999999997</v>
      </c>
    </row>
    <row r="335" spans="1:29" x14ac:dyDescent="0.25">
      <c r="A335" s="26" t="s">
        <v>908</v>
      </c>
      <c r="B335" s="26">
        <v>310</v>
      </c>
      <c r="C335" s="26">
        <v>205</v>
      </c>
      <c r="D335" s="26">
        <v>16.3</v>
      </c>
      <c r="E335" s="26">
        <v>241</v>
      </c>
      <c r="F335" s="26">
        <v>9.4</v>
      </c>
      <c r="G335" s="26">
        <v>20.6</v>
      </c>
      <c r="H335" s="26">
        <v>6.31</v>
      </c>
      <c r="I335" s="26">
        <v>25.7</v>
      </c>
      <c r="J335" s="26">
        <v>94.84</v>
      </c>
      <c r="K335" s="26">
        <v>74.400000000000006</v>
      </c>
      <c r="L335" s="26">
        <v>16400</v>
      </c>
      <c r="M335" s="26">
        <v>1060</v>
      </c>
      <c r="N335" s="26">
        <v>13.16</v>
      </c>
      <c r="O335" s="26">
        <v>593</v>
      </c>
      <c r="P335" s="26">
        <v>1186</v>
      </c>
      <c r="Q335" s="26">
        <v>2343</v>
      </c>
      <c r="R335" s="26">
        <v>228</v>
      </c>
      <c r="S335" s="26">
        <v>4.9800000000000004</v>
      </c>
      <c r="T335" s="26">
        <v>175</v>
      </c>
      <c r="U335" s="26">
        <v>342</v>
      </c>
      <c r="V335" s="26">
        <v>351</v>
      </c>
      <c r="W335" s="26">
        <v>74.099999999999994</v>
      </c>
      <c r="X335" s="26">
        <v>504847</v>
      </c>
      <c r="Y335" s="26">
        <v>21856</v>
      </c>
      <c r="Z335" s="26">
        <v>29.7</v>
      </c>
      <c r="AA335" s="40" t="s">
        <v>122</v>
      </c>
      <c r="AB335" s="40" t="s">
        <v>122</v>
      </c>
      <c r="AC335" s="104">
        <f t="shared" si="6"/>
        <v>29.369999999999997</v>
      </c>
    </row>
    <row r="336" spans="1:29" x14ac:dyDescent="0.25">
      <c r="A336" s="26" t="s">
        <v>909</v>
      </c>
      <c r="B336" s="26">
        <v>306</v>
      </c>
      <c r="C336" s="26">
        <v>204</v>
      </c>
      <c r="D336" s="26">
        <v>14.6</v>
      </c>
      <c r="E336" s="26">
        <v>241</v>
      </c>
      <c r="F336" s="26">
        <v>8.51</v>
      </c>
      <c r="G336" s="26">
        <v>20.6</v>
      </c>
      <c r="H336" s="26">
        <v>7</v>
      </c>
      <c r="I336" s="26">
        <v>28.4</v>
      </c>
      <c r="J336" s="26">
        <v>85.16</v>
      </c>
      <c r="K336" s="26">
        <v>67</v>
      </c>
      <c r="L336" s="26">
        <v>14568</v>
      </c>
      <c r="M336" s="26">
        <v>952</v>
      </c>
      <c r="N336" s="26">
        <v>13.08</v>
      </c>
      <c r="O336" s="26">
        <v>530</v>
      </c>
      <c r="P336" s="26">
        <v>1060</v>
      </c>
      <c r="Q336" s="26">
        <v>2081</v>
      </c>
      <c r="R336" s="26">
        <v>203</v>
      </c>
      <c r="S336" s="26">
        <v>4.93</v>
      </c>
      <c r="T336" s="26">
        <v>156</v>
      </c>
      <c r="U336" s="26">
        <v>305</v>
      </c>
      <c r="V336" s="26">
        <v>311</v>
      </c>
      <c r="W336" s="26">
        <v>54.5</v>
      </c>
      <c r="X336" s="26">
        <v>443084</v>
      </c>
      <c r="Y336" s="26">
        <v>19788</v>
      </c>
      <c r="Z336" s="26">
        <v>43.5</v>
      </c>
      <c r="AA336" s="40" t="s">
        <v>122</v>
      </c>
      <c r="AB336" s="40" t="s">
        <v>122</v>
      </c>
      <c r="AC336" s="104">
        <f t="shared" si="6"/>
        <v>29.139999999999997</v>
      </c>
    </row>
    <row r="337" spans="1:29" x14ac:dyDescent="0.25">
      <c r="A337" s="26" t="s">
        <v>910</v>
      </c>
      <c r="B337" s="26">
        <v>303</v>
      </c>
      <c r="C337" s="26">
        <v>203</v>
      </c>
      <c r="D337" s="26">
        <v>13.1</v>
      </c>
      <c r="E337" s="26">
        <v>241</v>
      </c>
      <c r="F337" s="26">
        <v>7.49</v>
      </c>
      <c r="G337" s="26">
        <v>19.100000000000001</v>
      </c>
      <c r="H337" s="26">
        <v>7.77</v>
      </c>
      <c r="I337" s="26">
        <v>32.200000000000003</v>
      </c>
      <c r="J337" s="26">
        <v>76.13</v>
      </c>
      <c r="K337" s="26">
        <v>59.5</v>
      </c>
      <c r="L337" s="26">
        <v>12903</v>
      </c>
      <c r="M337" s="26">
        <v>850</v>
      </c>
      <c r="N337" s="26">
        <v>13.03</v>
      </c>
      <c r="O337" s="26">
        <v>471</v>
      </c>
      <c r="P337" s="26">
        <v>942</v>
      </c>
      <c r="Q337" s="26">
        <v>1836</v>
      </c>
      <c r="R337" s="26">
        <v>180</v>
      </c>
      <c r="S337" s="26">
        <v>4.9000000000000004</v>
      </c>
      <c r="T337" s="26">
        <v>138</v>
      </c>
      <c r="U337" s="26">
        <v>270</v>
      </c>
      <c r="V337" s="26">
        <v>275</v>
      </c>
      <c r="W337" s="26">
        <v>39.5</v>
      </c>
      <c r="X337" s="26">
        <v>386692</v>
      </c>
      <c r="Y337" s="26">
        <v>17788</v>
      </c>
      <c r="Z337" s="26">
        <v>65.400000000000006</v>
      </c>
      <c r="AA337" s="40" t="s">
        <v>122</v>
      </c>
      <c r="AB337" s="40" t="s">
        <v>122</v>
      </c>
      <c r="AC337" s="104">
        <f t="shared" si="6"/>
        <v>28.99</v>
      </c>
    </row>
    <row r="338" spans="1:29" x14ac:dyDescent="0.25">
      <c r="A338" s="26" t="s">
        <v>911</v>
      </c>
      <c r="B338" s="26">
        <v>318</v>
      </c>
      <c r="C338" s="26">
        <v>167</v>
      </c>
      <c r="D338" s="26">
        <v>13.2</v>
      </c>
      <c r="E338" s="26">
        <v>267</v>
      </c>
      <c r="F338" s="26">
        <v>7.62</v>
      </c>
      <c r="G338" s="26">
        <v>14.3</v>
      </c>
      <c r="H338" s="26">
        <v>6.31</v>
      </c>
      <c r="I338" s="26">
        <v>35</v>
      </c>
      <c r="J338" s="26">
        <v>66.45</v>
      </c>
      <c r="K338" s="26">
        <v>52.1</v>
      </c>
      <c r="L338" s="26">
        <v>11863</v>
      </c>
      <c r="M338" s="26">
        <v>747</v>
      </c>
      <c r="N338" s="26">
        <v>13.34</v>
      </c>
      <c r="O338" s="26">
        <v>420</v>
      </c>
      <c r="P338" s="26">
        <v>839</v>
      </c>
      <c r="Q338" s="26">
        <v>1020</v>
      </c>
      <c r="R338" s="26">
        <v>122</v>
      </c>
      <c r="S338" s="26">
        <v>3.91</v>
      </c>
      <c r="T338" s="26">
        <v>94.2</v>
      </c>
      <c r="U338" s="26">
        <v>184</v>
      </c>
      <c r="V338" s="26">
        <v>188</v>
      </c>
      <c r="W338" s="26">
        <v>30.8</v>
      </c>
      <c r="X338" s="26">
        <v>236043</v>
      </c>
      <c r="Y338" s="26">
        <v>16685</v>
      </c>
      <c r="Z338" s="26">
        <v>91.3</v>
      </c>
      <c r="AA338" s="40" t="s">
        <v>122</v>
      </c>
      <c r="AB338" s="40" t="s">
        <v>122</v>
      </c>
      <c r="AC338" s="104">
        <f t="shared" si="6"/>
        <v>30.48</v>
      </c>
    </row>
    <row r="339" spans="1:29" x14ac:dyDescent="0.25">
      <c r="A339" s="26" t="s">
        <v>912</v>
      </c>
      <c r="B339" s="26">
        <v>313</v>
      </c>
      <c r="C339" s="26">
        <v>166</v>
      </c>
      <c r="D339" s="26">
        <v>11.2</v>
      </c>
      <c r="E339" s="26">
        <v>267</v>
      </c>
      <c r="F339" s="26">
        <v>6.6</v>
      </c>
      <c r="G339" s="26">
        <v>12.7</v>
      </c>
      <c r="H339" s="26">
        <v>7.41</v>
      </c>
      <c r="I339" s="26">
        <v>40.4</v>
      </c>
      <c r="J339" s="26">
        <v>56.71</v>
      </c>
      <c r="K339" s="26">
        <v>44.6</v>
      </c>
      <c r="L339" s="26">
        <v>9906</v>
      </c>
      <c r="M339" s="26">
        <v>633</v>
      </c>
      <c r="N339" s="26">
        <v>13.23</v>
      </c>
      <c r="O339" s="26">
        <v>353</v>
      </c>
      <c r="P339" s="26">
        <v>706</v>
      </c>
      <c r="Q339" s="26">
        <v>845</v>
      </c>
      <c r="R339" s="26">
        <v>102</v>
      </c>
      <c r="S339" s="26">
        <v>3.86</v>
      </c>
      <c r="T339" s="26">
        <v>78.3</v>
      </c>
      <c r="U339" s="26">
        <v>153</v>
      </c>
      <c r="V339" s="26">
        <v>157</v>
      </c>
      <c r="W339" s="26">
        <v>19.100000000000001</v>
      </c>
      <c r="X339" s="26">
        <v>193346</v>
      </c>
      <c r="Y339" s="26">
        <v>14410</v>
      </c>
      <c r="Z339" s="26">
        <v>167</v>
      </c>
      <c r="AA339" s="40" t="s">
        <v>122</v>
      </c>
      <c r="AB339" s="40" t="s">
        <v>122</v>
      </c>
      <c r="AC339" s="104">
        <f t="shared" si="6"/>
        <v>30.18</v>
      </c>
    </row>
    <row r="340" spans="1:29" x14ac:dyDescent="0.25">
      <c r="A340" s="26" t="s">
        <v>913</v>
      </c>
      <c r="B340" s="26">
        <v>310</v>
      </c>
      <c r="C340" s="26">
        <v>165</v>
      </c>
      <c r="D340" s="26">
        <v>9.65</v>
      </c>
      <c r="E340" s="26">
        <v>267</v>
      </c>
      <c r="F340" s="26">
        <v>5.84</v>
      </c>
      <c r="G340" s="26">
        <v>12.7</v>
      </c>
      <c r="H340" s="26">
        <v>8.5399999999999991</v>
      </c>
      <c r="I340" s="26">
        <v>45.7</v>
      </c>
      <c r="J340" s="26">
        <v>49.35</v>
      </c>
      <c r="K340" s="26">
        <v>38.700000000000003</v>
      </c>
      <c r="L340" s="26">
        <v>8491</v>
      </c>
      <c r="M340" s="26">
        <v>547</v>
      </c>
      <c r="N340" s="26">
        <v>13.13</v>
      </c>
      <c r="O340" s="26">
        <v>305</v>
      </c>
      <c r="P340" s="26">
        <v>610</v>
      </c>
      <c r="Q340" s="26">
        <v>720</v>
      </c>
      <c r="R340" s="26">
        <v>87.5</v>
      </c>
      <c r="S340" s="26">
        <v>3.84</v>
      </c>
      <c r="T340" s="26">
        <v>66.900000000000006</v>
      </c>
      <c r="U340" s="26">
        <v>131</v>
      </c>
      <c r="V340" s="26">
        <v>134</v>
      </c>
      <c r="W340" s="26">
        <v>12.5</v>
      </c>
      <c r="X340" s="26">
        <v>163001</v>
      </c>
      <c r="Y340" s="26">
        <v>12548</v>
      </c>
      <c r="Z340" s="26">
        <v>292</v>
      </c>
      <c r="AA340" s="40" t="s">
        <v>122</v>
      </c>
      <c r="AB340" s="40" t="s">
        <v>122</v>
      </c>
      <c r="AC340" s="104">
        <f t="shared" si="6"/>
        <v>30.035000000000004</v>
      </c>
    </row>
    <row r="341" spans="1:29" x14ac:dyDescent="0.25">
      <c r="A341" s="26" t="s">
        <v>914</v>
      </c>
      <c r="B341" s="26">
        <v>313</v>
      </c>
      <c r="C341" s="26">
        <v>102</v>
      </c>
      <c r="D341" s="26">
        <v>10.8</v>
      </c>
      <c r="E341" s="26">
        <v>267</v>
      </c>
      <c r="F341" s="26">
        <v>6.6</v>
      </c>
      <c r="G341" s="26">
        <v>12.7</v>
      </c>
      <c r="H341" s="26">
        <v>4.74</v>
      </c>
      <c r="I341" s="26">
        <v>40.4</v>
      </c>
      <c r="J341" s="26">
        <v>41.81</v>
      </c>
      <c r="K341" s="26">
        <v>32.700000000000003</v>
      </c>
      <c r="L341" s="26">
        <v>6493</v>
      </c>
      <c r="M341" s="26">
        <v>416</v>
      </c>
      <c r="N341" s="26">
        <v>12.47</v>
      </c>
      <c r="O341" s="26">
        <v>240</v>
      </c>
      <c r="P341" s="26">
        <v>480</v>
      </c>
      <c r="Q341" s="26">
        <v>194</v>
      </c>
      <c r="R341" s="26">
        <v>37.9</v>
      </c>
      <c r="S341" s="26">
        <v>2.15</v>
      </c>
      <c r="T341" s="26">
        <v>30</v>
      </c>
      <c r="U341" s="26">
        <v>56.8</v>
      </c>
      <c r="V341" s="26">
        <v>60</v>
      </c>
      <c r="W341" s="26">
        <v>12.1</v>
      </c>
      <c r="X341" s="26">
        <v>44040</v>
      </c>
      <c r="Y341" s="26">
        <v>14893</v>
      </c>
      <c r="Z341" s="26">
        <v>182</v>
      </c>
      <c r="AA341" s="40" t="s">
        <v>122</v>
      </c>
      <c r="AB341" s="40" t="s">
        <v>122</v>
      </c>
      <c r="AC341" s="104">
        <f t="shared" si="6"/>
        <v>30.22</v>
      </c>
    </row>
    <row r="342" spans="1:29" x14ac:dyDescent="0.25">
      <c r="A342" s="26" t="s">
        <v>915</v>
      </c>
      <c r="B342" s="26">
        <v>309</v>
      </c>
      <c r="C342" s="26">
        <v>102</v>
      </c>
      <c r="D342" s="26">
        <v>8.89</v>
      </c>
      <c r="E342" s="26">
        <v>267</v>
      </c>
      <c r="F342" s="26">
        <v>5.97</v>
      </c>
      <c r="G342" s="26">
        <v>12.7</v>
      </c>
      <c r="H342" s="26">
        <v>5.72</v>
      </c>
      <c r="I342" s="26">
        <v>44.7</v>
      </c>
      <c r="J342" s="26">
        <v>35.94</v>
      </c>
      <c r="K342" s="26">
        <v>28.3</v>
      </c>
      <c r="L342" s="26">
        <v>5411</v>
      </c>
      <c r="M342" s="26">
        <v>349</v>
      </c>
      <c r="N342" s="26">
        <v>12.24</v>
      </c>
      <c r="O342" s="26">
        <v>202</v>
      </c>
      <c r="P342" s="26">
        <v>405</v>
      </c>
      <c r="Q342" s="26">
        <v>157</v>
      </c>
      <c r="R342" s="26">
        <v>30.8</v>
      </c>
      <c r="S342" s="26">
        <v>2.09</v>
      </c>
      <c r="T342" s="26">
        <v>24.4</v>
      </c>
      <c r="U342" s="26">
        <v>46.2</v>
      </c>
      <c r="V342" s="26">
        <v>48.8</v>
      </c>
      <c r="W342" s="26">
        <v>7.49</v>
      </c>
      <c r="X342" s="26">
        <v>35178</v>
      </c>
      <c r="Y342" s="26">
        <v>12962</v>
      </c>
      <c r="Z342" s="26">
        <v>328</v>
      </c>
      <c r="AA342" s="40" t="s">
        <v>122</v>
      </c>
      <c r="AB342" s="40" t="s">
        <v>122</v>
      </c>
      <c r="AC342" s="104">
        <f t="shared" si="6"/>
        <v>30.011000000000003</v>
      </c>
    </row>
    <row r="343" spans="1:29" x14ac:dyDescent="0.25">
      <c r="A343" s="26" t="s">
        <v>916</v>
      </c>
      <c r="B343" s="26">
        <v>305</v>
      </c>
      <c r="C343" s="26">
        <v>101</v>
      </c>
      <c r="D343" s="26">
        <v>6.73</v>
      </c>
      <c r="E343" s="26">
        <v>267</v>
      </c>
      <c r="F343" s="26">
        <v>5.59</v>
      </c>
      <c r="G343" s="26">
        <v>12.7</v>
      </c>
      <c r="H343" s="26">
        <v>7.53</v>
      </c>
      <c r="I343" s="26">
        <v>47.7</v>
      </c>
      <c r="J343" s="26">
        <v>30.39</v>
      </c>
      <c r="K343" s="26">
        <v>23.8</v>
      </c>
      <c r="L343" s="26">
        <v>4287</v>
      </c>
      <c r="M343" s="26">
        <v>280</v>
      </c>
      <c r="N343" s="26">
        <v>11.86</v>
      </c>
      <c r="O343" s="26">
        <v>165</v>
      </c>
      <c r="P343" s="26">
        <v>329</v>
      </c>
      <c r="Q343" s="26">
        <v>117</v>
      </c>
      <c r="R343" s="26">
        <v>23.1</v>
      </c>
      <c r="S343" s="26">
        <v>1.96</v>
      </c>
      <c r="T343" s="26">
        <v>18.5</v>
      </c>
      <c r="U343" s="26">
        <v>34.700000000000003</v>
      </c>
      <c r="V343" s="26">
        <v>37</v>
      </c>
      <c r="W343" s="26">
        <v>4.16</v>
      </c>
      <c r="X343" s="26">
        <v>26021</v>
      </c>
      <c r="Y343" s="26">
        <v>11101</v>
      </c>
      <c r="Z343" s="26">
        <v>673</v>
      </c>
      <c r="AA343" s="40" t="s">
        <v>122</v>
      </c>
      <c r="AB343" s="40" t="s">
        <v>122</v>
      </c>
      <c r="AC343" s="104">
        <f t="shared" si="6"/>
        <v>29.826999999999998</v>
      </c>
    </row>
    <row r="344" spans="1:29" x14ac:dyDescent="0.25">
      <c r="A344" s="26" t="s">
        <v>917</v>
      </c>
      <c r="B344" s="26">
        <v>303</v>
      </c>
      <c r="C344" s="26">
        <v>101</v>
      </c>
      <c r="D344" s="26">
        <v>5.72</v>
      </c>
      <c r="E344" s="26">
        <v>267</v>
      </c>
      <c r="F344" s="26">
        <v>5.08</v>
      </c>
      <c r="G344" s="26">
        <v>12.7</v>
      </c>
      <c r="H344" s="26">
        <v>8.82</v>
      </c>
      <c r="I344" s="26">
        <v>52.5</v>
      </c>
      <c r="J344" s="26">
        <v>26.84</v>
      </c>
      <c r="K344" s="26">
        <v>20.8</v>
      </c>
      <c r="L344" s="26">
        <v>3688</v>
      </c>
      <c r="M344" s="26">
        <v>244</v>
      </c>
      <c r="N344" s="26">
        <v>11.73</v>
      </c>
      <c r="O344" s="26">
        <v>143</v>
      </c>
      <c r="P344" s="26">
        <v>285</v>
      </c>
      <c r="Q344" s="26">
        <v>98.2</v>
      </c>
      <c r="R344" s="26">
        <v>19.5</v>
      </c>
      <c r="S344" s="26">
        <v>1.91</v>
      </c>
      <c r="T344" s="26">
        <v>15.6</v>
      </c>
      <c r="U344" s="26">
        <v>29.3</v>
      </c>
      <c r="V344" s="26">
        <v>31.1</v>
      </c>
      <c r="W344" s="26">
        <v>2.91</v>
      </c>
      <c r="X344" s="26">
        <v>21590</v>
      </c>
      <c r="Y344" s="26">
        <v>9997</v>
      </c>
      <c r="Z344" s="26">
        <v>1037</v>
      </c>
      <c r="AA344" s="40" t="s">
        <v>122</v>
      </c>
      <c r="AB344" s="40" t="s">
        <v>122</v>
      </c>
      <c r="AC344" s="104">
        <f t="shared" si="6"/>
        <v>29.727999999999998</v>
      </c>
    </row>
    <row r="345" spans="1:29" x14ac:dyDescent="0.25">
      <c r="A345" s="26" t="s">
        <v>918</v>
      </c>
      <c r="B345" s="26">
        <v>289</v>
      </c>
      <c r="C345" s="26">
        <v>265</v>
      </c>
      <c r="D345" s="26">
        <v>31.8</v>
      </c>
      <c r="E345" s="26">
        <v>194</v>
      </c>
      <c r="F345" s="26">
        <v>19.2</v>
      </c>
      <c r="G345" s="26">
        <v>23.8</v>
      </c>
      <c r="H345" s="26">
        <v>4.17</v>
      </c>
      <c r="I345" s="26">
        <v>10.1</v>
      </c>
      <c r="J345" s="26">
        <v>212.3</v>
      </c>
      <c r="K345" s="26">
        <v>166.7</v>
      </c>
      <c r="L345" s="26">
        <v>29802</v>
      </c>
      <c r="M345" s="26">
        <v>2065</v>
      </c>
      <c r="N345" s="26">
        <v>11.84</v>
      </c>
      <c r="O345" s="26">
        <v>1204</v>
      </c>
      <c r="P345" s="26">
        <v>2409</v>
      </c>
      <c r="Q345" s="26">
        <v>9823</v>
      </c>
      <c r="R345" s="26">
        <v>742</v>
      </c>
      <c r="S345" s="26">
        <v>6.81</v>
      </c>
      <c r="T345" s="26">
        <v>567</v>
      </c>
      <c r="U345" s="26">
        <v>1114</v>
      </c>
      <c r="V345" s="26">
        <v>1134</v>
      </c>
      <c r="W345" s="26">
        <v>629</v>
      </c>
      <c r="X345" s="26">
        <v>1616586</v>
      </c>
      <c r="Y345" s="26">
        <v>48815</v>
      </c>
      <c r="Z345" s="26">
        <v>1.19</v>
      </c>
      <c r="AA345" s="40" t="s">
        <v>122</v>
      </c>
      <c r="AB345" s="40" t="s">
        <v>122</v>
      </c>
      <c r="AC345" s="104">
        <f t="shared" si="6"/>
        <v>25.72</v>
      </c>
    </row>
    <row r="346" spans="1:29" x14ac:dyDescent="0.25">
      <c r="A346" s="26" t="s">
        <v>919</v>
      </c>
      <c r="B346" s="26">
        <v>282</v>
      </c>
      <c r="C346" s="26">
        <v>263</v>
      </c>
      <c r="D346" s="26">
        <v>28.4</v>
      </c>
      <c r="E346" s="26">
        <v>194</v>
      </c>
      <c r="F346" s="26">
        <v>17.3</v>
      </c>
      <c r="G346" s="26">
        <v>22.2</v>
      </c>
      <c r="H346" s="26">
        <v>4.62</v>
      </c>
      <c r="I346" s="26">
        <v>11.2</v>
      </c>
      <c r="J346" s="26">
        <v>189.7</v>
      </c>
      <c r="K346" s="26">
        <v>148.80000000000001</v>
      </c>
      <c r="L346" s="26">
        <v>25931</v>
      </c>
      <c r="M346" s="26">
        <v>1835</v>
      </c>
      <c r="N346" s="26">
        <v>11.68</v>
      </c>
      <c r="O346" s="26">
        <v>1065</v>
      </c>
      <c r="P346" s="26">
        <v>2130</v>
      </c>
      <c r="Q346" s="26">
        <v>8616</v>
      </c>
      <c r="R346" s="26">
        <v>655</v>
      </c>
      <c r="S346" s="26">
        <v>6.73</v>
      </c>
      <c r="T346" s="26">
        <v>500</v>
      </c>
      <c r="U346" s="26">
        <v>983</v>
      </c>
      <c r="V346" s="26">
        <v>1000</v>
      </c>
      <c r="W346" s="26">
        <v>454</v>
      </c>
      <c r="X346" s="26">
        <v>1382960</v>
      </c>
      <c r="Y346" s="26">
        <v>44126</v>
      </c>
      <c r="Z346" s="26">
        <v>1.76</v>
      </c>
      <c r="AA346" s="40" t="s">
        <v>122</v>
      </c>
      <c r="AB346" s="40" t="s">
        <v>122</v>
      </c>
      <c r="AC346" s="104">
        <f t="shared" si="6"/>
        <v>25.36</v>
      </c>
    </row>
    <row r="347" spans="1:29" x14ac:dyDescent="0.25">
      <c r="A347" s="26" t="s">
        <v>920</v>
      </c>
      <c r="B347" s="26">
        <v>275</v>
      </c>
      <c r="C347" s="26">
        <v>261</v>
      </c>
      <c r="D347" s="26">
        <v>25.1</v>
      </c>
      <c r="E347" s="26">
        <v>194</v>
      </c>
      <c r="F347" s="26">
        <v>15.4</v>
      </c>
      <c r="G347" s="26">
        <v>20.6</v>
      </c>
      <c r="H347" s="26">
        <v>5.18</v>
      </c>
      <c r="I347" s="26">
        <v>12.6</v>
      </c>
      <c r="J347" s="26">
        <v>167.1</v>
      </c>
      <c r="K347" s="26">
        <v>131</v>
      </c>
      <c r="L347" s="26">
        <v>22227</v>
      </c>
      <c r="M347" s="26">
        <v>1614</v>
      </c>
      <c r="N347" s="26">
        <v>11.53</v>
      </c>
      <c r="O347" s="26">
        <v>926</v>
      </c>
      <c r="P347" s="26">
        <v>1852</v>
      </c>
      <c r="Q347" s="26">
        <v>7451</v>
      </c>
      <c r="R347" s="26">
        <v>570</v>
      </c>
      <c r="S347" s="26">
        <v>6.68</v>
      </c>
      <c r="T347" s="26">
        <v>435</v>
      </c>
      <c r="U347" s="26">
        <v>855</v>
      </c>
      <c r="V347" s="26">
        <v>870</v>
      </c>
      <c r="W347" s="26">
        <v>313</v>
      </c>
      <c r="X347" s="26">
        <v>1162760</v>
      </c>
      <c r="Y347" s="26">
        <v>39162</v>
      </c>
      <c r="Z347" s="26">
        <v>2.78</v>
      </c>
      <c r="AA347" s="40" t="s">
        <v>122</v>
      </c>
      <c r="AB347" s="40" t="s">
        <v>122</v>
      </c>
      <c r="AC347" s="104">
        <f t="shared" si="6"/>
        <v>24.990000000000002</v>
      </c>
    </row>
    <row r="348" spans="1:29" x14ac:dyDescent="0.25">
      <c r="A348" s="26" t="s">
        <v>921</v>
      </c>
      <c r="B348" s="26">
        <v>269</v>
      </c>
      <c r="C348" s="26">
        <v>259</v>
      </c>
      <c r="D348" s="26">
        <v>22.1</v>
      </c>
      <c r="E348" s="26">
        <v>194</v>
      </c>
      <c r="F348" s="26">
        <v>13.5</v>
      </c>
      <c r="G348" s="26">
        <v>20.6</v>
      </c>
      <c r="H348" s="26">
        <v>5.86</v>
      </c>
      <c r="I348" s="26">
        <v>14.4</v>
      </c>
      <c r="J348" s="26">
        <v>145.80000000000001</v>
      </c>
      <c r="K348" s="26">
        <v>114.6</v>
      </c>
      <c r="L348" s="26">
        <v>18939</v>
      </c>
      <c r="M348" s="26">
        <v>1408</v>
      </c>
      <c r="N348" s="26">
        <v>11.4</v>
      </c>
      <c r="O348" s="26">
        <v>800</v>
      </c>
      <c r="P348" s="26">
        <v>1599</v>
      </c>
      <c r="Q348" s="26">
        <v>6410</v>
      </c>
      <c r="R348" s="26">
        <v>493</v>
      </c>
      <c r="S348" s="26">
        <v>6.6</v>
      </c>
      <c r="T348" s="26">
        <v>376</v>
      </c>
      <c r="U348" s="26">
        <v>740</v>
      </c>
      <c r="V348" s="26">
        <v>752</v>
      </c>
      <c r="W348" s="26">
        <v>213</v>
      </c>
      <c r="X348" s="26">
        <v>974785</v>
      </c>
      <c r="Y348" s="26">
        <v>34543</v>
      </c>
      <c r="Z348" s="26">
        <v>4.4800000000000004</v>
      </c>
      <c r="AA348" s="40" t="s">
        <v>122</v>
      </c>
      <c r="AB348" s="40" t="s">
        <v>122</v>
      </c>
      <c r="AC348" s="104">
        <f t="shared" si="6"/>
        <v>24.69</v>
      </c>
    </row>
    <row r="349" spans="1:29" x14ac:dyDescent="0.25">
      <c r="A349" s="26" t="s">
        <v>922</v>
      </c>
      <c r="B349" s="26">
        <v>264</v>
      </c>
      <c r="C349" s="26">
        <v>257</v>
      </c>
      <c r="D349" s="26">
        <v>19.600000000000001</v>
      </c>
      <c r="E349" s="26">
        <v>194</v>
      </c>
      <c r="F349" s="26">
        <v>11.9</v>
      </c>
      <c r="G349" s="26">
        <v>19.100000000000001</v>
      </c>
      <c r="H349" s="26">
        <v>6.58</v>
      </c>
      <c r="I349" s="26">
        <v>16.2</v>
      </c>
      <c r="J349" s="26">
        <v>129</v>
      </c>
      <c r="K349" s="26">
        <v>101.2</v>
      </c>
      <c r="L349" s="26">
        <v>16400</v>
      </c>
      <c r="M349" s="26">
        <v>1241</v>
      </c>
      <c r="N349" s="26">
        <v>11.28</v>
      </c>
      <c r="O349" s="26">
        <v>699</v>
      </c>
      <c r="P349" s="26">
        <v>1398</v>
      </c>
      <c r="Q349" s="26">
        <v>5578</v>
      </c>
      <c r="R349" s="26">
        <v>433</v>
      </c>
      <c r="S349" s="26">
        <v>6.58</v>
      </c>
      <c r="T349" s="26">
        <v>329</v>
      </c>
      <c r="U349" s="26">
        <v>649</v>
      </c>
      <c r="V349" s="26">
        <v>657</v>
      </c>
      <c r="W349" s="26">
        <v>148</v>
      </c>
      <c r="X349" s="26">
        <v>832461</v>
      </c>
      <c r="Y349" s="26">
        <v>30751</v>
      </c>
      <c r="Z349" s="26">
        <v>7.03</v>
      </c>
      <c r="AA349" s="40" t="s">
        <v>122</v>
      </c>
      <c r="AB349" s="40" t="s">
        <v>122</v>
      </c>
      <c r="AC349" s="104">
        <f t="shared" si="6"/>
        <v>24.44</v>
      </c>
    </row>
    <row r="350" spans="1:29" x14ac:dyDescent="0.25">
      <c r="A350" s="26" t="s">
        <v>923</v>
      </c>
      <c r="B350" s="26">
        <v>260</v>
      </c>
      <c r="C350" s="26">
        <v>256</v>
      </c>
      <c r="D350" s="26">
        <v>17.3</v>
      </c>
      <c r="E350" s="26">
        <v>194</v>
      </c>
      <c r="F350" s="26">
        <v>10.7</v>
      </c>
      <c r="G350" s="26">
        <v>19.100000000000001</v>
      </c>
      <c r="H350" s="26">
        <v>7.41</v>
      </c>
      <c r="I350" s="26">
        <v>18.2</v>
      </c>
      <c r="J350" s="26">
        <v>113.5</v>
      </c>
      <c r="K350" s="26">
        <v>89.3</v>
      </c>
      <c r="L350" s="26">
        <v>14193</v>
      </c>
      <c r="M350" s="26">
        <v>1093</v>
      </c>
      <c r="N350" s="26">
        <v>11.15</v>
      </c>
      <c r="O350" s="26">
        <v>611</v>
      </c>
      <c r="P350" s="26">
        <v>1222</v>
      </c>
      <c r="Q350" s="26">
        <v>4828</v>
      </c>
      <c r="R350" s="26">
        <v>377</v>
      </c>
      <c r="S350" s="26">
        <v>6.53</v>
      </c>
      <c r="T350" s="26">
        <v>287</v>
      </c>
      <c r="U350" s="26">
        <v>565</v>
      </c>
      <c r="V350" s="26">
        <v>574</v>
      </c>
      <c r="W350" s="26">
        <v>103</v>
      </c>
      <c r="X350" s="26">
        <v>708935</v>
      </c>
      <c r="Y350" s="26">
        <v>27372</v>
      </c>
      <c r="Z350" s="26">
        <v>11</v>
      </c>
      <c r="AA350" s="40" t="s">
        <v>122</v>
      </c>
      <c r="AB350" s="40" t="s">
        <v>122</v>
      </c>
      <c r="AC350" s="104">
        <f t="shared" si="6"/>
        <v>24.27</v>
      </c>
    </row>
    <row r="351" spans="1:29" x14ac:dyDescent="0.25">
      <c r="A351" s="26" t="s">
        <v>924</v>
      </c>
      <c r="B351" s="26">
        <v>256</v>
      </c>
      <c r="C351" s="26">
        <v>255</v>
      </c>
      <c r="D351" s="26">
        <v>15.6</v>
      </c>
      <c r="E351" s="26">
        <v>194</v>
      </c>
      <c r="F351" s="26">
        <v>9.4</v>
      </c>
      <c r="G351" s="26">
        <v>17.5</v>
      </c>
      <c r="H351" s="26">
        <v>8.15</v>
      </c>
      <c r="I351" s="26">
        <v>20.6</v>
      </c>
      <c r="J351" s="26">
        <v>101.9</v>
      </c>
      <c r="K351" s="26">
        <v>80.400000000000006</v>
      </c>
      <c r="L351" s="26">
        <v>12612</v>
      </c>
      <c r="M351" s="26">
        <v>983</v>
      </c>
      <c r="N351" s="26">
        <v>11.1</v>
      </c>
      <c r="O351" s="26">
        <v>546</v>
      </c>
      <c r="P351" s="26">
        <v>1091</v>
      </c>
      <c r="Q351" s="26">
        <v>4287</v>
      </c>
      <c r="R351" s="26">
        <v>338</v>
      </c>
      <c r="S351" s="26">
        <v>6.5</v>
      </c>
      <c r="T351" s="26">
        <v>256</v>
      </c>
      <c r="U351" s="26">
        <v>506</v>
      </c>
      <c r="V351" s="26">
        <v>513</v>
      </c>
      <c r="W351" s="26">
        <v>75.8</v>
      </c>
      <c r="X351" s="26">
        <v>623003</v>
      </c>
      <c r="Y351" s="26">
        <v>24683</v>
      </c>
      <c r="Z351" s="26">
        <v>16.399999999999999</v>
      </c>
      <c r="AA351" s="40" t="s">
        <v>122</v>
      </c>
      <c r="AB351" s="40" t="s">
        <v>122</v>
      </c>
      <c r="AC351" s="104">
        <f t="shared" si="6"/>
        <v>24.04</v>
      </c>
    </row>
    <row r="352" spans="1:29" x14ac:dyDescent="0.25">
      <c r="A352" s="26" t="s">
        <v>925</v>
      </c>
      <c r="B352" s="26">
        <v>253</v>
      </c>
      <c r="C352" s="26">
        <v>254</v>
      </c>
      <c r="D352" s="26">
        <v>14.2</v>
      </c>
      <c r="E352" s="26">
        <v>194</v>
      </c>
      <c r="F352" s="26">
        <v>8.64</v>
      </c>
      <c r="G352" s="26">
        <v>17.5</v>
      </c>
      <c r="H352" s="26">
        <v>8.93</v>
      </c>
      <c r="I352" s="26">
        <v>22.4</v>
      </c>
      <c r="J352" s="26">
        <v>92.9</v>
      </c>
      <c r="K352" s="26">
        <v>72.900000000000006</v>
      </c>
      <c r="L352" s="26">
        <v>11321</v>
      </c>
      <c r="M352" s="26">
        <v>895</v>
      </c>
      <c r="N352" s="26">
        <v>11.05</v>
      </c>
      <c r="O352" s="26">
        <v>495</v>
      </c>
      <c r="P352" s="26">
        <v>990</v>
      </c>
      <c r="Q352" s="26">
        <v>3888</v>
      </c>
      <c r="R352" s="26">
        <v>306</v>
      </c>
      <c r="S352" s="26">
        <v>6.45</v>
      </c>
      <c r="T352" s="26">
        <v>232</v>
      </c>
      <c r="U352" s="26">
        <v>460</v>
      </c>
      <c r="V352" s="26">
        <v>464</v>
      </c>
      <c r="W352" s="26">
        <v>57.9</v>
      </c>
      <c r="X352" s="26">
        <v>555869</v>
      </c>
      <c r="Y352" s="26">
        <v>22615</v>
      </c>
      <c r="Z352" s="26">
        <v>22.9</v>
      </c>
      <c r="AA352" s="40" t="s">
        <v>122</v>
      </c>
      <c r="AB352" s="40" t="s">
        <v>122</v>
      </c>
      <c r="AC352" s="104">
        <f t="shared" si="6"/>
        <v>23.880000000000003</v>
      </c>
    </row>
    <row r="353" spans="1:29" x14ac:dyDescent="0.25">
      <c r="A353" s="26" t="s">
        <v>926</v>
      </c>
      <c r="B353" s="26">
        <v>257</v>
      </c>
      <c r="C353" s="26">
        <v>204</v>
      </c>
      <c r="D353" s="26">
        <v>15.7</v>
      </c>
      <c r="E353" s="26">
        <v>194</v>
      </c>
      <c r="F353" s="26">
        <v>8.89</v>
      </c>
      <c r="G353" s="26">
        <v>17.5</v>
      </c>
      <c r="H353" s="26">
        <v>6.47</v>
      </c>
      <c r="I353" s="26">
        <v>21.8</v>
      </c>
      <c r="J353" s="26">
        <v>85.81</v>
      </c>
      <c r="K353" s="26">
        <v>67</v>
      </c>
      <c r="L353" s="26">
        <v>10323</v>
      </c>
      <c r="M353" s="26">
        <v>805</v>
      </c>
      <c r="N353" s="26">
        <v>10.97</v>
      </c>
      <c r="O353" s="26">
        <v>450</v>
      </c>
      <c r="P353" s="26">
        <v>900</v>
      </c>
      <c r="Q353" s="26">
        <v>2223</v>
      </c>
      <c r="R353" s="26">
        <v>218</v>
      </c>
      <c r="S353" s="26">
        <v>5.1100000000000003</v>
      </c>
      <c r="T353" s="26">
        <v>166</v>
      </c>
      <c r="U353" s="26">
        <v>327</v>
      </c>
      <c r="V353" s="26">
        <v>333</v>
      </c>
      <c r="W353" s="26">
        <v>62.9</v>
      </c>
      <c r="X353" s="26">
        <v>322243</v>
      </c>
      <c r="Y353" s="26">
        <v>25166</v>
      </c>
      <c r="Z353" s="26">
        <v>15.9</v>
      </c>
      <c r="AA353" s="40" t="s">
        <v>122</v>
      </c>
      <c r="AB353" s="40" t="s">
        <v>122</v>
      </c>
      <c r="AC353" s="104">
        <f t="shared" si="6"/>
        <v>24.130000000000003</v>
      </c>
    </row>
    <row r="354" spans="1:29" x14ac:dyDescent="0.25">
      <c r="A354" s="26" t="s">
        <v>927</v>
      </c>
      <c r="B354" s="26">
        <v>252</v>
      </c>
      <c r="C354" s="26">
        <v>203</v>
      </c>
      <c r="D354" s="26">
        <v>13.5</v>
      </c>
      <c r="E354" s="26">
        <v>194</v>
      </c>
      <c r="F354" s="26">
        <v>8</v>
      </c>
      <c r="G354" s="26">
        <v>17.5</v>
      </c>
      <c r="H354" s="26">
        <v>7.53</v>
      </c>
      <c r="I354" s="26">
        <v>24.2</v>
      </c>
      <c r="J354" s="26">
        <v>74.19</v>
      </c>
      <c r="K354" s="26">
        <v>58</v>
      </c>
      <c r="L354" s="26">
        <v>8699</v>
      </c>
      <c r="M354" s="26">
        <v>690</v>
      </c>
      <c r="N354" s="26">
        <v>10.85</v>
      </c>
      <c r="O354" s="26">
        <v>383</v>
      </c>
      <c r="P354" s="26">
        <v>767</v>
      </c>
      <c r="Q354" s="26">
        <v>1873</v>
      </c>
      <c r="R354" s="26">
        <v>185</v>
      </c>
      <c r="S354" s="26">
        <v>5.03</v>
      </c>
      <c r="T354" s="26">
        <v>141</v>
      </c>
      <c r="U354" s="26">
        <v>278</v>
      </c>
      <c r="V354" s="26">
        <v>282</v>
      </c>
      <c r="W354" s="26">
        <v>40.799999999999997</v>
      </c>
      <c r="X354" s="26">
        <v>266388</v>
      </c>
      <c r="Y354" s="26">
        <v>21994</v>
      </c>
      <c r="Z354" s="26">
        <v>27.3</v>
      </c>
      <c r="AA354" s="40" t="s">
        <v>122</v>
      </c>
      <c r="AB354" s="40" t="s">
        <v>122</v>
      </c>
      <c r="AC354" s="104">
        <f t="shared" si="6"/>
        <v>23.85</v>
      </c>
    </row>
    <row r="355" spans="1:29" x14ac:dyDescent="0.25">
      <c r="A355" s="26" t="s">
        <v>928</v>
      </c>
      <c r="B355" s="26">
        <v>247</v>
      </c>
      <c r="C355" s="26">
        <v>202</v>
      </c>
      <c r="D355" s="26">
        <v>11</v>
      </c>
      <c r="E355" s="26">
        <v>194</v>
      </c>
      <c r="F355" s="26">
        <v>7.37</v>
      </c>
      <c r="G355" s="26">
        <v>17.5</v>
      </c>
      <c r="H355" s="26">
        <v>9.15</v>
      </c>
      <c r="I355" s="26">
        <v>26.3</v>
      </c>
      <c r="J355" s="26">
        <v>62.65</v>
      </c>
      <c r="K355" s="26">
        <v>49.1</v>
      </c>
      <c r="L355" s="26">
        <v>7076</v>
      </c>
      <c r="M355" s="26">
        <v>574</v>
      </c>
      <c r="N355" s="26">
        <v>10.64</v>
      </c>
      <c r="O355" s="26">
        <v>318</v>
      </c>
      <c r="P355" s="26">
        <v>636</v>
      </c>
      <c r="Q355" s="26">
        <v>1523</v>
      </c>
      <c r="R355" s="26">
        <v>151</v>
      </c>
      <c r="S355" s="26">
        <v>4.93</v>
      </c>
      <c r="T355" s="26">
        <v>115</v>
      </c>
      <c r="U355" s="26">
        <v>226</v>
      </c>
      <c r="V355" s="26">
        <v>229</v>
      </c>
      <c r="W355" s="26">
        <v>24.1</v>
      </c>
      <c r="X355" s="26">
        <v>212143</v>
      </c>
      <c r="Y355" s="26">
        <v>18685</v>
      </c>
      <c r="Z355" s="26">
        <v>52.8</v>
      </c>
      <c r="AA355" s="40" t="s">
        <v>122</v>
      </c>
      <c r="AB355" s="40" t="s">
        <v>122</v>
      </c>
      <c r="AC355" s="104">
        <f t="shared" si="6"/>
        <v>23.6</v>
      </c>
    </row>
    <row r="356" spans="1:29" x14ac:dyDescent="0.25">
      <c r="A356" s="26" t="s">
        <v>929</v>
      </c>
      <c r="B356" s="26">
        <v>266</v>
      </c>
      <c r="C356" s="26">
        <v>148</v>
      </c>
      <c r="D356" s="26">
        <v>13</v>
      </c>
      <c r="E356" s="26">
        <v>219</v>
      </c>
      <c r="F356" s="26">
        <v>7.62</v>
      </c>
      <c r="G356" s="26">
        <v>12.7</v>
      </c>
      <c r="H356" s="26">
        <v>5.7</v>
      </c>
      <c r="I356" s="26">
        <v>28.8</v>
      </c>
      <c r="J356" s="26">
        <v>57.03</v>
      </c>
      <c r="K356" s="26">
        <v>44.6</v>
      </c>
      <c r="L356" s="26">
        <v>7076</v>
      </c>
      <c r="M356" s="26">
        <v>531</v>
      </c>
      <c r="N356" s="26">
        <v>11.13</v>
      </c>
      <c r="O356" s="26">
        <v>300</v>
      </c>
      <c r="P356" s="26">
        <v>600</v>
      </c>
      <c r="Q356" s="26">
        <v>695</v>
      </c>
      <c r="R356" s="26">
        <v>94.2</v>
      </c>
      <c r="S356" s="26">
        <v>3.48</v>
      </c>
      <c r="T356" s="26">
        <v>72.400000000000006</v>
      </c>
      <c r="U356" s="26">
        <v>141</v>
      </c>
      <c r="V356" s="26">
        <v>145</v>
      </c>
      <c r="W356" s="26">
        <v>25.8</v>
      </c>
      <c r="X356" s="26">
        <v>111174</v>
      </c>
      <c r="Y356" s="26">
        <v>19926</v>
      </c>
      <c r="Z356" s="26">
        <v>45.4</v>
      </c>
      <c r="AA356" s="40" t="s">
        <v>122</v>
      </c>
      <c r="AB356" s="40" t="s">
        <v>122</v>
      </c>
      <c r="AC356" s="104">
        <f t="shared" si="6"/>
        <v>25.3</v>
      </c>
    </row>
    <row r="357" spans="1:29" x14ac:dyDescent="0.25">
      <c r="A357" s="26" t="s">
        <v>930</v>
      </c>
      <c r="B357" s="26">
        <v>262</v>
      </c>
      <c r="C357" s="26">
        <v>147</v>
      </c>
      <c r="D357" s="26">
        <v>11.2</v>
      </c>
      <c r="E357" s="26">
        <v>219</v>
      </c>
      <c r="F357" s="26">
        <v>6.6</v>
      </c>
      <c r="G357" s="26">
        <v>12.7</v>
      </c>
      <c r="H357" s="26">
        <v>6.56</v>
      </c>
      <c r="I357" s="26">
        <v>33.200000000000003</v>
      </c>
      <c r="J357" s="26">
        <v>49.1</v>
      </c>
      <c r="K357" s="26">
        <v>38.700000000000003</v>
      </c>
      <c r="L357" s="26">
        <v>5994</v>
      </c>
      <c r="M357" s="26">
        <v>457</v>
      </c>
      <c r="N357" s="26">
        <v>11.05</v>
      </c>
      <c r="O357" s="26">
        <v>256</v>
      </c>
      <c r="P357" s="26">
        <v>513</v>
      </c>
      <c r="Q357" s="26">
        <v>587</v>
      </c>
      <c r="R357" s="26">
        <v>80.099999999999994</v>
      </c>
      <c r="S357" s="26">
        <v>3.45</v>
      </c>
      <c r="T357" s="26">
        <v>61.5</v>
      </c>
      <c r="U357" s="26">
        <v>120</v>
      </c>
      <c r="V357" s="26">
        <v>123</v>
      </c>
      <c r="W357" s="26">
        <v>16.600000000000001</v>
      </c>
      <c r="X357" s="26">
        <v>92645</v>
      </c>
      <c r="Y357" s="26">
        <v>17237</v>
      </c>
      <c r="Z357" s="26">
        <v>79.7</v>
      </c>
      <c r="AA357" s="40" t="s">
        <v>122</v>
      </c>
      <c r="AB357" s="40" t="s">
        <v>122</v>
      </c>
      <c r="AC357" s="104">
        <f t="shared" si="6"/>
        <v>25.080000000000002</v>
      </c>
    </row>
    <row r="358" spans="1:29" x14ac:dyDescent="0.25">
      <c r="A358" s="26" t="s">
        <v>931</v>
      </c>
      <c r="B358" s="26">
        <v>258</v>
      </c>
      <c r="C358" s="26">
        <v>146</v>
      </c>
      <c r="D358" s="26">
        <v>9.14</v>
      </c>
      <c r="E358" s="26">
        <v>219</v>
      </c>
      <c r="F358" s="26">
        <v>6.1</v>
      </c>
      <c r="G358" s="26">
        <v>12.7</v>
      </c>
      <c r="H358" s="26">
        <v>7.99</v>
      </c>
      <c r="I358" s="26">
        <v>35.9</v>
      </c>
      <c r="J358" s="26">
        <v>41.87</v>
      </c>
      <c r="K358" s="26">
        <v>32.700000000000003</v>
      </c>
      <c r="L358" s="26">
        <v>4912</v>
      </c>
      <c r="M358" s="26">
        <v>380</v>
      </c>
      <c r="N358" s="26">
        <v>10.85</v>
      </c>
      <c r="O358" s="26">
        <v>213</v>
      </c>
      <c r="P358" s="26">
        <v>426</v>
      </c>
      <c r="Q358" s="26">
        <v>475</v>
      </c>
      <c r="R358" s="26">
        <v>65.099999999999994</v>
      </c>
      <c r="S358" s="26">
        <v>3.38</v>
      </c>
      <c r="T358" s="26">
        <v>50</v>
      </c>
      <c r="U358" s="26">
        <v>97.6</v>
      </c>
      <c r="V358" s="26">
        <v>100</v>
      </c>
      <c r="W358" s="26">
        <v>10</v>
      </c>
      <c r="X358" s="26">
        <v>73847</v>
      </c>
      <c r="Y358" s="26">
        <v>14824</v>
      </c>
      <c r="Z358" s="26">
        <v>151</v>
      </c>
      <c r="AA358" s="40" t="s">
        <v>122</v>
      </c>
      <c r="AB358" s="40" t="s">
        <v>122</v>
      </c>
      <c r="AC358" s="104">
        <f t="shared" si="6"/>
        <v>24.886000000000003</v>
      </c>
    </row>
    <row r="359" spans="1:29" x14ac:dyDescent="0.25">
      <c r="A359" s="26" t="s">
        <v>932</v>
      </c>
      <c r="B359" s="26">
        <v>260</v>
      </c>
      <c r="C359" s="26">
        <v>102</v>
      </c>
      <c r="D359" s="26">
        <v>10</v>
      </c>
      <c r="E359" s="26">
        <v>219</v>
      </c>
      <c r="F359" s="26">
        <v>6.35</v>
      </c>
      <c r="G359" s="26">
        <v>12.7</v>
      </c>
      <c r="H359" s="26">
        <v>5.09</v>
      </c>
      <c r="I359" s="26">
        <v>34.5</v>
      </c>
      <c r="J359" s="26">
        <v>36.26</v>
      </c>
      <c r="K359" s="26">
        <v>28.3</v>
      </c>
      <c r="L359" s="26">
        <v>4008</v>
      </c>
      <c r="M359" s="26">
        <v>308</v>
      </c>
      <c r="N359" s="26">
        <v>10.52</v>
      </c>
      <c r="O359" s="26">
        <v>177</v>
      </c>
      <c r="P359" s="26">
        <v>354</v>
      </c>
      <c r="Q359" s="26">
        <v>179</v>
      </c>
      <c r="R359" s="26">
        <v>35.1</v>
      </c>
      <c r="S359" s="26">
        <v>2.2200000000000002</v>
      </c>
      <c r="T359" s="26">
        <v>27.4</v>
      </c>
      <c r="U359" s="26">
        <v>52.6</v>
      </c>
      <c r="V359" s="26">
        <v>54.9</v>
      </c>
      <c r="W359" s="26">
        <v>9.57</v>
      </c>
      <c r="X359" s="26">
        <v>27928</v>
      </c>
      <c r="Y359" s="26">
        <v>16685</v>
      </c>
      <c r="Z359" s="26">
        <v>109</v>
      </c>
      <c r="AA359" s="40" t="s">
        <v>122</v>
      </c>
      <c r="AB359" s="40" t="s">
        <v>122</v>
      </c>
      <c r="AC359" s="104">
        <f t="shared" si="6"/>
        <v>25</v>
      </c>
    </row>
    <row r="360" spans="1:29" x14ac:dyDescent="0.25">
      <c r="A360" s="26" t="s">
        <v>933</v>
      </c>
      <c r="B360" s="26">
        <v>257</v>
      </c>
      <c r="C360" s="26">
        <v>102</v>
      </c>
      <c r="D360" s="26">
        <v>8.3800000000000008</v>
      </c>
      <c r="E360" s="26">
        <v>219</v>
      </c>
      <c r="F360" s="26">
        <v>6.1</v>
      </c>
      <c r="G360" s="26">
        <v>12.7</v>
      </c>
      <c r="H360" s="26">
        <v>6.08</v>
      </c>
      <c r="I360" s="26">
        <v>35.9</v>
      </c>
      <c r="J360" s="26">
        <v>32.19</v>
      </c>
      <c r="K360" s="26">
        <v>25.3</v>
      </c>
      <c r="L360" s="26">
        <v>3409</v>
      </c>
      <c r="M360" s="26">
        <v>265</v>
      </c>
      <c r="N360" s="26">
        <v>10.29</v>
      </c>
      <c r="O360" s="26">
        <v>153</v>
      </c>
      <c r="P360" s="26">
        <v>306</v>
      </c>
      <c r="Q360" s="26">
        <v>148</v>
      </c>
      <c r="R360" s="26">
        <v>29.2</v>
      </c>
      <c r="S360" s="26">
        <v>2.14</v>
      </c>
      <c r="T360" s="26">
        <v>22.9</v>
      </c>
      <c r="U360" s="26">
        <v>43.8</v>
      </c>
      <c r="V360" s="26">
        <v>45.9</v>
      </c>
      <c r="W360" s="26">
        <v>6.66</v>
      </c>
      <c r="X360" s="26">
        <v>22852</v>
      </c>
      <c r="Y360" s="26">
        <v>15237</v>
      </c>
      <c r="Z360" s="26">
        <v>165</v>
      </c>
      <c r="AA360" s="40" t="s">
        <v>122</v>
      </c>
      <c r="AB360" s="40" t="s">
        <v>122</v>
      </c>
      <c r="AC360" s="104">
        <f t="shared" si="6"/>
        <v>24.862000000000002</v>
      </c>
    </row>
    <row r="361" spans="1:29" x14ac:dyDescent="0.25">
      <c r="A361" s="26" t="s">
        <v>934</v>
      </c>
      <c r="B361" s="26">
        <v>254</v>
      </c>
      <c r="C361" s="26">
        <v>102</v>
      </c>
      <c r="D361" s="26">
        <v>6.86</v>
      </c>
      <c r="E361" s="26">
        <v>219</v>
      </c>
      <c r="F361" s="26">
        <v>5.84</v>
      </c>
      <c r="G361" s="26">
        <v>11.1</v>
      </c>
      <c r="H361" s="26">
        <v>7.41</v>
      </c>
      <c r="I361" s="26">
        <v>37.5</v>
      </c>
      <c r="J361" s="26">
        <v>28.45</v>
      </c>
      <c r="K361" s="26">
        <v>22.3</v>
      </c>
      <c r="L361" s="26">
        <v>2868</v>
      </c>
      <c r="M361" s="26">
        <v>226</v>
      </c>
      <c r="N361" s="26">
        <v>10.029999999999999</v>
      </c>
      <c r="O361" s="26">
        <v>131</v>
      </c>
      <c r="P361" s="26">
        <v>262</v>
      </c>
      <c r="Q361" s="26">
        <v>120</v>
      </c>
      <c r="R361" s="26">
        <v>23.8</v>
      </c>
      <c r="S361" s="26">
        <v>2.06</v>
      </c>
      <c r="T361" s="26">
        <v>18.8</v>
      </c>
      <c r="U361" s="26">
        <v>35.6</v>
      </c>
      <c r="V361" s="26">
        <v>37.700000000000003</v>
      </c>
      <c r="W361" s="26">
        <v>4.16</v>
      </c>
      <c r="X361" s="26">
        <v>18341</v>
      </c>
      <c r="Y361" s="26">
        <v>13307</v>
      </c>
      <c r="Z361" s="26">
        <v>301</v>
      </c>
      <c r="AA361" s="40" t="s">
        <v>122</v>
      </c>
      <c r="AB361" s="40" t="s">
        <v>122</v>
      </c>
      <c r="AC361" s="104">
        <f t="shared" si="6"/>
        <v>24.713999999999999</v>
      </c>
    </row>
    <row r="362" spans="1:29" x14ac:dyDescent="0.25">
      <c r="A362" s="26" t="s">
        <v>935</v>
      </c>
      <c r="B362" s="26">
        <v>251</v>
      </c>
      <c r="C362" s="26">
        <v>101</v>
      </c>
      <c r="D362" s="26">
        <v>5.33</v>
      </c>
      <c r="E362" s="26">
        <v>219</v>
      </c>
      <c r="F362" s="26">
        <v>4.83</v>
      </c>
      <c r="G362" s="26">
        <v>11.1</v>
      </c>
      <c r="H362" s="26">
        <v>9.43</v>
      </c>
      <c r="I362" s="26">
        <v>45.4</v>
      </c>
      <c r="J362" s="26">
        <v>22.84</v>
      </c>
      <c r="K362" s="26">
        <v>17.899999999999999</v>
      </c>
      <c r="L362" s="26">
        <v>2239</v>
      </c>
      <c r="M362" s="26">
        <v>179</v>
      </c>
      <c r="N362" s="26">
        <v>9.91</v>
      </c>
      <c r="O362" s="26">
        <v>103</v>
      </c>
      <c r="P362" s="26">
        <v>206</v>
      </c>
      <c r="Q362" s="26">
        <v>90.7</v>
      </c>
      <c r="R362" s="26">
        <v>18</v>
      </c>
      <c r="S362" s="26">
        <v>1.99</v>
      </c>
      <c r="T362" s="26">
        <v>14.3</v>
      </c>
      <c r="U362" s="26">
        <v>27</v>
      </c>
      <c r="V362" s="26">
        <v>28.5</v>
      </c>
      <c r="W362" s="26">
        <v>2.08</v>
      </c>
      <c r="X362" s="26">
        <v>13668</v>
      </c>
      <c r="Y362" s="26">
        <v>10687</v>
      </c>
      <c r="Z362" s="26">
        <v>745</v>
      </c>
      <c r="AA362" s="40" t="s">
        <v>122</v>
      </c>
      <c r="AB362" s="40" t="s">
        <v>122</v>
      </c>
      <c r="AC362" s="104">
        <f t="shared" si="6"/>
        <v>24.567</v>
      </c>
    </row>
    <row r="363" spans="1:29" x14ac:dyDescent="0.25">
      <c r="A363" s="26" t="s">
        <v>936</v>
      </c>
      <c r="B363" s="26">
        <v>229</v>
      </c>
      <c r="C363" s="26">
        <v>210</v>
      </c>
      <c r="D363" s="26">
        <v>23.7</v>
      </c>
      <c r="E363" s="26">
        <v>156</v>
      </c>
      <c r="F363" s="26">
        <v>14.5</v>
      </c>
      <c r="G363" s="26">
        <v>17.5</v>
      </c>
      <c r="H363" s="26">
        <v>4.43</v>
      </c>
      <c r="I363" s="26">
        <v>10.7</v>
      </c>
      <c r="J363" s="26">
        <v>127.1</v>
      </c>
      <c r="K363" s="26">
        <v>99.7</v>
      </c>
      <c r="L363" s="26">
        <v>11321</v>
      </c>
      <c r="M363" s="26">
        <v>990</v>
      </c>
      <c r="N363" s="26">
        <v>9.4499999999999993</v>
      </c>
      <c r="O363" s="26">
        <v>575</v>
      </c>
      <c r="P363" s="26">
        <v>1150</v>
      </c>
      <c r="Q363" s="26">
        <v>3688</v>
      </c>
      <c r="R363" s="26">
        <v>351</v>
      </c>
      <c r="S363" s="26">
        <v>5.38</v>
      </c>
      <c r="T363" s="26">
        <v>268</v>
      </c>
      <c r="U363" s="26">
        <v>526</v>
      </c>
      <c r="V363" s="26">
        <v>536</v>
      </c>
      <c r="W363" s="26">
        <v>211</v>
      </c>
      <c r="X363" s="26">
        <v>386692</v>
      </c>
      <c r="Y363" s="26">
        <v>45643</v>
      </c>
      <c r="Z363" s="26">
        <v>1.55</v>
      </c>
      <c r="AA363" s="40" t="s">
        <v>122</v>
      </c>
      <c r="AB363" s="40" t="s">
        <v>122</v>
      </c>
      <c r="AC363" s="104">
        <f t="shared" si="6"/>
        <v>20.53</v>
      </c>
    </row>
    <row r="364" spans="1:29" x14ac:dyDescent="0.25">
      <c r="A364" s="26" t="s">
        <v>937</v>
      </c>
      <c r="B364" s="26">
        <v>222</v>
      </c>
      <c r="C364" s="26">
        <v>209</v>
      </c>
      <c r="D364" s="26">
        <v>20.6</v>
      </c>
      <c r="E364" s="26">
        <v>156</v>
      </c>
      <c r="F364" s="26">
        <v>13</v>
      </c>
      <c r="G364" s="26">
        <v>17.5</v>
      </c>
      <c r="H364" s="26">
        <v>5.07</v>
      </c>
      <c r="I364" s="26">
        <v>12</v>
      </c>
      <c r="J364" s="26">
        <v>110.3</v>
      </c>
      <c r="K364" s="26">
        <v>86.3</v>
      </c>
      <c r="L364" s="26">
        <v>9490</v>
      </c>
      <c r="M364" s="26">
        <v>852</v>
      </c>
      <c r="N364" s="26">
        <v>9.27</v>
      </c>
      <c r="O364" s="26">
        <v>490</v>
      </c>
      <c r="P364" s="26">
        <v>980</v>
      </c>
      <c r="Q364" s="26">
        <v>3126</v>
      </c>
      <c r="R364" s="26">
        <v>300</v>
      </c>
      <c r="S364" s="26">
        <v>5.33</v>
      </c>
      <c r="T364" s="26">
        <v>229</v>
      </c>
      <c r="U364" s="26">
        <v>450</v>
      </c>
      <c r="V364" s="26">
        <v>457</v>
      </c>
      <c r="W364" s="26">
        <v>139</v>
      </c>
      <c r="X364" s="26">
        <v>316872</v>
      </c>
      <c r="Y364" s="26">
        <v>40128</v>
      </c>
      <c r="Z364" s="26">
        <v>2.57</v>
      </c>
      <c r="AA364" s="40" t="s">
        <v>122</v>
      </c>
      <c r="AB364" s="40" t="s">
        <v>122</v>
      </c>
      <c r="AC364" s="104">
        <f t="shared" si="6"/>
        <v>20.14</v>
      </c>
    </row>
    <row r="365" spans="1:29" x14ac:dyDescent="0.25">
      <c r="A365" s="26" t="s">
        <v>938</v>
      </c>
      <c r="B365" s="26">
        <v>216</v>
      </c>
      <c r="C365" s="26">
        <v>206</v>
      </c>
      <c r="D365" s="26">
        <v>17.399999999999999</v>
      </c>
      <c r="E365" s="26">
        <v>156</v>
      </c>
      <c r="F365" s="26">
        <v>10.199999999999999</v>
      </c>
      <c r="G365" s="26">
        <v>15.9</v>
      </c>
      <c r="H365" s="26">
        <v>5.92</v>
      </c>
      <c r="I365" s="26">
        <v>15.3</v>
      </c>
      <c r="J365" s="26">
        <v>90.97</v>
      </c>
      <c r="K365" s="26">
        <v>71.400000000000006</v>
      </c>
      <c r="L365" s="26">
        <v>7659</v>
      </c>
      <c r="M365" s="26">
        <v>710</v>
      </c>
      <c r="N365" s="26">
        <v>9.17</v>
      </c>
      <c r="O365" s="26">
        <v>401</v>
      </c>
      <c r="P365" s="26">
        <v>803</v>
      </c>
      <c r="Q365" s="26">
        <v>2535</v>
      </c>
      <c r="R365" s="26">
        <v>246</v>
      </c>
      <c r="S365" s="26">
        <v>5.28</v>
      </c>
      <c r="T365" s="26">
        <v>188</v>
      </c>
      <c r="U365" s="26">
        <v>369</v>
      </c>
      <c r="V365" s="26">
        <v>375</v>
      </c>
      <c r="W365" s="26">
        <v>81.599999999999994</v>
      </c>
      <c r="X365" s="26">
        <v>250007</v>
      </c>
      <c r="Y365" s="26">
        <v>33509</v>
      </c>
      <c r="Z365" s="26">
        <v>5.01</v>
      </c>
      <c r="AA365" s="40" t="s">
        <v>122</v>
      </c>
      <c r="AB365" s="40" t="s">
        <v>122</v>
      </c>
      <c r="AC365" s="104">
        <f t="shared" si="6"/>
        <v>19.86</v>
      </c>
    </row>
    <row r="366" spans="1:29" x14ac:dyDescent="0.25">
      <c r="A366" s="26" t="s">
        <v>939</v>
      </c>
      <c r="B366" s="26">
        <v>210</v>
      </c>
      <c r="C366" s="26">
        <v>205</v>
      </c>
      <c r="D366" s="26">
        <v>14.2</v>
      </c>
      <c r="E366" s="26">
        <v>156</v>
      </c>
      <c r="F366" s="26">
        <v>9.14</v>
      </c>
      <c r="G366" s="26">
        <v>15.9</v>
      </c>
      <c r="H366" s="26">
        <v>7.21</v>
      </c>
      <c r="I366" s="26">
        <v>17</v>
      </c>
      <c r="J366" s="26">
        <v>75.48</v>
      </c>
      <c r="K366" s="26">
        <v>59.5</v>
      </c>
      <c r="L366" s="26">
        <v>6077</v>
      </c>
      <c r="M366" s="26">
        <v>582</v>
      </c>
      <c r="N366" s="26">
        <v>8.9700000000000006</v>
      </c>
      <c r="O366" s="26">
        <v>326</v>
      </c>
      <c r="P366" s="26">
        <v>652</v>
      </c>
      <c r="Q366" s="26">
        <v>2044</v>
      </c>
      <c r="R366" s="26">
        <v>200</v>
      </c>
      <c r="S366" s="26">
        <v>5.18</v>
      </c>
      <c r="T366" s="26">
        <v>152</v>
      </c>
      <c r="U366" s="26">
        <v>300</v>
      </c>
      <c r="V366" s="26">
        <v>303</v>
      </c>
      <c r="W366" s="26">
        <v>46.6</v>
      </c>
      <c r="X366" s="26">
        <v>194957</v>
      </c>
      <c r="Y366" s="26">
        <v>28131</v>
      </c>
      <c r="Z366" s="26">
        <v>10</v>
      </c>
      <c r="AA366" s="40" t="s">
        <v>122</v>
      </c>
      <c r="AB366" s="40" t="s">
        <v>122</v>
      </c>
      <c r="AC366" s="104">
        <f t="shared" si="6"/>
        <v>19.580000000000002</v>
      </c>
    </row>
    <row r="367" spans="1:29" x14ac:dyDescent="0.25">
      <c r="A367" s="26" t="s">
        <v>940</v>
      </c>
      <c r="B367" s="26">
        <v>206</v>
      </c>
      <c r="C367" s="26">
        <v>204</v>
      </c>
      <c r="D367" s="26">
        <v>12.6</v>
      </c>
      <c r="E367" s="26">
        <v>156</v>
      </c>
      <c r="F367" s="26">
        <v>7.87</v>
      </c>
      <c r="G367" s="26">
        <v>14.3</v>
      </c>
      <c r="H367" s="26">
        <v>8.1</v>
      </c>
      <c r="I367" s="26">
        <v>19.8</v>
      </c>
      <c r="J367" s="26">
        <v>66.45</v>
      </c>
      <c r="K367" s="26">
        <v>52.1</v>
      </c>
      <c r="L367" s="26">
        <v>5286</v>
      </c>
      <c r="M367" s="26">
        <v>511</v>
      </c>
      <c r="N367" s="26">
        <v>8.92</v>
      </c>
      <c r="O367" s="26">
        <v>284</v>
      </c>
      <c r="P367" s="26">
        <v>569</v>
      </c>
      <c r="Q367" s="26">
        <v>1773</v>
      </c>
      <c r="R367" s="26">
        <v>174</v>
      </c>
      <c r="S367" s="26">
        <v>5.16</v>
      </c>
      <c r="T367" s="26">
        <v>132</v>
      </c>
      <c r="U367" s="26">
        <v>261</v>
      </c>
      <c r="V367" s="26">
        <v>264</v>
      </c>
      <c r="W367" s="26">
        <v>32</v>
      </c>
      <c r="X367" s="26">
        <v>166224</v>
      </c>
      <c r="Y367" s="26">
        <v>24890</v>
      </c>
      <c r="Z367" s="26">
        <v>16</v>
      </c>
      <c r="AA367" s="40" t="s">
        <v>122</v>
      </c>
      <c r="AB367" s="40" t="s">
        <v>122</v>
      </c>
      <c r="AC367" s="104">
        <f t="shared" si="6"/>
        <v>19.34</v>
      </c>
    </row>
    <row r="368" spans="1:29" x14ac:dyDescent="0.25">
      <c r="A368" s="26" t="s">
        <v>941</v>
      </c>
      <c r="B368" s="26">
        <v>203</v>
      </c>
      <c r="C368" s="26">
        <v>203</v>
      </c>
      <c r="D368" s="26">
        <v>11</v>
      </c>
      <c r="E368" s="26">
        <v>156</v>
      </c>
      <c r="F368" s="26">
        <v>7.24</v>
      </c>
      <c r="G368" s="26">
        <v>14.3</v>
      </c>
      <c r="H368" s="26">
        <v>9.19</v>
      </c>
      <c r="I368" s="26">
        <v>21.5</v>
      </c>
      <c r="J368" s="26">
        <v>58.9</v>
      </c>
      <c r="K368" s="26">
        <v>46.1</v>
      </c>
      <c r="L368" s="26">
        <v>4579</v>
      </c>
      <c r="M368" s="26">
        <v>451</v>
      </c>
      <c r="N368" s="26">
        <v>8.81</v>
      </c>
      <c r="O368" s="26">
        <v>249</v>
      </c>
      <c r="P368" s="26">
        <v>498</v>
      </c>
      <c r="Q368" s="26">
        <v>1544</v>
      </c>
      <c r="R368" s="26">
        <v>152</v>
      </c>
      <c r="S368" s="26">
        <v>5.13</v>
      </c>
      <c r="T368" s="26">
        <v>116</v>
      </c>
      <c r="U368" s="26">
        <v>228</v>
      </c>
      <c r="V368" s="26">
        <v>231</v>
      </c>
      <c r="W368" s="26">
        <v>22.5</v>
      </c>
      <c r="X368" s="26">
        <v>142324</v>
      </c>
      <c r="Y368" s="26">
        <v>22270</v>
      </c>
      <c r="Z368" s="26">
        <v>24.8</v>
      </c>
      <c r="AA368" s="40" t="s">
        <v>122</v>
      </c>
      <c r="AB368" s="40" t="s">
        <v>122</v>
      </c>
      <c r="AC368" s="104">
        <f t="shared" si="6"/>
        <v>19.2</v>
      </c>
    </row>
    <row r="369" spans="1:29" x14ac:dyDescent="0.25">
      <c r="A369" s="26" t="s">
        <v>942</v>
      </c>
      <c r="B369" s="26">
        <v>205</v>
      </c>
      <c r="C369" s="26">
        <v>166</v>
      </c>
      <c r="D369" s="26">
        <v>11.8</v>
      </c>
      <c r="E369" s="26">
        <v>156</v>
      </c>
      <c r="F369" s="26">
        <v>7.24</v>
      </c>
      <c r="G369" s="26">
        <v>14.3</v>
      </c>
      <c r="H369" s="26">
        <v>7.03</v>
      </c>
      <c r="I369" s="26">
        <v>21.5</v>
      </c>
      <c r="J369" s="26">
        <v>53.23</v>
      </c>
      <c r="K369" s="26">
        <v>41.7</v>
      </c>
      <c r="L369" s="26">
        <v>4079</v>
      </c>
      <c r="M369" s="26">
        <v>398</v>
      </c>
      <c r="N369" s="26">
        <v>8.76</v>
      </c>
      <c r="O369" s="26">
        <v>223</v>
      </c>
      <c r="P369" s="26">
        <v>446</v>
      </c>
      <c r="Q369" s="26">
        <v>903</v>
      </c>
      <c r="R369" s="26">
        <v>109</v>
      </c>
      <c r="S369" s="26">
        <v>4.1100000000000003</v>
      </c>
      <c r="T369" s="26">
        <v>82.8</v>
      </c>
      <c r="U369" s="26">
        <v>163</v>
      </c>
      <c r="V369" s="26">
        <v>166</v>
      </c>
      <c r="W369" s="26">
        <v>22.5</v>
      </c>
      <c r="X369" s="26">
        <v>83783</v>
      </c>
      <c r="Y369" s="26">
        <v>23994</v>
      </c>
      <c r="Z369" s="26">
        <v>19.600000000000001</v>
      </c>
      <c r="AA369" s="40" t="s">
        <v>122</v>
      </c>
      <c r="AB369" s="40" t="s">
        <v>122</v>
      </c>
      <c r="AC369" s="104">
        <f t="shared" si="6"/>
        <v>19.32</v>
      </c>
    </row>
    <row r="370" spans="1:29" x14ac:dyDescent="0.25">
      <c r="A370" s="26" t="s">
        <v>943</v>
      </c>
      <c r="B370" s="26">
        <v>201</v>
      </c>
      <c r="C370" s="26">
        <v>165</v>
      </c>
      <c r="D370" s="26">
        <v>10.199999999999999</v>
      </c>
      <c r="E370" s="26">
        <v>156</v>
      </c>
      <c r="F370" s="26">
        <v>6.22</v>
      </c>
      <c r="G370" s="26">
        <v>14.3</v>
      </c>
      <c r="H370" s="26">
        <v>8.1199999999999992</v>
      </c>
      <c r="I370" s="26">
        <v>25</v>
      </c>
      <c r="J370" s="26">
        <v>45.68</v>
      </c>
      <c r="K370" s="26">
        <v>35.700000000000003</v>
      </c>
      <c r="L370" s="26">
        <v>3446</v>
      </c>
      <c r="M370" s="26">
        <v>342</v>
      </c>
      <c r="N370" s="26">
        <v>8.69</v>
      </c>
      <c r="O370" s="26">
        <v>190</v>
      </c>
      <c r="P370" s="26">
        <v>380</v>
      </c>
      <c r="Q370" s="26">
        <v>762</v>
      </c>
      <c r="R370" s="26">
        <v>92.3</v>
      </c>
      <c r="S370" s="26">
        <v>4.09</v>
      </c>
      <c r="T370" s="26">
        <v>70.2</v>
      </c>
      <c r="U370" s="26">
        <v>138</v>
      </c>
      <c r="V370" s="26">
        <v>140</v>
      </c>
      <c r="W370" s="26">
        <v>14.6</v>
      </c>
      <c r="X370" s="26">
        <v>69551</v>
      </c>
      <c r="Y370" s="26">
        <v>20822</v>
      </c>
      <c r="Z370" s="26">
        <v>33.9</v>
      </c>
      <c r="AA370" s="40" t="s">
        <v>122</v>
      </c>
      <c r="AB370" s="40" t="s">
        <v>122</v>
      </c>
      <c r="AC370" s="104">
        <f t="shared" si="6"/>
        <v>19.080000000000002</v>
      </c>
    </row>
    <row r="371" spans="1:29" x14ac:dyDescent="0.25">
      <c r="A371" s="26" t="s">
        <v>944</v>
      </c>
      <c r="B371" s="26">
        <v>210</v>
      </c>
      <c r="C371" s="26">
        <v>134</v>
      </c>
      <c r="D371" s="26">
        <v>10.199999999999999</v>
      </c>
      <c r="E371" s="26">
        <v>168</v>
      </c>
      <c r="F371" s="26">
        <v>6.35</v>
      </c>
      <c r="G371" s="26">
        <v>12.7</v>
      </c>
      <c r="H371" s="26">
        <v>6.59</v>
      </c>
      <c r="I371" s="26">
        <v>26.5</v>
      </c>
      <c r="J371" s="26">
        <v>39.74</v>
      </c>
      <c r="K371" s="26">
        <v>31.3</v>
      </c>
      <c r="L371" s="26">
        <v>3134</v>
      </c>
      <c r="M371" s="26">
        <v>298</v>
      </c>
      <c r="N371" s="26">
        <v>8.86</v>
      </c>
      <c r="O371" s="26">
        <v>167</v>
      </c>
      <c r="P371" s="26">
        <v>334</v>
      </c>
      <c r="Q371" s="26">
        <v>407</v>
      </c>
      <c r="R371" s="26">
        <v>60.8</v>
      </c>
      <c r="S371" s="26">
        <v>3.2</v>
      </c>
      <c r="T371" s="26">
        <v>46.6</v>
      </c>
      <c r="U371" s="26">
        <v>91.2</v>
      </c>
      <c r="V371" s="26">
        <v>93.2</v>
      </c>
      <c r="W371" s="26">
        <v>11.7</v>
      </c>
      <c r="X371" s="26">
        <v>40817</v>
      </c>
      <c r="Y371" s="26">
        <v>19926</v>
      </c>
      <c r="Z371" s="26">
        <v>44</v>
      </c>
      <c r="AA371" s="40" t="s">
        <v>122</v>
      </c>
      <c r="AB371" s="40" t="s">
        <v>122</v>
      </c>
      <c r="AC371" s="104">
        <f t="shared" si="6"/>
        <v>19.98</v>
      </c>
    </row>
    <row r="372" spans="1:29" x14ac:dyDescent="0.25">
      <c r="A372" s="26" t="s">
        <v>945</v>
      </c>
      <c r="B372" s="26">
        <v>207</v>
      </c>
      <c r="C372" s="26">
        <v>133</v>
      </c>
      <c r="D372" s="26">
        <v>8.3800000000000008</v>
      </c>
      <c r="E372" s="26">
        <v>168</v>
      </c>
      <c r="F372" s="26">
        <v>5.84</v>
      </c>
      <c r="G372" s="26">
        <v>11.1</v>
      </c>
      <c r="H372" s="26">
        <v>7.95</v>
      </c>
      <c r="I372" s="26">
        <v>28.8</v>
      </c>
      <c r="J372" s="26">
        <v>33.94</v>
      </c>
      <c r="K372" s="26">
        <v>26.8</v>
      </c>
      <c r="L372" s="26">
        <v>2576</v>
      </c>
      <c r="M372" s="26">
        <v>249</v>
      </c>
      <c r="N372" s="26">
        <v>8.7100000000000009</v>
      </c>
      <c r="O372" s="26">
        <v>139</v>
      </c>
      <c r="P372" s="26">
        <v>279</v>
      </c>
      <c r="Q372" s="26">
        <v>332</v>
      </c>
      <c r="R372" s="26">
        <v>49.8</v>
      </c>
      <c r="S372" s="26">
        <v>3.12</v>
      </c>
      <c r="T372" s="26">
        <v>38.200000000000003</v>
      </c>
      <c r="U372" s="26">
        <v>74.7</v>
      </c>
      <c r="V372" s="26">
        <v>76.400000000000006</v>
      </c>
      <c r="W372" s="26">
        <v>7.08</v>
      </c>
      <c r="X372" s="26">
        <v>32761</v>
      </c>
      <c r="Y372" s="26">
        <v>17168</v>
      </c>
      <c r="Z372" s="26">
        <v>81.8</v>
      </c>
      <c r="AA372" s="40" t="s">
        <v>122</v>
      </c>
      <c r="AB372" s="40" t="s">
        <v>122</v>
      </c>
      <c r="AC372" s="104">
        <f t="shared" si="6"/>
        <v>19.862000000000002</v>
      </c>
    </row>
    <row r="373" spans="1:29" x14ac:dyDescent="0.25">
      <c r="A373" s="26" t="s">
        <v>946</v>
      </c>
      <c r="B373" s="26">
        <v>206</v>
      </c>
      <c r="C373" s="26">
        <v>102</v>
      </c>
      <c r="D373" s="26">
        <v>8</v>
      </c>
      <c r="E373" s="26">
        <v>168</v>
      </c>
      <c r="F373" s="26">
        <v>6.22</v>
      </c>
      <c r="G373" s="26">
        <v>12.8</v>
      </c>
      <c r="H373" s="26">
        <v>6.37</v>
      </c>
      <c r="I373" s="26">
        <v>27</v>
      </c>
      <c r="J373" s="26">
        <v>28.65</v>
      </c>
      <c r="K373" s="26">
        <v>22.3</v>
      </c>
      <c r="L373" s="26">
        <v>1998</v>
      </c>
      <c r="M373" s="26">
        <v>193</v>
      </c>
      <c r="N373" s="26">
        <v>8.36</v>
      </c>
      <c r="O373" s="26">
        <v>111</v>
      </c>
      <c r="P373" s="26">
        <v>223</v>
      </c>
      <c r="Q373" s="26">
        <v>142</v>
      </c>
      <c r="R373" s="26">
        <v>27.9</v>
      </c>
      <c r="S373" s="26">
        <v>2.23</v>
      </c>
      <c r="T373" s="26">
        <v>21.9</v>
      </c>
      <c r="U373" s="26">
        <v>41.8</v>
      </c>
      <c r="V373" s="26">
        <v>43.8</v>
      </c>
      <c r="W373" s="26">
        <v>5.83</v>
      </c>
      <c r="X373" s="26">
        <v>13910</v>
      </c>
      <c r="Y373" s="26">
        <v>18409</v>
      </c>
      <c r="Z373" s="26">
        <v>72.400000000000006</v>
      </c>
      <c r="AA373" s="40" t="s">
        <v>122</v>
      </c>
      <c r="AB373" s="40" t="s">
        <v>122</v>
      </c>
      <c r="AC373" s="104">
        <f t="shared" si="6"/>
        <v>19.8</v>
      </c>
    </row>
    <row r="374" spans="1:29" x14ac:dyDescent="0.25">
      <c r="A374" s="26" t="s">
        <v>947</v>
      </c>
      <c r="B374" s="26">
        <v>203</v>
      </c>
      <c r="C374" s="26">
        <v>102</v>
      </c>
      <c r="D374" s="26">
        <v>6.48</v>
      </c>
      <c r="E374" s="26">
        <v>168</v>
      </c>
      <c r="F374" s="26">
        <v>5.84</v>
      </c>
      <c r="G374" s="26">
        <v>11.1</v>
      </c>
      <c r="H374" s="26">
        <v>7.84</v>
      </c>
      <c r="I374" s="26">
        <v>28.8</v>
      </c>
      <c r="J374" s="26">
        <v>24.77</v>
      </c>
      <c r="K374" s="26">
        <v>19.3</v>
      </c>
      <c r="L374" s="26">
        <v>1648</v>
      </c>
      <c r="M374" s="26">
        <v>162</v>
      </c>
      <c r="N374" s="26">
        <v>8.15</v>
      </c>
      <c r="O374" s="26">
        <v>93.4</v>
      </c>
      <c r="P374" s="26">
        <v>187</v>
      </c>
      <c r="Q374" s="26">
        <v>114</v>
      </c>
      <c r="R374" s="26">
        <v>22.5</v>
      </c>
      <c r="S374" s="26">
        <v>2.14</v>
      </c>
      <c r="T374" s="26">
        <v>17.600000000000001</v>
      </c>
      <c r="U374" s="26">
        <v>33.700000000000003</v>
      </c>
      <c r="V374" s="26">
        <v>35.200000000000003</v>
      </c>
      <c r="W374" s="26">
        <v>3.75</v>
      </c>
      <c r="X374" s="26">
        <v>10956</v>
      </c>
      <c r="Y374" s="26">
        <v>16341</v>
      </c>
      <c r="Z374" s="26">
        <v>122</v>
      </c>
      <c r="AA374" s="40" t="s">
        <v>122</v>
      </c>
      <c r="AB374" s="40" t="s">
        <v>122</v>
      </c>
      <c r="AC374" s="104">
        <f t="shared" si="6"/>
        <v>19.652000000000001</v>
      </c>
    </row>
    <row r="375" spans="1:29" x14ac:dyDescent="0.25">
      <c r="A375" s="26" t="s">
        <v>948</v>
      </c>
      <c r="B375" s="26">
        <v>200</v>
      </c>
      <c r="C375" s="26">
        <v>100</v>
      </c>
      <c r="D375" s="26">
        <v>5.21</v>
      </c>
      <c r="E375" s="26">
        <v>168</v>
      </c>
      <c r="F375" s="26">
        <v>4.32</v>
      </c>
      <c r="G375" s="26">
        <v>11.1</v>
      </c>
      <c r="H375" s="26">
        <v>9.61</v>
      </c>
      <c r="I375" s="26">
        <v>39</v>
      </c>
      <c r="J375" s="26">
        <v>19.100000000000001</v>
      </c>
      <c r="K375" s="26">
        <v>14.9</v>
      </c>
      <c r="L375" s="26">
        <v>1282</v>
      </c>
      <c r="M375" s="26">
        <v>128</v>
      </c>
      <c r="N375" s="26">
        <v>8.18</v>
      </c>
      <c r="O375" s="26">
        <v>72.7</v>
      </c>
      <c r="P375" s="26">
        <v>145</v>
      </c>
      <c r="Q375" s="26">
        <v>87</v>
      </c>
      <c r="R375" s="26">
        <v>17.399999999999999</v>
      </c>
      <c r="S375" s="26">
        <v>2.14</v>
      </c>
      <c r="T375" s="26">
        <v>13.6</v>
      </c>
      <c r="U375" s="26">
        <v>26.1</v>
      </c>
      <c r="V375" s="26">
        <v>27.2</v>
      </c>
      <c r="W375" s="26">
        <v>1.66</v>
      </c>
      <c r="X375" s="26">
        <v>8298</v>
      </c>
      <c r="Y375" s="26">
        <v>12135</v>
      </c>
      <c r="Z375" s="26">
        <v>377</v>
      </c>
      <c r="AA375" s="40" t="s">
        <v>122</v>
      </c>
      <c r="AB375" s="40" t="s">
        <v>122</v>
      </c>
      <c r="AC375" s="104">
        <f t="shared" si="6"/>
        <v>19.478999999999999</v>
      </c>
    </row>
    <row r="376" spans="1:29" x14ac:dyDescent="0.25">
      <c r="A376" s="26" t="s">
        <v>949</v>
      </c>
      <c r="B376" s="26">
        <v>162</v>
      </c>
      <c r="C376" s="26">
        <v>154</v>
      </c>
      <c r="D376" s="26">
        <v>11.6</v>
      </c>
      <c r="E376" s="26">
        <v>121</v>
      </c>
      <c r="F376" s="26">
        <v>8.1300000000000008</v>
      </c>
      <c r="G376" s="26">
        <v>11.1</v>
      </c>
      <c r="H376" s="26">
        <v>6.68</v>
      </c>
      <c r="I376" s="26">
        <v>14.8</v>
      </c>
      <c r="J376" s="26">
        <v>47.35</v>
      </c>
      <c r="K376" s="26">
        <v>37.200000000000003</v>
      </c>
      <c r="L376" s="26">
        <v>2223</v>
      </c>
      <c r="M376" s="26">
        <v>274</v>
      </c>
      <c r="N376" s="26">
        <v>6.86</v>
      </c>
      <c r="O376" s="26">
        <v>155</v>
      </c>
      <c r="P376" s="26">
        <v>310</v>
      </c>
      <c r="Q376" s="26">
        <v>712</v>
      </c>
      <c r="R376" s="26">
        <v>91.9</v>
      </c>
      <c r="S376" s="26">
        <v>3.86</v>
      </c>
      <c r="T376" s="26">
        <v>70.099999999999994</v>
      </c>
      <c r="U376" s="26">
        <v>138</v>
      </c>
      <c r="V376" s="26">
        <v>140</v>
      </c>
      <c r="W376" s="26">
        <v>19.100000000000001</v>
      </c>
      <c r="X376" s="26">
        <v>40280</v>
      </c>
      <c r="Y376" s="26">
        <v>30406</v>
      </c>
      <c r="Z376" s="26">
        <v>7.76</v>
      </c>
      <c r="AA376" s="40" t="s">
        <v>122</v>
      </c>
      <c r="AB376" s="40" t="s">
        <v>122</v>
      </c>
      <c r="AC376" s="104">
        <f t="shared" si="6"/>
        <v>15.040000000000001</v>
      </c>
    </row>
    <row r="377" spans="1:29" x14ac:dyDescent="0.25">
      <c r="A377" s="26" t="s">
        <v>950</v>
      </c>
      <c r="B377" s="26">
        <v>157</v>
      </c>
      <c r="C377" s="26">
        <v>153</v>
      </c>
      <c r="D377" s="26">
        <v>9.27</v>
      </c>
      <c r="E377" s="26">
        <v>121</v>
      </c>
      <c r="F377" s="26">
        <v>6.6</v>
      </c>
      <c r="G377" s="26">
        <v>11.1</v>
      </c>
      <c r="H377" s="26">
        <v>8.25</v>
      </c>
      <c r="I377" s="26">
        <v>18.3</v>
      </c>
      <c r="J377" s="26">
        <v>37.869999999999997</v>
      </c>
      <c r="K377" s="26">
        <v>29.8</v>
      </c>
      <c r="L377" s="26">
        <v>1723</v>
      </c>
      <c r="M377" s="26">
        <v>220</v>
      </c>
      <c r="N377" s="26">
        <v>6.76</v>
      </c>
      <c r="O377" s="26">
        <v>122</v>
      </c>
      <c r="P377" s="26">
        <v>244</v>
      </c>
      <c r="Q377" s="26">
        <v>554</v>
      </c>
      <c r="R377" s="26">
        <v>72.3</v>
      </c>
      <c r="S377" s="26">
        <v>3.81</v>
      </c>
      <c r="T377" s="26">
        <v>55.1</v>
      </c>
      <c r="U377" s="26">
        <v>108</v>
      </c>
      <c r="V377" s="26">
        <v>110</v>
      </c>
      <c r="W377" s="26">
        <v>10</v>
      </c>
      <c r="X377" s="26">
        <v>30345</v>
      </c>
      <c r="Y377" s="26">
        <v>24476</v>
      </c>
      <c r="Z377" s="26">
        <v>17.8</v>
      </c>
      <c r="AA377" s="40" t="s">
        <v>122</v>
      </c>
      <c r="AB377" s="40" t="s">
        <v>122</v>
      </c>
      <c r="AC377" s="104">
        <f t="shared" si="6"/>
        <v>14.773</v>
      </c>
    </row>
    <row r="378" spans="1:29" x14ac:dyDescent="0.25">
      <c r="A378" s="26" t="s">
        <v>951</v>
      </c>
      <c r="B378" s="26">
        <v>152</v>
      </c>
      <c r="C378" s="26">
        <v>152</v>
      </c>
      <c r="D378" s="26">
        <v>6.6</v>
      </c>
      <c r="E378" s="26">
        <v>121</v>
      </c>
      <c r="F378" s="26">
        <v>5.84</v>
      </c>
      <c r="G378" s="26">
        <v>9.5299999999999994</v>
      </c>
      <c r="H378" s="26">
        <v>11.5</v>
      </c>
      <c r="I378" s="26">
        <v>20.7</v>
      </c>
      <c r="J378" s="26">
        <v>28.58</v>
      </c>
      <c r="K378" s="26">
        <v>22.3</v>
      </c>
      <c r="L378" s="26">
        <v>1211</v>
      </c>
      <c r="M378" s="26">
        <v>159</v>
      </c>
      <c r="N378" s="26">
        <v>6.5</v>
      </c>
      <c r="O378" s="26">
        <v>88.5</v>
      </c>
      <c r="P378" s="26">
        <v>177</v>
      </c>
      <c r="Q378" s="26">
        <v>388</v>
      </c>
      <c r="R378" s="26">
        <v>51</v>
      </c>
      <c r="S378" s="26">
        <v>3.71</v>
      </c>
      <c r="T378" s="26">
        <v>38.9</v>
      </c>
      <c r="U378" s="26">
        <v>76.400000000000006</v>
      </c>
      <c r="V378" s="26">
        <v>77.8</v>
      </c>
      <c r="W378" s="26">
        <v>4.16</v>
      </c>
      <c r="X378" s="26">
        <v>20543</v>
      </c>
      <c r="Y378" s="26">
        <v>18892</v>
      </c>
      <c r="Z378" s="26">
        <v>52</v>
      </c>
      <c r="AA378" s="40" t="s">
        <v>122</v>
      </c>
      <c r="AB378" s="40" t="s">
        <v>122</v>
      </c>
      <c r="AC378" s="104">
        <f t="shared" si="6"/>
        <v>14.540000000000001</v>
      </c>
    </row>
    <row r="379" spans="1:29" x14ac:dyDescent="0.25">
      <c r="A379" s="26" t="s">
        <v>952</v>
      </c>
      <c r="B379" s="26">
        <v>160</v>
      </c>
      <c r="C379" s="26">
        <v>102</v>
      </c>
      <c r="D379" s="26">
        <v>10.3</v>
      </c>
      <c r="E379" s="26">
        <v>121</v>
      </c>
      <c r="F379" s="26">
        <v>6.6</v>
      </c>
      <c r="G379" s="26">
        <v>11.1</v>
      </c>
      <c r="H379" s="26">
        <v>4.9800000000000004</v>
      </c>
      <c r="I379" s="26">
        <v>18.3</v>
      </c>
      <c r="J379" s="26">
        <v>30.58</v>
      </c>
      <c r="K379" s="26">
        <v>23.8</v>
      </c>
      <c r="L379" s="26">
        <v>1336</v>
      </c>
      <c r="M379" s="26">
        <v>167</v>
      </c>
      <c r="N379" s="26">
        <v>6.6</v>
      </c>
      <c r="O379" s="26">
        <v>95.9</v>
      </c>
      <c r="P379" s="26">
        <v>192</v>
      </c>
      <c r="Q379" s="26">
        <v>184</v>
      </c>
      <c r="R379" s="26">
        <v>36.1</v>
      </c>
      <c r="S379" s="26">
        <v>2.4500000000000002</v>
      </c>
      <c r="T379" s="26">
        <v>27.8</v>
      </c>
      <c r="U379" s="26">
        <v>54.1</v>
      </c>
      <c r="V379" s="26">
        <v>55.6</v>
      </c>
      <c r="W379" s="26">
        <v>9.16</v>
      </c>
      <c r="X379" s="26">
        <v>10258</v>
      </c>
      <c r="Y379" s="26">
        <v>27648</v>
      </c>
      <c r="Z379" s="26">
        <v>12.4</v>
      </c>
      <c r="AA379" s="40" t="s">
        <v>122</v>
      </c>
      <c r="AB379" s="40" t="s">
        <v>122</v>
      </c>
      <c r="AC379" s="104">
        <f t="shared" si="6"/>
        <v>14.969999999999999</v>
      </c>
    </row>
    <row r="380" spans="1:29" x14ac:dyDescent="0.25">
      <c r="A380" s="26" t="s">
        <v>953</v>
      </c>
      <c r="B380" s="26">
        <v>153</v>
      </c>
      <c r="C380" s="26">
        <v>102</v>
      </c>
      <c r="D380" s="26">
        <v>7.11</v>
      </c>
      <c r="E380" s="26">
        <v>121</v>
      </c>
      <c r="F380" s="26">
        <v>5.84</v>
      </c>
      <c r="G380" s="26">
        <v>9.5299999999999994</v>
      </c>
      <c r="H380" s="26">
        <v>7.14</v>
      </c>
      <c r="I380" s="26">
        <v>20.7</v>
      </c>
      <c r="J380" s="26">
        <v>22.9</v>
      </c>
      <c r="K380" s="26">
        <v>17.899999999999999</v>
      </c>
      <c r="L380" s="26">
        <v>920</v>
      </c>
      <c r="M380" s="26">
        <v>120</v>
      </c>
      <c r="N380" s="26">
        <v>6.32</v>
      </c>
      <c r="O380" s="26">
        <v>68</v>
      </c>
      <c r="P380" s="26">
        <v>136</v>
      </c>
      <c r="Q380" s="26">
        <v>124</v>
      </c>
      <c r="R380" s="26">
        <v>24.6</v>
      </c>
      <c r="S380" s="26">
        <v>2.33</v>
      </c>
      <c r="T380" s="26">
        <v>19</v>
      </c>
      <c r="U380" s="26">
        <v>36.9</v>
      </c>
      <c r="V380" s="26">
        <v>38</v>
      </c>
      <c r="W380" s="26">
        <v>3.75</v>
      </c>
      <c r="X380" s="26">
        <v>6633</v>
      </c>
      <c r="Y380" s="26">
        <v>21374</v>
      </c>
      <c r="Z380" s="26">
        <v>36.6</v>
      </c>
      <c r="AA380" s="40" t="s">
        <v>122</v>
      </c>
      <c r="AB380" s="40" t="s">
        <v>122</v>
      </c>
      <c r="AC380" s="104">
        <f t="shared" si="6"/>
        <v>14.588999999999999</v>
      </c>
    </row>
    <row r="381" spans="1:29" x14ac:dyDescent="0.25">
      <c r="A381" s="26" t="s">
        <v>954</v>
      </c>
      <c r="B381" s="26">
        <v>150</v>
      </c>
      <c r="C381" s="26">
        <v>100</v>
      </c>
      <c r="D381" s="26">
        <v>5.46</v>
      </c>
      <c r="E381" s="26">
        <v>121</v>
      </c>
      <c r="F381" s="26">
        <v>4.32</v>
      </c>
      <c r="G381" s="26">
        <v>9.5299999999999994</v>
      </c>
      <c r="H381" s="26">
        <v>9.16</v>
      </c>
      <c r="I381" s="26">
        <v>27.9</v>
      </c>
      <c r="J381" s="26">
        <v>17.29</v>
      </c>
      <c r="K381" s="26">
        <v>13.4</v>
      </c>
      <c r="L381" s="26">
        <v>683</v>
      </c>
      <c r="M381" s="26">
        <v>91</v>
      </c>
      <c r="N381" s="26">
        <v>6.27</v>
      </c>
      <c r="O381" s="26">
        <v>51</v>
      </c>
      <c r="P381" s="26">
        <v>102</v>
      </c>
      <c r="Q381" s="26">
        <v>91.2</v>
      </c>
      <c r="R381" s="26">
        <v>18.2</v>
      </c>
      <c r="S381" s="26">
        <v>2.2999999999999998</v>
      </c>
      <c r="T381" s="26">
        <v>14.1</v>
      </c>
      <c r="U381" s="26">
        <v>27.3</v>
      </c>
      <c r="V381" s="26">
        <v>28.2</v>
      </c>
      <c r="W381" s="26">
        <v>1.66</v>
      </c>
      <c r="X381" s="26">
        <v>4753</v>
      </c>
      <c r="Y381" s="26">
        <v>16272</v>
      </c>
      <c r="Z381" s="26">
        <v>105</v>
      </c>
      <c r="AA381" s="40" t="s">
        <v>122</v>
      </c>
      <c r="AB381" s="40" t="s">
        <v>122</v>
      </c>
      <c r="AC381" s="104">
        <f t="shared" si="6"/>
        <v>14.453999999999999</v>
      </c>
    </row>
    <row r="382" spans="1:29" x14ac:dyDescent="0.25">
      <c r="A382" s="26" t="s">
        <v>955</v>
      </c>
      <c r="B382" s="26">
        <v>131</v>
      </c>
      <c r="C382" s="26">
        <v>128</v>
      </c>
      <c r="D382" s="26">
        <v>10.9</v>
      </c>
      <c r="E382" s="26">
        <v>88.9</v>
      </c>
      <c r="F382" s="26">
        <v>6.86</v>
      </c>
      <c r="G382" s="26">
        <v>11.1</v>
      </c>
      <c r="H382" s="26">
        <v>5.85</v>
      </c>
      <c r="I382" s="26">
        <v>13</v>
      </c>
      <c r="J382" s="26">
        <v>35.74</v>
      </c>
      <c r="K382" s="26">
        <v>28.3</v>
      </c>
      <c r="L382" s="26">
        <v>1091</v>
      </c>
      <c r="M382" s="26">
        <v>167</v>
      </c>
      <c r="N382" s="26">
        <v>5.51</v>
      </c>
      <c r="O382" s="26">
        <v>95</v>
      </c>
      <c r="P382" s="26">
        <v>190</v>
      </c>
      <c r="Q382" s="26">
        <v>380</v>
      </c>
      <c r="R382" s="26">
        <v>59.5</v>
      </c>
      <c r="S382" s="26">
        <v>3.25</v>
      </c>
      <c r="T382" s="26">
        <v>45.3</v>
      </c>
      <c r="U382" s="26">
        <v>89.2</v>
      </c>
      <c r="V382" s="26">
        <v>90.6</v>
      </c>
      <c r="W382" s="26">
        <v>12.9</v>
      </c>
      <c r="X382" s="26">
        <v>13642</v>
      </c>
      <c r="Y382" s="26">
        <v>35439</v>
      </c>
      <c r="Z382" s="26">
        <v>4.04</v>
      </c>
      <c r="AA382" s="40" t="s">
        <v>122</v>
      </c>
      <c r="AB382" s="40" t="s">
        <v>122</v>
      </c>
      <c r="AC382" s="104">
        <f t="shared" si="6"/>
        <v>12.01</v>
      </c>
    </row>
    <row r="383" spans="1:29" x14ac:dyDescent="0.25">
      <c r="A383" s="26" t="s">
        <v>956</v>
      </c>
      <c r="B383" s="26">
        <v>127</v>
      </c>
      <c r="C383" s="26">
        <v>127</v>
      </c>
      <c r="D383" s="26">
        <v>9.14</v>
      </c>
      <c r="E383" s="26">
        <v>88.9</v>
      </c>
      <c r="F383" s="26">
        <v>6.1</v>
      </c>
      <c r="G383" s="26">
        <v>11.1</v>
      </c>
      <c r="H383" s="26">
        <v>6.94</v>
      </c>
      <c r="I383" s="26">
        <v>14.6</v>
      </c>
      <c r="J383" s="26">
        <v>30.19</v>
      </c>
      <c r="K383" s="26">
        <v>23.8</v>
      </c>
      <c r="L383" s="26">
        <v>887</v>
      </c>
      <c r="M383" s="26">
        <v>139</v>
      </c>
      <c r="N383" s="26">
        <v>5.41</v>
      </c>
      <c r="O383" s="26">
        <v>78.599999999999994</v>
      </c>
      <c r="P383" s="26">
        <v>157</v>
      </c>
      <c r="Q383" s="26">
        <v>313</v>
      </c>
      <c r="R383" s="26">
        <v>49.2</v>
      </c>
      <c r="S383" s="26">
        <v>3.23</v>
      </c>
      <c r="T383" s="26">
        <v>37.4</v>
      </c>
      <c r="U383" s="26">
        <v>73.7</v>
      </c>
      <c r="V383" s="26">
        <v>74.900000000000006</v>
      </c>
      <c r="W383" s="26">
        <v>7.91</v>
      </c>
      <c r="X383" s="26">
        <v>10903</v>
      </c>
      <c r="Y383" s="26">
        <v>30613</v>
      </c>
      <c r="Z383" s="26">
        <v>7.28</v>
      </c>
      <c r="AA383" s="40" t="s">
        <v>122</v>
      </c>
      <c r="AB383" s="40" t="s">
        <v>122</v>
      </c>
      <c r="AC383" s="104">
        <f t="shared" si="6"/>
        <v>11.786</v>
      </c>
    </row>
    <row r="384" spans="1:29" x14ac:dyDescent="0.25">
      <c r="A384" s="26" t="s">
        <v>957</v>
      </c>
      <c r="B384" s="26">
        <v>106</v>
      </c>
      <c r="C384" s="26">
        <v>103</v>
      </c>
      <c r="D384" s="26">
        <v>8.76</v>
      </c>
      <c r="E384" s="26">
        <v>69.900000000000006</v>
      </c>
      <c r="F384" s="26">
        <v>7.11</v>
      </c>
      <c r="G384" s="26">
        <v>11.1</v>
      </c>
      <c r="H384" s="26">
        <v>5.88</v>
      </c>
      <c r="I384" s="26">
        <v>9.82</v>
      </c>
      <c r="J384" s="26">
        <v>24.71</v>
      </c>
      <c r="K384" s="26">
        <v>19.3</v>
      </c>
      <c r="L384" s="26">
        <v>470</v>
      </c>
      <c r="M384" s="26">
        <v>89.5</v>
      </c>
      <c r="N384" s="26">
        <v>4.37</v>
      </c>
      <c r="O384" s="26">
        <v>51.5</v>
      </c>
      <c r="P384" s="26">
        <v>103</v>
      </c>
      <c r="Q384" s="26">
        <v>161</v>
      </c>
      <c r="R384" s="26">
        <v>31.1</v>
      </c>
      <c r="S384" s="26">
        <v>2.54</v>
      </c>
      <c r="T384" s="26">
        <v>23.9</v>
      </c>
      <c r="U384" s="26">
        <v>46.7</v>
      </c>
      <c r="V384" s="26">
        <v>47.9</v>
      </c>
      <c r="W384" s="26">
        <v>6.24</v>
      </c>
      <c r="X384" s="26">
        <v>3760</v>
      </c>
      <c r="Y384" s="26">
        <v>38335</v>
      </c>
      <c r="Z384" s="26">
        <v>3.24</v>
      </c>
      <c r="AA384" s="40" t="s">
        <v>122</v>
      </c>
      <c r="AB384" s="40" t="s">
        <v>122</v>
      </c>
      <c r="AC384" s="104">
        <f t="shared" si="6"/>
        <v>9.7240000000000002</v>
      </c>
    </row>
    <row r="385" spans="1:29" x14ac:dyDescent="0.25">
      <c r="A385" s="26" t="s">
        <v>958</v>
      </c>
      <c r="B385" s="26">
        <v>361</v>
      </c>
      <c r="C385" s="26">
        <v>378</v>
      </c>
      <c r="D385" s="26">
        <v>20.45</v>
      </c>
      <c r="E385" s="26">
        <v>286</v>
      </c>
      <c r="F385" s="26">
        <v>20.45</v>
      </c>
      <c r="G385" s="26">
        <v>27</v>
      </c>
      <c r="H385" s="26">
        <v>9.25</v>
      </c>
      <c r="I385" s="26">
        <v>14</v>
      </c>
      <c r="J385" s="26">
        <v>221.9</v>
      </c>
      <c r="K385" s="26">
        <v>174.1</v>
      </c>
      <c r="L385" s="26">
        <v>50780</v>
      </c>
      <c r="M385" s="26">
        <v>2819</v>
      </c>
      <c r="N385" s="26">
        <v>15.14</v>
      </c>
      <c r="O385" s="26">
        <v>1590</v>
      </c>
      <c r="P385" s="26">
        <v>3179</v>
      </c>
      <c r="Q385" s="26">
        <v>18439</v>
      </c>
      <c r="R385" s="26">
        <v>975</v>
      </c>
      <c r="S385" s="26">
        <v>9.1199999999999992</v>
      </c>
      <c r="T385" s="26">
        <v>749</v>
      </c>
      <c r="U385" s="26">
        <v>1463</v>
      </c>
      <c r="V385" s="26">
        <v>1498</v>
      </c>
      <c r="W385" s="26">
        <v>334</v>
      </c>
      <c r="X385" s="26">
        <v>5343864</v>
      </c>
      <c r="Y385" s="26">
        <v>26683</v>
      </c>
      <c r="Z385" s="26">
        <v>13.9</v>
      </c>
      <c r="AA385" s="40" t="s">
        <v>122</v>
      </c>
      <c r="AB385" s="40" t="s">
        <v>122</v>
      </c>
      <c r="AC385" s="104">
        <f t="shared" si="6"/>
        <v>34.055</v>
      </c>
    </row>
    <row r="386" spans="1:29" x14ac:dyDescent="0.25">
      <c r="A386" s="26" t="s">
        <v>959</v>
      </c>
      <c r="B386" s="26">
        <v>356</v>
      </c>
      <c r="C386" s="26">
        <v>376</v>
      </c>
      <c r="D386" s="26">
        <v>17.91</v>
      </c>
      <c r="E386" s="26">
        <v>286</v>
      </c>
      <c r="F386" s="26">
        <v>17.91</v>
      </c>
      <c r="G386" s="26">
        <v>25.4</v>
      </c>
      <c r="H386" s="26">
        <v>10.5</v>
      </c>
      <c r="I386" s="26">
        <v>16</v>
      </c>
      <c r="J386" s="26">
        <v>193.5</v>
      </c>
      <c r="K386" s="26">
        <v>151.80000000000001</v>
      </c>
      <c r="L386" s="26">
        <v>43704</v>
      </c>
      <c r="M386" s="26">
        <v>2458</v>
      </c>
      <c r="N386" s="26">
        <v>15.04</v>
      </c>
      <c r="O386" s="26">
        <v>1385</v>
      </c>
      <c r="P386" s="26">
        <v>2769</v>
      </c>
      <c r="Q386" s="26">
        <v>15817</v>
      </c>
      <c r="R386" s="26">
        <v>842</v>
      </c>
      <c r="S386" s="26">
        <v>9.0399999999999991</v>
      </c>
      <c r="T386" s="26">
        <v>646</v>
      </c>
      <c r="U386" s="26">
        <v>1263</v>
      </c>
      <c r="V386" s="26">
        <v>1291</v>
      </c>
      <c r="W386" s="26">
        <v>225</v>
      </c>
      <c r="X386" s="26">
        <v>4511403</v>
      </c>
      <c r="Y386" s="26">
        <v>23442</v>
      </c>
      <c r="Z386" s="26">
        <v>22.9</v>
      </c>
      <c r="AA386" s="40" t="s">
        <v>122</v>
      </c>
      <c r="AB386" s="40" t="s">
        <v>122</v>
      </c>
      <c r="AC386" s="104">
        <f t="shared" si="6"/>
        <v>33.808999999999997</v>
      </c>
    </row>
    <row r="387" spans="1:29" x14ac:dyDescent="0.25">
      <c r="A387" s="26" t="s">
        <v>960</v>
      </c>
      <c r="B387" s="26">
        <v>351</v>
      </c>
      <c r="C387" s="26">
        <v>373</v>
      </c>
      <c r="D387" s="26">
        <v>15.62</v>
      </c>
      <c r="E387" s="26">
        <v>286</v>
      </c>
      <c r="F387" s="26">
        <v>15.62</v>
      </c>
      <c r="G387" s="26">
        <v>23.8</v>
      </c>
      <c r="H387" s="26">
        <v>11.9</v>
      </c>
      <c r="I387" s="26">
        <v>18.3</v>
      </c>
      <c r="J387" s="26">
        <v>168.4</v>
      </c>
      <c r="K387" s="26">
        <v>132.4</v>
      </c>
      <c r="L387" s="26">
        <v>37627</v>
      </c>
      <c r="M387" s="26">
        <v>2147</v>
      </c>
      <c r="N387" s="26">
        <v>14.94</v>
      </c>
      <c r="O387" s="26">
        <v>1196</v>
      </c>
      <c r="P387" s="26">
        <v>2393</v>
      </c>
      <c r="Q387" s="26">
        <v>13569</v>
      </c>
      <c r="R387" s="26">
        <v>726</v>
      </c>
      <c r="S387" s="26">
        <v>8.9700000000000006</v>
      </c>
      <c r="T387" s="26">
        <v>555</v>
      </c>
      <c r="U387" s="26">
        <v>1089</v>
      </c>
      <c r="V387" s="26">
        <v>1109</v>
      </c>
      <c r="W387" s="26">
        <v>150</v>
      </c>
      <c r="X387" s="26">
        <v>3813209</v>
      </c>
      <c r="Y387" s="26">
        <v>20408</v>
      </c>
      <c r="Z387" s="26">
        <v>38.700000000000003</v>
      </c>
      <c r="AA387" s="40" t="s">
        <v>122</v>
      </c>
      <c r="AB387" s="40" t="s">
        <v>122</v>
      </c>
      <c r="AC387" s="104">
        <f t="shared" si="6"/>
        <v>33.537999999999997</v>
      </c>
    </row>
    <row r="388" spans="1:29" x14ac:dyDescent="0.25">
      <c r="A388" s="26" t="s">
        <v>961</v>
      </c>
      <c r="B388" s="26">
        <v>346</v>
      </c>
      <c r="C388" s="26">
        <v>370</v>
      </c>
      <c r="D388" s="26">
        <v>12.83</v>
      </c>
      <c r="E388" s="26">
        <v>286</v>
      </c>
      <c r="F388" s="26">
        <v>12.83</v>
      </c>
      <c r="G388" s="26">
        <v>22.2</v>
      </c>
      <c r="H388" s="26">
        <v>14.4</v>
      </c>
      <c r="I388" s="26">
        <v>22.3</v>
      </c>
      <c r="J388" s="26">
        <v>138.1</v>
      </c>
      <c r="K388" s="26">
        <v>108.6</v>
      </c>
      <c r="L388" s="26">
        <v>30343</v>
      </c>
      <c r="M388" s="26">
        <v>1753</v>
      </c>
      <c r="N388" s="26">
        <v>14.83</v>
      </c>
      <c r="O388" s="26">
        <v>967</v>
      </c>
      <c r="P388" s="26">
        <v>1934</v>
      </c>
      <c r="Q388" s="26">
        <v>10864</v>
      </c>
      <c r="R388" s="26">
        <v>587</v>
      </c>
      <c r="S388" s="26">
        <v>8.86</v>
      </c>
      <c r="T388" s="26">
        <v>447</v>
      </c>
      <c r="U388" s="26">
        <v>880</v>
      </c>
      <c r="V388" s="26">
        <v>895</v>
      </c>
      <c r="W388" s="26">
        <v>83.7</v>
      </c>
      <c r="X388" s="26">
        <v>3007602</v>
      </c>
      <c r="Y388" s="26">
        <v>16892</v>
      </c>
      <c r="Z388" s="26">
        <v>81.599999999999994</v>
      </c>
      <c r="AA388" s="40" t="s">
        <v>122</v>
      </c>
      <c r="AB388" s="40" t="s">
        <v>122</v>
      </c>
      <c r="AC388" s="104">
        <f t="shared" si="6"/>
        <v>33.317</v>
      </c>
    </row>
    <row r="389" spans="1:29" x14ac:dyDescent="0.25">
      <c r="A389" s="26" t="s">
        <v>962</v>
      </c>
      <c r="B389" s="26">
        <v>312</v>
      </c>
      <c r="C389" s="26">
        <v>312</v>
      </c>
      <c r="D389" s="26">
        <v>17.399999999999999</v>
      </c>
      <c r="E389" s="26">
        <v>241</v>
      </c>
      <c r="F389" s="26">
        <v>17.399999999999999</v>
      </c>
      <c r="G389" s="26">
        <v>25.4</v>
      </c>
      <c r="H389" s="26">
        <v>8.9700000000000006</v>
      </c>
      <c r="I389" s="26">
        <v>13.9</v>
      </c>
      <c r="J389" s="26">
        <v>158.69999999999999</v>
      </c>
      <c r="K389" s="26">
        <v>125</v>
      </c>
      <c r="L389" s="26">
        <v>27055</v>
      </c>
      <c r="M389" s="26">
        <v>1737</v>
      </c>
      <c r="N389" s="26">
        <v>13.06</v>
      </c>
      <c r="O389" s="26">
        <v>983</v>
      </c>
      <c r="P389" s="26">
        <v>1966</v>
      </c>
      <c r="Q389" s="26">
        <v>8866</v>
      </c>
      <c r="R389" s="26">
        <v>567</v>
      </c>
      <c r="S389" s="26">
        <v>7.47</v>
      </c>
      <c r="T389" s="26">
        <v>436</v>
      </c>
      <c r="U389" s="26">
        <v>850</v>
      </c>
      <c r="V389" s="26">
        <v>872</v>
      </c>
      <c r="W389" s="26">
        <v>176</v>
      </c>
      <c r="X389" s="26">
        <v>1922717</v>
      </c>
      <c r="Y389" s="26">
        <v>26614</v>
      </c>
      <c r="Z389" s="26">
        <v>14.1</v>
      </c>
      <c r="AA389" s="40" t="s">
        <v>122</v>
      </c>
      <c r="AB389" s="40" t="s">
        <v>122</v>
      </c>
      <c r="AC389" s="104">
        <f t="shared" ref="AC389:AC452" si="7">(B389-D389)/10</f>
        <v>29.46</v>
      </c>
    </row>
    <row r="390" spans="1:29" x14ac:dyDescent="0.25">
      <c r="A390" s="26" t="s">
        <v>963</v>
      </c>
      <c r="B390" s="26">
        <v>308</v>
      </c>
      <c r="C390" s="26">
        <v>310</v>
      </c>
      <c r="D390" s="26">
        <v>15.49</v>
      </c>
      <c r="E390" s="26">
        <v>241</v>
      </c>
      <c r="F390" s="26">
        <v>15.37</v>
      </c>
      <c r="G390" s="26">
        <v>23.8</v>
      </c>
      <c r="H390" s="26">
        <v>10</v>
      </c>
      <c r="I390" s="26">
        <v>15.7</v>
      </c>
      <c r="J390" s="26">
        <v>140.6</v>
      </c>
      <c r="K390" s="26">
        <v>110.1</v>
      </c>
      <c r="L390" s="26">
        <v>23684</v>
      </c>
      <c r="M390" s="26">
        <v>1537</v>
      </c>
      <c r="N390" s="26">
        <v>12.98</v>
      </c>
      <c r="O390" s="26">
        <v>860</v>
      </c>
      <c r="P390" s="26">
        <v>1721</v>
      </c>
      <c r="Q390" s="26">
        <v>7742</v>
      </c>
      <c r="R390" s="26">
        <v>498</v>
      </c>
      <c r="S390" s="26">
        <v>7.42</v>
      </c>
      <c r="T390" s="26">
        <v>382</v>
      </c>
      <c r="U390" s="26">
        <v>747</v>
      </c>
      <c r="V390" s="26">
        <v>764</v>
      </c>
      <c r="W390" s="26">
        <v>124</v>
      </c>
      <c r="X390" s="26">
        <v>1656866</v>
      </c>
      <c r="Y390" s="26">
        <v>23718</v>
      </c>
      <c r="Z390" s="26">
        <v>22.1</v>
      </c>
      <c r="AA390" s="40" t="s">
        <v>122</v>
      </c>
      <c r="AB390" s="40" t="s">
        <v>122</v>
      </c>
      <c r="AC390" s="104">
        <f t="shared" si="7"/>
        <v>29.250999999999998</v>
      </c>
    </row>
    <row r="391" spans="1:29" x14ac:dyDescent="0.25">
      <c r="A391" s="26" t="s">
        <v>964</v>
      </c>
      <c r="B391" s="26">
        <v>303</v>
      </c>
      <c r="C391" s="26">
        <v>308</v>
      </c>
      <c r="D391" s="26">
        <v>13.08</v>
      </c>
      <c r="E391" s="26">
        <v>241</v>
      </c>
      <c r="F391" s="26">
        <v>13.08</v>
      </c>
      <c r="G391" s="26">
        <v>22.2</v>
      </c>
      <c r="H391" s="26">
        <v>11.8</v>
      </c>
      <c r="I391" s="26">
        <v>18.399999999999999</v>
      </c>
      <c r="J391" s="26">
        <v>118.7</v>
      </c>
      <c r="K391" s="26">
        <v>93.8</v>
      </c>
      <c r="L391" s="26">
        <v>19646</v>
      </c>
      <c r="M391" s="26">
        <v>1296</v>
      </c>
      <c r="N391" s="26">
        <v>12.85</v>
      </c>
      <c r="O391" s="26">
        <v>723</v>
      </c>
      <c r="P391" s="26">
        <v>1447</v>
      </c>
      <c r="Q391" s="26">
        <v>6368</v>
      </c>
      <c r="R391" s="26">
        <v>415</v>
      </c>
      <c r="S391" s="26">
        <v>7.32</v>
      </c>
      <c r="T391" s="26">
        <v>317</v>
      </c>
      <c r="U391" s="26">
        <v>622</v>
      </c>
      <c r="V391" s="26">
        <v>634</v>
      </c>
      <c r="W391" s="26">
        <v>76.2</v>
      </c>
      <c r="X391" s="26">
        <v>1339994</v>
      </c>
      <c r="Y391" s="26">
        <v>20271</v>
      </c>
      <c r="Z391" s="26">
        <v>40.799999999999997</v>
      </c>
      <c r="AA391" s="40" t="s">
        <v>122</v>
      </c>
      <c r="AB391" s="40" t="s">
        <v>122</v>
      </c>
      <c r="AC391" s="104">
        <f t="shared" si="7"/>
        <v>28.992000000000001</v>
      </c>
    </row>
    <row r="392" spans="1:29" x14ac:dyDescent="0.25">
      <c r="A392" s="26" t="s">
        <v>965</v>
      </c>
      <c r="B392" s="26">
        <v>299</v>
      </c>
      <c r="C392" s="26">
        <v>306</v>
      </c>
      <c r="D392" s="26">
        <v>11.05</v>
      </c>
      <c r="E392" s="26">
        <v>241</v>
      </c>
      <c r="F392" s="26">
        <v>11.05</v>
      </c>
      <c r="G392" s="26">
        <v>22.2</v>
      </c>
      <c r="H392" s="26">
        <v>13.8</v>
      </c>
      <c r="I392" s="26">
        <v>21.8</v>
      </c>
      <c r="J392" s="26">
        <v>100</v>
      </c>
      <c r="K392" s="26">
        <v>78.900000000000006</v>
      </c>
      <c r="L392" s="26">
        <v>16358</v>
      </c>
      <c r="M392" s="26">
        <v>1095</v>
      </c>
      <c r="N392" s="26">
        <v>12.78</v>
      </c>
      <c r="O392" s="26">
        <v>606</v>
      </c>
      <c r="P392" s="26">
        <v>1213</v>
      </c>
      <c r="Q392" s="26">
        <v>5286</v>
      </c>
      <c r="R392" s="26">
        <v>346</v>
      </c>
      <c r="S392" s="26">
        <v>7.26</v>
      </c>
      <c r="T392" s="26">
        <v>264</v>
      </c>
      <c r="U392" s="26">
        <v>519</v>
      </c>
      <c r="V392" s="26">
        <v>528</v>
      </c>
      <c r="W392" s="26">
        <v>46.6</v>
      </c>
      <c r="X392" s="26">
        <v>1098312</v>
      </c>
      <c r="Y392" s="26">
        <v>17237</v>
      </c>
      <c r="Z392" s="26">
        <v>76.8</v>
      </c>
      <c r="AA392" s="40" t="s">
        <v>122</v>
      </c>
      <c r="AB392" s="40" t="s">
        <v>122</v>
      </c>
      <c r="AC392" s="104">
        <f t="shared" si="7"/>
        <v>28.794999999999998</v>
      </c>
    </row>
    <row r="393" spans="1:29" x14ac:dyDescent="0.25">
      <c r="A393" s="26" t="s">
        <v>966</v>
      </c>
      <c r="B393" s="26">
        <v>254</v>
      </c>
      <c r="C393" s="26">
        <v>260</v>
      </c>
      <c r="D393" s="26">
        <v>14.35</v>
      </c>
      <c r="E393" s="26">
        <v>194</v>
      </c>
      <c r="F393" s="26">
        <v>14.35</v>
      </c>
      <c r="G393" s="26">
        <v>20.6</v>
      </c>
      <c r="H393" s="26">
        <v>9.0500000000000007</v>
      </c>
      <c r="I393" s="26">
        <v>13.5</v>
      </c>
      <c r="J393" s="26">
        <v>108.4</v>
      </c>
      <c r="K393" s="26">
        <v>84.8</v>
      </c>
      <c r="L393" s="26">
        <v>12237</v>
      </c>
      <c r="M393" s="26">
        <v>964</v>
      </c>
      <c r="N393" s="26">
        <v>10.62</v>
      </c>
      <c r="O393" s="26">
        <v>545</v>
      </c>
      <c r="P393" s="26">
        <v>1090</v>
      </c>
      <c r="Q393" s="26">
        <v>4204</v>
      </c>
      <c r="R393" s="26">
        <v>323</v>
      </c>
      <c r="S393" s="26">
        <v>6.22</v>
      </c>
      <c r="T393" s="26">
        <v>248</v>
      </c>
      <c r="U393" s="26">
        <v>484</v>
      </c>
      <c r="V393" s="26">
        <v>497</v>
      </c>
      <c r="W393" s="26">
        <v>82</v>
      </c>
      <c r="X393" s="26">
        <v>601520</v>
      </c>
      <c r="Y393" s="26">
        <v>27027</v>
      </c>
      <c r="Z393" s="26">
        <v>13.3</v>
      </c>
      <c r="AA393" s="40" t="s">
        <v>122</v>
      </c>
      <c r="AB393" s="40" t="s">
        <v>122</v>
      </c>
      <c r="AC393" s="104">
        <f t="shared" si="7"/>
        <v>23.965</v>
      </c>
    </row>
    <row r="394" spans="1:29" x14ac:dyDescent="0.25">
      <c r="A394" s="26" t="s">
        <v>967</v>
      </c>
      <c r="B394" s="26">
        <v>246</v>
      </c>
      <c r="C394" s="26">
        <v>256</v>
      </c>
      <c r="D394" s="26">
        <v>10.67</v>
      </c>
      <c r="E394" s="26">
        <v>194</v>
      </c>
      <c r="F394" s="26">
        <v>10.54</v>
      </c>
      <c r="G394" s="26">
        <v>19.100000000000001</v>
      </c>
      <c r="H394" s="26">
        <v>12</v>
      </c>
      <c r="I394" s="26">
        <v>18.399999999999999</v>
      </c>
      <c r="J394" s="26">
        <v>80</v>
      </c>
      <c r="K394" s="26">
        <v>62.5</v>
      </c>
      <c r="L394" s="26">
        <v>8741</v>
      </c>
      <c r="M394" s="26">
        <v>711</v>
      </c>
      <c r="N394" s="26">
        <v>10.49</v>
      </c>
      <c r="O394" s="26">
        <v>396</v>
      </c>
      <c r="P394" s="26">
        <v>791</v>
      </c>
      <c r="Q394" s="26">
        <v>2984</v>
      </c>
      <c r="R394" s="26">
        <v>233</v>
      </c>
      <c r="S394" s="26">
        <v>6.12</v>
      </c>
      <c r="T394" s="26">
        <v>179</v>
      </c>
      <c r="U394" s="26">
        <v>349</v>
      </c>
      <c r="V394" s="26">
        <v>357</v>
      </c>
      <c r="W394" s="26">
        <v>33.700000000000003</v>
      </c>
      <c r="X394" s="26">
        <v>413545</v>
      </c>
      <c r="Y394" s="26">
        <v>20133</v>
      </c>
      <c r="Z394" s="26">
        <v>41.4</v>
      </c>
      <c r="AA394" s="40" t="s">
        <v>122</v>
      </c>
      <c r="AB394" s="40" t="s">
        <v>122</v>
      </c>
      <c r="AC394" s="104">
        <f t="shared" si="7"/>
        <v>23.533000000000001</v>
      </c>
    </row>
    <row r="395" spans="1:29" x14ac:dyDescent="0.25">
      <c r="A395" s="26" t="s">
        <v>968</v>
      </c>
      <c r="B395" s="26">
        <v>204</v>
      </c>
      <c r="C395" s="26">
        <v>207</v>
      </c>
      <c r="D395" s="26">
        <v>11.3</v>
      </c>
      <c r="E395" s="26">
        <v>156</v>
      </c>
      <c r="F395" s="26">
        <v>11.3</v>
      </c>
      <c r="G395" s="26">
        <v>15.9</v>
      </c>
      <c r="H395" s="26">
        <v>9.16</v>
      </c>
      <c r="I395" s="26">
        <v>13.8</v>
      </c>
      <c r="J395" s="26">
        <v>68.39</v>
      </c>
      <c r="K395" s="26">
        <v>53.6</v>
      </c>
      <c r="L395" s="26">
        <v>4953</v>
      </c>
      <c r="M395" s="26">
        <v>488</v>
      </c>
      <c r="N395" s="26">
        <v>8.5299999999999994</v>
      </c>
      <c r="O395" s="26">
        <v>275</v>
      </c>
      <c r="P395" s="26">
        <v>551</v>
      </c>
      <c r="Q395" s="26">
        <v>1677</v>
      </c>
      <c r="R395" s="26">
        <v>162</v>
      </c>
      <c r="S395" s="26">
        <v>4.95</v>
      </c>
      <c r="T395" s="26">
        <v>125</v>
      </c>
      <c r="U395" s="26">
        <v>243</v>
      </c>
      <c r="V395" s="26">
        <v>249</v>
      </c>
      <c r="W395" s="26">
        <v>32</v>
      </c>
      <c r="X395" s="26">
        <v>155214</v>
      </c>
      <c r="Y395" s="26">
        <v>26476</v>
      </c>
      <c r="Z395" s="26">
        <v>14.4</v>
      </c>
      <c r="AA395" s="40" t="s">
        <v>122</v>
      </c>
      <c r="AB395" s="40" t="s">
        <v>122</v>
      </c>
      <c r="AC395" s="104">
        <f t="shared" si="7"/>
        <v>19.27</v>
      </c>
    </row>
    <row r="396" spans="1:29" x14ac:dyDescent="0.25">
      <c r="A396" s="26" t="s">
        <v>969</v>
      </c>
      <c r="B396" s="26">
        <v>303</v>
      </c>
      <c r="C396" s="26">
        <v>78</v>
      </c>
      <c r="D396" s="26">
        <v>5.72</v>
      </c>
      <c r="E396" s="26">
        <v>278</v>
      </c>
      <c r="F396" s="26">
        <v>4.5</v>
      </c>
      <c r="G396" s="26">
        <v>9.5</v>
      </c>
      <c r="H396" s="26">
        <v>6.81</v>
      </c>
      <c r="I396" s="26">
        <v>61.8</v>
      </c>
      <c r="J396" s="26">
        <v>22.45</v>
      </c>
      <c r="K396" s="26">
        <v>17.600000000000001</v>
      </c>
      <c r="L396" s="26">
        <v>2984</v>
      </c>
      <c r="M396" s="26">
        <v>198</v>
      </c>
      <c r="N396" s="26">
        <v>11.53</v>
      </c>
      <c r="O396" s="26">
        <v>117</v>
      </c>
      <c r="P396" s="26">
        <v>234</v>
      </c>
      <c r="Q396" s="26">
        <v>45.4</v>
      </c>
      <c r="R396" s="26">
        <v>11.6</v>
      </c>
      <c r="S396" s="26">
        <v>1.42</v>
      </c>
      <c r="T396" s="26">
        <v>9.5</v>
      </c>
      <c r="U396" s="26">
        <v>17.399999999999999</v>
      </c>
      <c r="V396" s="26">
        <v>19</v>
      </c>
      <c r="W396" s="26">
        <v>2.081</v>
      </c>
      <c r="X396" s="26">
        <v>9130</v>
      </c>
      <c r="Y396" s="26">
        <v>9791</v>
      </c>
      <c r="Z396" s="26">
        <v>1193</v>
      </c>
      <c r="AA396" s="40" t="s">
        <v>122</v>
      </c>
      <c r="AB396" s="40" t="s">
        <v>122</v>
      </c>
      <c r="AC396" s="104">
        <f t="shared" si="7"/>
        <v>29.727999999999998</v>
      </c>
    </row>
    <row r="397" spans="1:29" x14ac:dyDescent="0.25">
      <c r="A397" s="26" t="s">
        <v>970</v>
      </c>
      <c r="B397" s="26">
        <v>301</v>
      </c>
      <c r="C397" s="26">
        <v>78</v>
      </c>
      <c r="D397" s="26">
        <v>5.23</v>
      </c>
      <c r="E397" s="26">
        <v>276</v>
      </c>
      <c r="F397" s="26">
        <v>4.1100000000000003</v>
      </c>
      <c r="G397" s="26">
        <v>9.5</v>
      </c>
      <c r="H397" s="26">
        <v>7.44</v>
      </c>
      <c r="I397" s="26">
        <v>67.099999999999994</v>
      </c>
      <c r="J397" s="26">
        <v>20.65</v>
      </c>
      <c r="K397" s="26">
        <v>16.100000000000001</v>
      </c>
      <c r="L397" s="26">
        <v>2739</v>
      </c>
      <c r="M397" s="26">
        <v>182</v>
      </c>
      <c r="N397" s="26">
        <v>11.53</v>
      </c>
      <c r="O397" s="26">
        <v>107</v>
      </c>
      <c r="P397" s="26">
        <v>215</v>
      </c>
      <c r="Q397" s="26">
        <v>41.4</v>
      </c>
      <c r="R397" s="26">
        <v>10.6</v>
      </c>
      <c r="S397" s="26">
        <v>1.42</v>
      </c>
      <c r="T397" s="26">
        <v>8.6</v>
      </c>
      <c r="U397" s="26">
        <v>16</v>
      </c>
      <c r="V397" s="26">
        <v>17.2</v>
      </c>
      <c r="W397" s="26">
        <v>1.665</v>
      </c>
      <c r="X397" s="26">
        <v>8405</v>
      </c>
      <c r="Y397" s="26">
        <v>9101</v>
      </c>
      <c r="Z397" s="26">
        <v>1595</v>
      </c>
      <c r="AA397" s="40" t="s">
        <v>122</v>
      </c>
      <c r="AB397" s="40" t="s">
        <v>122</v>
      </c>
      <c r="AC397" s="104">
        <f t="shared" si="7"/>
        <v>29.576999999999998</v>
      </c>
    </row>
    <row r="398" spans="1:29" ht="15" customHeight="1" x14ac:dyDescent="0.25">
      <c r="A398" s="26" t="s">
        <v>971</v>
      </c>
      <c r="B398" s="26">
        <v>250</v>
      </c>
      <c r="C398" s="26">
        <v>68</v>
      </c>
      <c r="D398" s="26">
        <v>5.23</v>
      </c>
      <c r="E398" s="26">
        <v>225</v>
      </c>
      <c r="F398" s="26">
        <v>3.99</v>
      </c>
      <c r="G398" s="26">
        <v>9.5</v>
      </c>
      <c r="H398" s="26">
        <v>6.53</v>
      </c>
      <c r="I398" s="26">
        <v>56.5</v>
      </c>
      <c r="J398" s="26">
        <v>17.23</v>
      </c>
      <c r="K398" s="26">
        <v>13.4</v>
      </c>
      <c r="L398" s="26">
        <v>1602</v>
      </c>
      <c r="M398" s="26">
        <v>128</v>
      </c>
      <c r="N398" s="26">
        <v>9.65</v>
      </c>
      <c r="O398" s="26">
        <v>75.5</v>
      </c>
      <c r="P398" s="26">
        <v>151</v>
      </c>
      <c r="Q398" s="26">
        <v>28</v>
      </c>
      <c r="R398" s="26">
        <v>8.2100000000000009</v>
      </c>
      <c r="S398" s="26">
        <v>1.28</v>
      </c>
      <c r="T398" s="26">
        <v>6.68</v>
      </c>
      <c r="U398" s="26">
        <v>12.3</v>
      </c>
      <c r="V398" s="26">
        <v>13.4</v>
      </c>
      <c r="W398" s="26">
        <v>1.2490000000000001</v>
      </c>
      <c r="X398" s="26">
        <v>3921</v>
      </c>
      <c r="Y398" s="26">
        <v>10825</v>
      </c>
      <c r="Z398" s="26">
        <v>780</v>
      </c>
      <c r="AA398" s="40" t="s">
        <v>122</v>
      </c>
      <c r="AB398" s="40" t="s">
        <v>122</v>
      </c>
      <c r="AC398" s="104">
        <f t="shared" si="7"/>
        <v>24.477</v>
      </c>
    </row>
    <row r="399" spans="1:29" x14ac:dyDescent="0.25">
      <c r="A399" s="26" t="s">
        <v>972</v>
      </c>
      <c r="B399" s="26">
        <v>249</v>
      </c>
      <c r="C399" s="26">
        <v>68</v>
      </c>
      <c r="D399" s="26">
        <v>4.6500000000000004</v>
      </c>
      <c r="E399" s="26">
        <v>224</v>
      </c>
      <c r="F399" s="26">
        <v>3.53</v>
      </c>
      <c r="G399" s="26">
        <v>9.5</v>
      </c>
      <c r="H399" s="26">
        <v>7.35</v>
      </c>
      <c r="I399" s="26">
        <v>63.4</v>
      </c>
      <c r="J399" s="26">
        <v>15.35</v>
      </c>
      <c r="K399" s="26">
        <v>11.9</v>
      </c>
      <c r="L399" s="26">
        <v>1428</v>
      </c>
      <c r="M399" s="26">
        <v>115</v>
      </c>
      <c r="N399" s="26">
        <v>9.65</v>
      </c>
      <c r="O399" s="26">
        <v>67.2</v>
      </c>
      <c r="P399" s="26">
        <v>134</v>
      </c>
      <c r="Q399" s="26">
        <v>24.8</v>
      </c>
      <c r="R399" s="26">
        <v>7.28</v>
      </c>
      <c r="S399" s="26">
        <v>1.28</v>
      </c>
      <c r="T399" s="26">
        <v>5.88</v>
      </c>
      <c r="U399" s="26">
        <v>10.9</v>
      </c>
      <c r="V399" s="26">
        <v>11.8</v>
      </c>
      <c r="W399" s="26">
        <v>0.83199999999999996</v>
      </c>
      <c r="X399" s="26">
        <v>3437</v>
      </c>
      <c r="Y399" s="26">
        <v>9653</v>
      </c>
      <c r="Z399" s="26">
        <v>1216</v>
      </c>
      <c r="AA399" s="40" t="s">
        <v>122</v>
      </c>
      <c r="AB399" s="40" t="s">
        <v>122</v>
      </c>
      <c r="AC399" s="104">
        <f t="shared" si="7"/>
        <v>24.434999999999999</v>
      </c>
    </row>
    <row r="400" spans="1:29" x14ac:dyDescent="0.25">
      <c r="A400" s="26" t="s">
        <v>973</v>
      </c>
      <c r="B400" s="26">
        <v>199</v>
      </c>
      <c r="C400" s="26">
        <v>58</v>
      </c>
      <c r="D400" s="26">
        <v>4.72</v>
      </c>
      <c r="E400" s="26">
        <v>175</v>
      </c>
      <c r="F400" s="26">
        <v>3.38</v>
      </c>
      <c r="G400" s="26">
        <v>9.5</v>
      </c>
      <c r="H400" s="26">
        <v>6.13</v>
      </c>
      <c r="I400" s="26">
        <v>51.7</v>
      </c>
      <c r="J400" s="26">
        <v>12.39</v>
      </c>
      <c r="K400" s="26">
        <v>9.67</v>
      </c>
      <c r="L400" s="26">
        <v>753</v>
      </c>
      <c r="M400" s="26">
        <v>75.7</v>
      </c>
      <c r="N400" s="26">
        <v>7.8</v>
      </c>
      <c r="O400" s="26">
        <v>44.2</v>
      </c>
      <c r="P400" s="26">
        <v>88.5</v>
      </c>
      <c r="Q400" s="26">
        <v>15.4</v>
      </c>
      <c r="R400" s="26">
        <v>5.33</v>
      </c>
      <c r="S400" s="26">
        <v>1.1200000000000001</v>
      </c>
      <c r="T400" s="26">
        <v>4.32</v>
      </c>
      <c r="U400" s="26">
        <v>7.99</v>
      </c>
      <c r="V400" s="26">
        <v>8.64</v>
      </c>
      <c r="W400" s="26">
        <v>0.83199999999999996</v>
      </c>
      <c r="X400" s="26">
        <v>1404</v>
      </c>
      <c r="Y400" s="26">
        <v>12273</v>
      </c>
      <c r="Z400" s="26">
        <v>435</v>
      </c>
      <c r="AA400" s="40" t="s">
        <v>122</v>
      </c>
      <c r="AB400" s="40" t="s">
        <v>122</v>
      </c>
      <c r="AC400" s="104">
        <f t="shared" si="7"/>
        <v>19.428000000000001</v>
      </c>
    </row>
    <row r="401" spans="1:29" x14ac:dyDescent="0.25">
      <c r="A401" s="26" t="s">
        <v>974</v>
      </c>
      <c r="B401" s="26">
        <v>127</v>
      </c>
      <c r="C401" s="26">
        <v>127</v>
      </c>
      <c r="D401" s="26">
        <v>10.6</v>
      </c>
      <c r="E401" s="26">
        <v>82.55</v>
      </c>
      <c r="F401" s="26">
        <v>8.0299999999999994</v>
      </c>
      <c r="G401" s="26">
        <v>12.7</v>
      </c>
      <c r="H401" s="26">
        <v>6.01</v>
      </c>
      <c r="I401" s="26">
        <v>10.3</v>
      </c>
      <c r="J401" s="26">
        <v>35.81</v>
      </c>
      <c r="K401" s="26">
        <v>28.1</v>
      </c>
      <c r="L401" s="26">
        <v>1003</v>
      </c>
      <c r="M401" s="26">
        <v>158</v>
      </c>
      <c r="N401" s="26">
        <v>5.28</v>
      </c>
      <c r="O401" s="26">
        <v>90.1</v>
      </c>
      <c r="P401" s="26">
        <v>180</v>
      </c>
      <c r="Q401" s="26">
        <v>327</v>
      </c>
      <c r="R401" s="26">
        <v>51.5</v>
      </c>
      <c r="S401" s="26">
        <v>3.02</v>
      </c>
      <c r="T401" s="26">
        <v>41.1</v>
      </c>
      <c r="U401" s="26">
        <v>77.2</v>
      </c>
      <c r="V401" s="26">
        <v>82.3</v>
      </c>
      <c r="W401" s="26">
        <v>14.15</v>
      </c>
      <c r="X401" s="26">
        <v>11091</v>
      </c>
      <c r="Y401" s="26">
        <v>39369</v>
      </c>
      <c r="Z401" s="26">
        <v>2.82</v>
      </c>
      <c r="AA401" s="40" t="s">
        <v>122</v>
      </c>
      <c r="AB401" s="40" t="s">
        <v>122</v>
      </c>
      <c r="AC401" s="104">
        <f t="shared" si="7"/>
        <v>11.64</v>
      </c>
    </row>
    <row r="402" spans="1:29" x14ac:dyDescent="0.25">
      <c r="A402" s="26" t="s">
        <v>172</v>
      </c>
      <c r="B402" s="26">
        <v>30</v>
      </c>
      <c r="C402" s="26">
        <v>15</v>
      </c>
      <c r="D402" s="26">
        <v>4.5</v>
      </c>
      <c r="E402" s="26">
        <v>12</v>
      </c>
      <c r="F402" s="26">
        <v>4</v>
      </c>
      <c r="G402" s="26">
        <v>2</v>
      </c>
      <c r="H402" s="26">
        <v>3.33</v>
      </c>
      <c r="I402" s="26">
        <v>3</v>
      </c>
      <c r="J402" s="26">
        <v>2.21</v>
      </c>
      <c r="K402" s="26">
        <v>1.74</v>
      </c>
      <c r="L402" s="26">
        <v>2.5299999999999998</v>
      </c>
      <c r="M402" s="26">
        <v>1.69</v>
      </c>
      <c r="N402" s="26">
        <v>1.07</v>
      </c>
      <c r="O402" s="26" t="s">
        <v>173</v>
      </c>
      <c r="P402" s="26" t="s">
        <v>173</v>
      </c>
      <c r="Q402" s="26">
        <v>0.38</v>
      </c>
      <c r="R402" s="26">
        <v>0.39</v>
      </c>
      <c r="S402" s="26">
        <v>0.42</v>
      </c>
      <c r="T402" s="26" t="s">
        <v>173</v>
      </c>
      <c r="U402" s="26" t="s">
        <v>173</v>
      </c>
      <c r="V402" s="26" t="s">
        <v>173</v>
      </c>
      <c r="W402" s="26">
        <v>0.14000000000000001</v>
      </c>
      <c r="X402" s="26" t="s">
        <v>173</v>
      </c>
      <c r="Y402" s="26" t="s">
        <v>173</v>
      </c>
      <c r="Z402" s="26" t="s">
        <v>173</v>
      </c>
      <c r="AA402" s="26">
        <v>0.52</v>
      </c>
      <c r="AB402" s="26">
        <v>0.74</v>
      </c>
      <c r="AC402" s="104">
        <f t="shared" si="7"/>
        <v>2.5499999999999998</v>
      </c>
    </row>
    <row r="403" spans="1:29" x14ac:dyDescent="0.25">
      <c r="A403" s="26" t="s">
        <v>172</v>
      </c>
      <c r="B403" s="26">
        <v>30</v>
      </c>
      <c r="C403" s="26">
        <v>33</v>
      </c>
      <c r="D403" s="26">
        <v>7</v>
      </c>
      <c r="E403" s="26">
        <v>1</v>
      </c>
      <c r="F403" s="26">
        <v>5</v>
      </c>
      <c r="G403" s="26">
        <v>3.5</v>
      </c>
      <c r="H403" s="26">
        <v>4.71</v>
      </c>
      <c r="I403" s="26">
        <v>0.2</v>
      </c>
      <c r="J403" s="26">
        <v>5.44</v>
      </c>
      <c r="K403" s="26">
        <v>4.2699999999999996</v>
      </c>
      <c r="L403" s="26">
        <v>6.39</v>
      </c>
      <c r="M403" s="26">
        <v>4.26</v>
      </c>
      <c r="N403" s="26">
        <v>1.08</v>
      </c>
      <c r="O403" s="26" t="s">
        <v>173</v>
      </c>
      <c r="P403" s="26" t="s">
        <v>173</v>
      </c>
      <c r="Q403" s="26">
        <v>5.33</v>
      </c>
      <c r="R403" s="26">
        <v>2.68</v>
      </c>
      <c r="S403" s="26">
        <v>0.99</v>
      </c>
      <c r="T403" s="26" t="s">
        <v>173</v>
      </c>
      <c r="U403" s="26" t="s">
        <v>173</v>
      </c>
      <c r="V403" s="26" t="s">
        <v>173</v>
      </c>
      <c r="W403" s="26">
        <v>0.82</v>
      </c>
      <c r="X403" s="26" t="s">
        <v>173</v>
      </c>
      <c r="Y403" s="26" t="s">
        <v>173</v>
      </c>
      <c r="Z403" s="26" t="s">
        <v>173</v>
      </c>
      <c r="AA403" s="26">
        <v>1.31</v>
      </c>
      <c r="AB403" s="26">
        <v>2.2200000000000002</v>
      </c>
      <c r="AC403" s="104">
        <f t="shared" si="7"/>
        <v>2.2999999999999998</v>
      </c>
    </row>
    <row r="404" spans="1:29" x14ac:dyDescent="0.25">
      <c r="A404" s="26" t="s">
        <v>174</v>
      </c>
      <c r="B404" s="26">
        <v>40</v>
      </c>
      <c r="C404" s="26">
        <v>20</v>
      </c>
      <c r="D404" s="26">
        <v>5.5</v>
      </c>
      <c r="E404" s="26">
        <v>18</v>
      </c>
      <c r="F404" s="26">
        <v>5</v>
      </c>
      <c r="G404" s="26">
        <v>2.5</v>
      </c>
      <c r="H404" s="26">
        <v>3.64</v>
      </c>
      <c r="I404" s="26">
        <v>3.6</v>
      </c>
      <c r="J404" s="26">
        <v>3.66</v>
      </c>
      <c r="K404" s="26">
        <v>2.87</v>
      </c>
      <c r="L404" s="26">
        <v>7.58</v>
      </c>
      <c r="M404" s="26">
        <v>3.79</v>
      </c>
      <c r="N404" s="26">
        <v>1.44</v>
      </c>
      <c r="O404" s="26" t="s">
        <v>173</v>
      </c>
      <c r="P404" s="26" t="s">
        <v>173</v>
      </c>
      <c r="Q404" s="26">
        <v>1.1399999999999999</v>
      </c>
      <c r="R404" s="26">
        <v>0.86</v>
      </c>
      <c r="S404" s="26">
        <v>0.56000000000000005</v>
      </c>
      <c r="T404" s="26" t="s">
        <v>173</v>
      </c>
      <c r="U404" s="26" t="s">
        <v>173</v>
      </c>
      <c r="V404" s="26" t="s">
        <v>173</v>
      </c>
      <c r="W404" s="26">
        <v>0.34</v>
      </c>
      <c r="X404" s="26" t="s">
        <v>173</v>
      </c>
      <c r="Y404" s="26" t="s">
        <v>173</v>
      </c>
      <c r="Z404" s="26" t="s">
        <v>173</v>
      </c>
      <c r="AA404" s="26">
        <v>0.67</v>
      </c>
      <c r="AB404" s="26">
        <v>1.01</v>
      </c>
      <c r="AC404" s="104">
        <f t="shared" si="7"/>
        <v>3.45</v>
      </c>
    </row>
    <row r="405" spans="1:29" x14ac:dyDescent="0.25">
      <c r="A405" s="26" t="s">
        <v>174</v>
      </c>
      <c r="B405" s="26">
        <v>40</v>
      </c>
      <c r="C405" s="26">
        <v>35</v>
      </c>
      <c r="D405" s="26">
        <v>7</v>
      </c>
      <c r="E405" s="26">
        <v>11</v>
      </c>
      <c r="F405" s="26">
        <v>5</v>
      </c>
      <c r="G405" s="26">
        <v>3.5</v>
      </c>
      <c r="H405" s="26">
        <v>5</v>
      </c>
      <c r="I405" s="26">
        <v>2.2000000000000002</v>
      </c>
      <c r="J405" s="26">
        <v>6.21</v>
      </c>
      <c r="K405" s="26">
        <v>4.87</v>
      </c>
      <c r="L405" s="26">
        <v>14.1</v>
      </c>
      <c r="M405" s="26">
        <v>7.05</v>
      </c>
      <c r="N405" s="26">
        <v>1.5</v>
      </c>
      <c r="O405" s="26" t="s">
        <v>173</v>
      </c>
      <c r="P405" s="26" t="s">
        <v>173</v>
      </c>
      <c r="Q405" s="26">
        <v>6.68</v>
      </c>
      <c r="R405" s="26">
        <v>3.08</v>
      </c>
      <c r="S405" s="26">
        <v>1.04</v>
      </c>
      <c r="T405" s="26" t="s">
        <v>173</v>
      </c>
      <c r="U405" s="26" t="s">
        <v>173</v>
      </c>
      <c r="V405" s="26" t="s">
        <v>173</v>
      </c>
      <c r="W405" s="26">
        <v>0.91</v>
      </c>
      <c r="X405" s="26" t="s">
        <v>173</v>
      </c>
      <c r="Y405" s="26" t="s">
        <v>173</v>
      </c>
      <c r="Z405" s="26" t="s">
        <v>173</v>
      </c>
      <c r="AA405" s="26">
        <v>1.33</v>
      </c>
      <c r="AB405" s="26">
        <v>2.3199999999999998</v>
      </c>
      <c r="AC405" s="104">
        <f t="shared" si="7"/>
        <v>3.3</v>
      </c>
    </row>
    <row r="406" spans="1:29" x14ac:dyDescent="0.25">
      <c r="A406" s="26" t="s">
        <v>175</v>
      </c>
      <c r="B406" s="26">
        <v>50</v>
      </c>
      <c r="C406" s="26">
        <v>25</v>
      </c>
      <c r="D406" s="26">
        <v>6</v>
      </c>
      <c r="E406" s="26">
        <v>25</v>
      </c>
      <c r="F406" s="26">
        <v>5</v>
      </c>
      <c r="G406" s="26">
        <v>3</v>
      </c>
      <c r="H406" s="26">
        <v>4.17</v>
      </c>
      <c r="I406" s="26">
        <v>5</v>
      </c>
      <c r="J406" s="26">
        <v>4.92</v>
      </c>
      <c r="K406" s="26">
        <v>3.86</v>
      </c>
      <c r="L406" s="26">
        <v>16.8</v>
      </c>
      <c r="M406" s="26">
        <v>6.73</v>
      </c>
      <c r="N406" s="26">
        <v>1.85</v>
      </c>
      <c r="O406" s="26" t="s">
        <v>173</v>
      </c>
      <c r="P406" s="26" t="s">
        <v>173</v>
      </c>
      <c r="Q406" s="26">
        <v>2.4900000000000002</v>
      </c>
      <c r="R406" s="26">
        <v>1.48</v>
      </c>
      <c r="S406" s="26">
        <v>0.71</v>
      </c>
      <c r="T406" s="26" t="s">
        <v>173</v>
      </c>
      <c r="U406" s="26" t="s">
        <v>173</v>
      </c>
      <c r="V406" s="26" t="s">
        <v>173</v>
      </c>
      <c r="W406" s="26">
        <v>0.52</v>
      </c>
      <c r="X406" s="26" t="s">
        <v>173</v>
      </c>
      <c r="Y406" s="26" t="s">
        <v>173</v>
      </c>
      <c r="Z406" s="26" t="s">
        <v>173</v>
      </c>
      <c r="AA406" s="26">
        <v>0.81</v>
      </c>
      <c r="AB406" s="26">
        <v>1.34</v>
      </c>
      <c r="AC406" s="104">
        <f t="shared" si="7"/>
        <v>4.4000000000000004</v>
      </c>
    </row>
    <row r="407" spans="1:29" x14ac:dyDescent="0.25">
      <c r="A407" s="26" t="s">
        <v>175</v>
      </c>
      <c r="B407" s="26">
        <v>50</v>
      </c>
      <c r="C407" s="26">
        <v>38</v>
      </c>
      <c r="D407" s="26">
        <v>7</v>
      </c>
      <c r="E407" s="26">
        <v>20</v>
      </c>
      <c r="F407" s="26">
        <v>5</v>
      </c>
      <c r="G407" s="26">
        <v>3.5</v>
      </c>
      <c r="H407" s="26">
        <v>5.43</v>
      </c>
      <c r="I407" s="26">
        <v>4</v>
      </c>
      <c r="J407" s="26">
        <v>7.12</v>
      </c>
      <c r="K407" s="26">
        <v>5.59</v>
      </c>
      <c r="L407" s="26">
        <v>26.4</v>
      </c>
      <c r="M407" s="26">
        <v>10.6</v>
      </c>
      <c r="N407" s="26">
        <v>1.92</v>
      </c>
      <c r="O407" s="26" t="s">
        <v>173</v>
      </c>
      <c r="P407" s="26" t="s">
        <v>173</v>
      </c>
      <c r="Q407" s="26">
        <v>3.12</v>
      </c>
      <c r="R407" s="26">
        <v>3.75</v>
      </c>
      <c r="S407" s="26">
        <v>1.1299999999999999</v>
      </c>
      <c r="T407" s="26" t="s">
        <v>173</v>
      </c>
      <c r="U407" s="26" t="s">
        <v>173</v>
      </c>
      <c r="V407" s="26" t="s">
        <v>173</v>
      </c>
      <c r="W407" s="26">
        <v>1.02</v>
      </c>
      <c r="X407" s="26" t="s">
        <v>173</v>
      </c>
      <c r="Y407" s="26" t="s">
        <v>173</v>
      </c>
      <c r="Z407" s="26" t="s">
        <v>173</v>
      </c>
      <c r="AA407" s="26">
        <v>1.37</v>
      </c>
      <c r="AB407" s="26">
        <v>2.4700000000000002</v>
      </c>
      <c r="AC407" s="104">
        <f t="shared" si="7"/>
        <v>4.3</v>
      </c>
    </row>
    <row r="408" spans="1:29" x14ac:dyDescent="0.25">
      <c r="A408" s="26" t="s">
        <v>176</v>
      </c>
      <c r="B408" s="26">
        <v>60</v>
      </c>
      <c r="C408" s="26">
        <v>30</v>
      </c>
      <c r="D408" s="26">
        <v>6</v>
      </c>
      <c r="E408" s="26">
        <v>35</v>
      </c>
      <c r="F408" s="26">
        <v>6</v>
      </c>
      <c r="G408" s="26">
        <v>3</v>
      </c>
      <c r="H408" s="26">
        <v>5</v>
      </c>
      <c r="I408" s="26">
        <v>5.83</v>
      </c>
      <c r="J408" s="26">
        <v>6.46</v>
      </c>
      <c r="K408" s="26">
        <v>5.07</v>
      </c>
      <c r="L408" s="26">
        <v>31.6</v>
      </c>
      <c r="M408" s="26">
        <v>10.5</v>
      </c>
      <c r="N408" s="26">
        <v>2.21</v>
      </c>
      <c r="O408" s="26" t="s">
        <v>173</v>
      </c>
      <c r="P408" s="26" t="s">
        <v>173</v>
      </c>
      <c r="Q408" s="26">
        <v>4.51</v>
      </c>
      <c r="R408" s="26">
        <v>2.16</v>
      </c>
      <c r="S408" s="26">
        <v>0.84</v>
      </c>
      <c r="T408" s="26" t="s">
        <v>173</v>
      </c>
      <c r="U408" s="26" t="s">
        <v>173</v>
      </c>
      <c r="V408" s="26" t="s">
        <v>173</v>
      </c>
      <c r="W408" s="26">
        <v>0.78</v>
      </c>
      <c r="X408" s="26" t="s">
        <v>173</v>
      </c>
      <c r="Y408" s="26" t="s">
        <v>173</v>
      </c>
      <c r="Z408" s="26" t="s">
        <v>173</v>
      </c>
      <c r="AA408" s="26">
        <v>0.91</v>
      </c>
      <c r="AB408" s="26">
        <v>1.5</v>
      </c>
      <c r="AC408" s="104">
        <f t="shared" si="7"/>
        <v>5.4</v>
      </c>
    </row>
    <row r="409" spans="1:29" x14ac:dyDescent="0.25">
      <c r="A409" s="26" t="s">
        <v>177</v>
      </c>
      <c r="B409" s="26">
        <v>65</v>
      </c>
      <c r="C409" s="26">
        <v>42</v>
      </c>
      <c r="D409" s="26">
        <v>7.5</v>
      </c>
      <c r="E409" s="26">
        <v>33</v>
      </c>
      <c r="F409" s="26">
        <v>5.5</v>
      </c>
      <c r="G409" s="26">
        <v>4</v>
      </c>
      <c r="H409" s="26">
        <v>5.6</v>
      </c>
      <c r="I409" s="26">
        <v>6</v>
      </c>
      <c r="J409" s="26">
        <v>9.0299999999999994</v>
      </c>
      <c r="K409" s="26">
        <v>7.09</v>
      </c>
      <c r="L409" s="26">
        <v>57.5</v>
      </c>
      <c r="M409" s="26">
        <v>17.7</v>
      </c>
      <c r="N409" s="26">
        <v>2.52</v>
      </c>
      <c r="O409" s="26" t="s">
        <v>173</v>
      </c>
      <c r="P409" s="26" t="s">
        <v>173</v>
      </c>
      <c r="Q409" s="26">
        <v>14.1</v>
      </c>
      <c r="R409" s="26">
        <v>5.07</v>
      </c>
      <c r="S409" s="26">
        <v>1.25</v>
      </c>
      <c r="T409" s="26" t="s">
        <v>173</v>
      </c>
      <c r="U409" s="26" t="s">
        <v>173</v>
      </c>
      <c r="V409" s="26" t="s">
        <v>173</v>
      </c>
      <c r="W409" s="26">
        <v>1.46</v>
      </c>
      <c r="X409" s="26" t="s">
        <v>173</v>
      </c>
      <c r="Y409" s="26" t="s">
        <v>173</v>
      </c>
      <c r="Z409" s="26" t="s">
        <v>173</v>
      </c>
      <c r="AA409" s="26">
        <v>1.42</v>
      </c>
      <c r="AB409" s="26">
        <v>2.6</v>
      </c>
      <c r="AC409" s="104">
        <f t="shared" si="7"/>
        <v>5.75</v>
      </c>
    </row>
    <row r="410" spans="1:29" x14ac:dyDescent="0.25">
      <c r="A410" s="26" t="s">
        <v>178</v>
      </c>
      <c r="B410" s="26">
        <v>80</v>
      </c>
      <c r="C410" s="26">
        <v>45</v>
      </c>
      <c r="D410" s="26">
        <v>8</v>
      </c>
      <c r="E410" s="26">
        <v>46</v>
      </c>
      <c r="F410" s="26">
        <v>6</v>
      </c>
      <c r="G410" s="26">
        <v>4</v>
      </c>
      <c r="H410" s="26">
        <v>5.63</v>
      </c>
      <c r="I410" s="26">
        <v>7.67</v>
      </c>
      <c r="J410" s="26">
        <v>11</v>
      </c>
      <c r="K410" s="26">
        <v>8.64</v>
      </c>
      <c r="L410" s="26">
        <v>106</v>
      </c>
      <c r="M410" s="26">
        <v>26.5</v>
      </c>
      <c r="N410" s="26">
        <v>3.1</v>
      </c>
      <c r="O410" s="26">
        <v>15.9</v>
      </c>
      <c r="P410" s="26">
        <v>31.8</v>
      </c>
      <c r="Q410" s="26">
        <v>19.399999999999999</v>
      </c>
      <c r="R410" s="26">
        <v>6.36</v>
      </c>
      <c r="S410" s="26">
        <v>1.33</v>
      </c>
      <c r="T410" s="26">
        <v>6.35</v>
      </c>
      <c r="U410" s="26">
        <v>9.5399999999999991</v>
      </c>
      <c r="V410" s="26">
        <v>12.08</v>
      </c>
      <c r="W410" s="26">
        <v>2</v>
      </c>
      <c r="X410" s="26">
        <v>196.54</v>
      </c>
      <c r="Y410" s="26">
        <v>48818</v>
      </c>
      <c r="Z410" s="26">
        <v>0.12</v>
      </c>
      <c r="AA410" s="26">
        <v>1.45</v>
      </c>
      <c r="AB410" s="26">
        <v>2.67</v>
      </c>
      <c r="AC410" s="104">
        <f t="shared" si="7"/>
        <v>7.2</v>
      </c>
    </row>
    <row r="411" spans="1:29" x14ac:dyDescent="0.25">
      <c r="A411" s="26" t="s">
        <v>179</v>
      </c>
      <c r="B411" s="26">
        <v>100</v>
      </c>
      <c r="C411" s="26">
        <v>50</v>
      </c>
      <c r="D411" s="26">
        <v>8.5</v>
      </c>
      <c r="E411" s="26">
        <v>64</v>
      </c>
      <c r="F411" s="26">
        <v>6</v>
      </c>
      <c r="G411" s="26">
        <v>4.5</v>
      </c>
      <c r="H411" s="26">
        <v>5.88</v>
      </c>
      <c r="I411" s="26">
        <v>10.7</v>
      </c>
      <c r="J411" s="26">
        <v>13.5</v>
      </c>
      <c r="K411" s="26">
        <v>10.6</v>
      </c>
      <c r="L411" s="26">
        <v>206</v>
      </c>
      <c r="M411" s="26">
        <v>41.2</v>
      </c>
      <c r="N411" s="26">
        <v>3.91</v>
      </c>
      <c r="O411" s="26">
        <v>24.5</v>
      </c>
      <c r="P411" s="26">
        <v>49</v>
      </c>
      <c r="Q411" s="26">
        <v>29.3</v>
      </c>
      <c r="R411" s="26">
        <v>8.49</v>
      </c>
      <c r="S411" s="26">
        <v>1.47</v>
      </c>
      <c r="T411" s="26">
        <v>8.59</v>
      </c>
      <c r="U411" s="26">
        <v>12.7</v>
      </c>
      <c r="V411" s="26">
        <v>16.21</v>
      </c>
      <c r="W411" s="26">
        <v>2.64</v>
      </c>
      <c r="X411" s="26">
        <v>481.65</v>
      </c>
      <c r="Y411" s="26">
        <v>40033</v>
      </c>
      <c r="Z411" s="26">
        <v>0.27</v>
      </c>
      <c r="AA411" s="26">
        <v>1.55</v>
      </c>
      <c r="AB411" s="26">
        <v>2.93</v>
      </c>
      <c r="AC411" s="104">
        <f t="shared" si="7"/>
        <v>9.15</v>
      </c>
    </row>
    <row r="412" spans="1:29" x14ac:dyDescent="0.25">
      <c r="A412" s="26" t="s">
        <v>180</v>
      </c>
      <c r="B412" s="26">
        <v>120</v>
      </c>
      <c r="C412" s="26">
        <v>55</v>
      </c>
      <c r="D412" s="26">
        <v>9</v>
      </c>
      <c r="E412" s="26">
        <v>82</v>
      </c>
      <c r="F412" s="26">
        <v>7</v>
      </c>
      <c r="G412" s="26">
        <v>4.5</v>
      </c>
      <c r="H412" s="26">
        <v>6.11</v>
      </c>
      <c r="I412" s="26">
        <v>11.7</v>
      </c>
      <c r="J412" s="26">
        <v>17</v>
      </c>
      <c r="K412" s="26">
        <v>13.4</v>
      </c>
      <c r="L412" s="26">
        <v>364</v>
      </c>
      <c r="M412" s="26">
        <v>60.7</v>
      </c>
      <c r="N412" s="26">
        <v>4.62</v>
      </c>
      <c r="O412" s="26">
        <v>36.299999999999997</v>
      </c>
      <c r="P412" s="26">
        <v>72.599999999999994</v>
      </c>
      <c r="Q412" s="26">
        <v>43.2</v>
      </c>
      <c r="R412" s="26">
        <v>11.1</v>
      </c>
      <c r="S412" s="26">
        <v>1.59</v>
      </c>
      <c r="T412" s="26">
        <v>11.61</v>
      </c>
      <c r="U412" s="26">
        <v>16.7</v>
      </c>
      <c r="V412" s="26">
        <v>21.27</v>
      </c>
      <c r="W412" s="26">
        <v>3.84</v>
      </c>
      <c r="X412" s="26">
        <v>1039.2</v>
      </c>
      <c r="Y412" s="26">
        <v>36738</v>
      </c>
      <c r="Z412" s="26">
        <v>0.4</v>
      </c>
      <c r="AA412" s="26">
        <v>1.6</v>
      </c>
      <c r="AB412" s="26">
        <v>3.03</v>
      </c>
      <c r="AC412" s="104">
        <f t="shared" si="7"/>
        <v>11.1</v>
      </c>
    </row>
    <row r="413" spans="1:29" x14ac:dyDescent="0.25">
      <c r="A413" s="26" t="s">
        <v>181</v>
      </c>
      <c r="B413" s="26">
        <v>140</v>
      </c>
      <c r="C413" s="26">
        <v>60</v>
      </c>
      <c r="D413" s="26">
        <v>10</v>
      </c>
      <c r="E413" s="26">
        <v>98</v>
      </c>
      <c r="F413" s="26">
        <v>7</v>
      </c>
      <c r="G413" s="26">
        <v>5</v>
      </c>
      <c r="H413" s="26">
        <v>6</v>
      </c>
      <c r="I413" s="26">
        <v>14</v>
      </c>
      <c r="J413" s="26">
        <v>20.399999999999999</v>
      </c>
      <c r="K413" s="26">
        <v>16</v>
      </c>
      <c r="L413" s="26">
        <v>605</v>
      </c>
      <c r="M413" s="26">
        <v>86.4</v>
      </c>
      <c r="N413" s="26">
        <v>5.45</v>
      </c>
      <c r="O413" s="26">
        <v>51.4</v>
      </c>
      <c r="P413" s="26">
        <v>103</v>
      </c>
      <c r="Q413" s="26">
        <v>62.7</v>
      </c>
      <c r="R413" s="26">
        <v>14.8</v>
      </c>
      <c r="S413" s="26">
        <v>1.75</v>
      </c>
      <c r="T413" s="26">
        <v>15.36</v>
      </c>
      <c r="U413" s="26">
        <v>22.2</v>
      </c>
      <c r="V413" s="26">
        <v>28.32</v>
      </c>
      <c r="W413" s="26">
        <v>5.37</v>
      </c>
      <c r="X413" s="26">
        <v>2073.5</v>
      </c>
      <c r="Y413" s="26">
        <v>33445</v>
      </c>
      <c r="Z413" s="26">
        <v>0.56999999999999995</v>
      </c>
      <c r="AA413" s="26">
        <v>1.75</v>
      </c>
      <c r="AB413" s="26">
        <v>3.37</v>
      </c>
      <c r="AC413" s="104">
        <f t="shared" si="7"/>
        <v>13</v>
      </c>
    </row>
    <row r="414" spans="1:29" x14ac:dyDescent="0.25">
      <c r="A414" s="26" t="s">
        <v>182</v>
      </c>
      <c r="B414" s="26">
        <v>160</v>
      </c>
      <c r="C414" s="26">
        <v>65</v>
      </c>
      <c r="D414" s="26">
        <v>10.5</v>
      </c>
      <c r="E414" s="26">
        <v>115</v>
      </c>
      <c r="F414" s="26">
        <v>7.5</v>
      </c>
      <c r="G414" s="26">
        <v>5.5</v>
      </c>
      <c r="H414" s="26">
        <v>6.19</v>
      </c>
      <c r="I414" s="26">
        <v>15.3</v>
      </c>
      <c r="J414" s="26">
        <v>24</v>
      </c>
      <c r="K414" s="26">
        <v>18.8</v>
      </c>
      <c r="L414" s="26">
        <v>925</v>
      </c>
      <c r="M414" s="26">
        <v>116</v>
      </c>
      <c r="N414" s="26">
        <v>6.21</v>
      </c>
      <c r="O414" s="26">
        <v>68.8</v>
      </c>
      <c r="P414" s="26">
        <v>138</v>
      </c>
      <c r="Q414" s="26">
        <v>85.3</v>
      </c>
      <c r="R414" s="26">
        <v>18.3</v>
      </c>
      <c r="S414" s="26">
        <v>1.89</v>
      </c>
      <c r="T414" s="26">
        <v>19.37</v>
      </c>
      <c r="U414" s="26">
        <v>27.5</v>
      </c>
      <c r="V414" s="26">
        <v>35.200000000000003</v>
      </c>
      <c r="W414" s="26">
        <v>6.97</v>
      </c>
      <c r="X414" s="26">
        <v>3750.3</v>
      </c>
      <c r="Y414" s="26">
        <v>30779</v>
      </c>
      <c r="Z414" s="26">
        <v>0.82</v>
      </c>
      <c r="AA414" s="26">
        <v>1.84</v>
      </c>
      <c r="AB414" s="26">
        <v>3.56</v>
      </c>
      <c r="AC414" s="104">
        <f t="shared" si="7"/>
        <v>14.95</v>
      </c>
    </row>
    <row r="415" spans="1:29" x14ac:dyDescent="0.25">
      <c r="A415" s="26" t="s">
        <v>183</v>
      </c>
      <c r="B415" s="26">
        <v>180</v>
      </c>
      <c r="C415" s="26">
        <v>70</v>
      </c>
      <c r="D415" s="26">
        <v>11</v>
      </c>
      <c r="E415" s="26">
        <v>133</v>
      </c>
      <c r="F415" s="26">
        <v>8</v>
      </c>
      <c r="G415" s="26">
        <v>5.5</v>
      </c>
      <c r="H415" s="26">
        <v>6.36</v>
      </c>
      <c r="I415" s="26">
        <v>16.600000000000001</v>
      </c>
      <c r="J415" s="26">
        <v>28</v>
      </c>
      <c r="K415" s="26">
        <v>22</v>
      </c>
      <c r="L415" s="26">
        <v>1350</v>
      </c>
      <c r="M415" s="26">
        <v>150</v>
      </c>
      <c r="N415" s="26">
        <v>6.95</v>
      </c>
      <c r="O415" s="26">
        <v>89.6</v>
      </c>
      <c r="P415" s="26">
        <v>179</v>
      </c>
      <c r="Q415" s="26">
        <v>114</v>
      </c>
      <c r="R415" s="26">
        <v>22.4</v>
      </c>
      <c r="S415" s="26">
        <v>2.02</v>
      </c>
      <c r="T415" s="26">
        <v>24.04</v>
      </c>
      <c r="U415" s="26">
        <v>33.6</v>
      </c>
      <c r="V415" s="26">
        <v>43.14</v>
      </c>
      <c r="W415" s="26">
        <v>8.91</v>
      </c>
      <c r="X415" s="26">
        <v>6383.5</v>
      </c>
      <c r="Y415" s="26">
        <v>29063</v>
      </c>
      <c r="Z415" s="26">
        <v>1.07</v>
      </c>
      <c r="AA415" s="26">
        <v>1.92</v>
      </c>
      <c r="AB415" s="26">
        <v>3.75</v>
      </c>
      <c r="AC415" s="104">
        <f t="shared" si="7"/>
        <v>16.899999999999999</v>
      </c>
    </row>
    <row r="416" spans="1:29" x14ac:dyDescent="0.25">
      <c r="A416" s="26" t="s">
        <v>184</v>
      </c>
      <c r="B416" s="26">
        <v>200</v>
      </c>
      <c r="C416" s="26">
        <v>75</v>
      </c>
      <c r="D416" s="26">
        <v>11.5</v>
      </c>
      <c r="E416" s="26">
        <v>151</v>
      </c>
      <c r="F416" s="26">
        <v>8.5</v>
      </c>
      <c r="G416" s="26">
        <v>6</v>
      </c>
      <c r="H416" s="26">
        <v>6.52</v>
      </c>
      <c r="I416" s="26">
        <v>17.8</v>
      </c>
      <c r="J416" s="26">
        <v>32.200000000000003</v>
      </c>
      <c r="K416" s="26">
        <v>25.3</v>
      </c>
      <c r="L416" s="26">
        <v>1910</v>
      </c>
      <c r="M416" s="26">
        <v>191</v>
      </c>
      <c r="N416" s="26">
        <v>7.7</v>
      </c>
      <c r="O416" s="26">
        <v>114</v>
      </c>
      <c r="P416" s="26">
        <v>228</v>
      </c>
      <c r="Q416" s="26">
        <v>148</v>
      </c>
      <c r="R416" s="26">
        <v>27</v>
      </c>
      <c r="S416" s="26">
        <v>2.14</v>
      </c>
      <c r="T416" s="26">
        <v>29.41</v>
      </c>
      <c r="U416" s="26">
        <v>40.5</v>
      </c>
      <c r="V416" s="26">
        <v>51.89</v>
      </c>
      <c r="W416" s="26">
        <v>11.23</v>
      </c>
      <c r="X416" s="26">
        <v>10429</v>
      </c>
      <c r="Y416" s="26">
        <v>27479</v>
      </c>
      <c r="Z416" s="26">
        <v>1.37</v>
      </c>
      <c r="AA416" s="26">
        <v>2.0099999999999998</v>
      </c>
      <c r="AB416" s="26">
        <v>3.94</v>
      </c>
      <c r="AC416" s="104">
        <f t="shared" si="7"/>
        <v>18.850000000000001</v>
      </c>
    </row>
    <row r="417" spans="1:29" x14ac:dyDescent="0.25">
      <c r="A417" s="26" t="s">
        <v>185</v>
      </c>
      <c r="B417" s="26">
        <v>220</v>
      </c>
      <c r="C417" s="26">
        <v>80</v>
      </c>
      <c r="D417" s="26">
        <v>12.5</v>
      </c>
      <c r="E417" s="26">
        <v>167</v>
      </c>
      <c r="F417" s="26">
        <v>9</v>
      </c>
      <c r="G417" s="26">
        <v>6.5</v>
      </c>
      <c r="H417" s="26">
        <v>6.4</v>
      </c>
      <c r="I417" s="26">
        <v>18.600000000000001</v>
      </c>
      <c r="J417" s="26">
        <v>37.4</v>
      </c>
      <c r="K417" s="26">
        <v>29.4</v>
      </c>
      <c r="L417" s="26">
        <v>2690</v>
      </c>
      <c r="M417" s="26">
        <v>245</v>
      </c>
      <c r="N417" s="26">
        <v>8.48</v>
      </c>
      <c r="O417" s="26">
        <v>146</v>
      </c>
      <c r="P417" s="26">
        <v>292</v>
      </c>
      <c r="Q417" s="26">
        <v>197</v>
      </c>
      <c r="R417" s="26">
        <v>33.6</v>
      </c>
      <c r="S417" s="26">
        <v>2.2999999999999998</v>
      </c>
      <c r="T417" s="26">
        <v>36.380000000000003</v>
      </c>
      <c r="U417" s="26">
        <v>50.4</v>
      </c>
      <c r="V417" s="26">
        <v>64.400000000000006</v>
      </c>
      <c r="W417" s="26">
        <v>15.16</v>
      </c>
      <c r="X417" s="26">
        <v>16737</v>
      </c>
      <c r="Y417" s="26">
        <v>26823</v>
      </c>
      <c r="Z417" s="26">
        <v>1.49</v>
      </c>
      <c r="AA417" s="26">
        <v>2.14</v>
      </c>
      <c r="AB417" s="26">
        <v>4.2</v>
      </c>
      <c r="AC417" s="104">
        <f t="shared" si="7"/>
        <v>20.75</v>
      </c>
    </row>
    <row r="418" spans="1:29" x14ac:dyDescent="0.25">
      <c r="A418" s="26" t="s">
        <v>186</v>
      </c>
      <c r="B418" s="26">
        <v>240</v>
      </c>
      <c r="C418" s="26">
        <v>85</v>
      </c>
      <c r="D418" s="26">
        <v>13</v>
      </c>
      <c r="E418" s="26">
        <v>184</v>
      </c>
      <c r="F418" s="26">
        <v>9.5</v>
      </c>
      <c r="G418" s="26">
        <v>6.5</v>
      </c>
      <c r="H418" s="26">
        <v>6.54</v>
      </c>
      <c r="I418" s="26">
        <v>19.399999999999999</v>
      </c>
      <c r="J418" s="26">
        <v>42.3</v>
      </c>
      <c r="K418" s="26">
        <v>33.200000000000003</v>
      </c>
      <c r="L418" s="26">
        <v>3600</v>
      </c>
      <c r="M418" s="26">
        <v>300</v>
      </c>
      <c r="N418" s="26">
        <v>9.2200000000000006</v>
      </c>
      <c r="O418" s="26">
        <v>179</v>
      </c>
      <c r="P418" s="26">
        <v>358</v>
      </c>
      <c r="Q418" s="26">
        <v>248</v>
      </c>
      <c r="R418" s="26">
        <v>39.6</v>
      </c>
      <c r="S418" s="26">
        <v>2.42</v>
      </c>
      <c r="T418" s="26">
        <v>43.3</v>
      </c>
      <c r="U418" s="26">
        <v>59.4</v>
      </c>
      <c r="V418" s="26">
        <v>76.02</v>
      </c>
      <c r="W418" s="26">
        <v>18.57</v>
      </c>
      <c r="X418" s="26">
        <v>25390</v>
      </c>
      <c r="Y418" s="26">
        <v>25785</v>
      </c>
      <c r="Z418" s="26">
        <v>1.79</v>
      </c>
      <c r="AA418" s="26">
        <v>2.23</v>
      </c>
      <c r="AB418" s="26">
        <v>4.3899999999999997</v>
      </c>
      <c r="AC418" s="104">
        <f t="shared" si="7"/>
        <v>22.7</v>
      </c>
    </row>
    <row r="419" spans="1:29" x14ac:dyDescent="0.25">
      <c r="A419" s="26" t="s">
        <v>187</v>
      </c>
      <c r="B419" s="26">
        <v>260</v>
      </c>
      <c r="C419" s="26">
        <v>90</v>
      </c>
      <c r="D419" s="26">
        <v>14</v>
      </c>
      <c r="E419" s="26">
        <v>200</v>
      </c>
      <c r="F419" s="26">
        <v>10</v>
      </c>
      <c r="G419" s="26">
        <v>7</v>
      </c>
      <c r="H419" s="26">
        <v>6.43</v>
      </c>
      <c r="I419" s="26">
        <v>20</v>
      </c>
      <c r="J419" s="26">
        <v>48.3</v>
      </c>
      <c r="K419" s="26">
        <v>37.9</v>
      </c>
      <c r="L419" s="26">
        <v>4820</v>
      </c>
      <c r="M419" s="26">
        <v>371</v>
      </c>
      <c r="N419" s="26">
        <v>9.99</v>
      </c>
      <c r="O419" s="26">
        <v>221</v>
      </c>
      <c r="P419" s="26">
        <v>442</v>
      </c>
      <c r="Q419" s="26">
        <v>317</v>
      </c>
      <c r="R419" s="26">
        <v>47.7</v>
      </c>
      <c r="S419" s="26">
        <v>2.56</v>
      </c>
      <c r="T419" s="26">
        <v>52.38</v>
      </c>
      <c r="U419" s="26">
        <v>71.599999999999994</v>
      </c>
      <c r="V419" s="26">
        <v>92.22</v>
      </c>
      <c r="W419" s="26">
        <v>24.2</v>
      </c>
      <c r="X419" s="26">
        <v>38133</v>
      </c>
      <c r="Y419" s="26">
        <v>25436</v>
      </c>
      <c r="Z419" s="26">
        <v>1.9</v>
      </c>
      <c r="AA419" s="26">
        <v>2.36</v>
      </c>
      <c r="AB419" s="26">
        <v>4.66</v>
      </c>
      <c r="AC419" s="104">
        <f t="shared" si="7"/>
        <v>24.6</v>
      </c>
    </row>
    <row r="420" spans="1:29" x14ac:dyDescent="0.25">
      <c r="A420" s="26" t="s">
        <v>188</v>
      </c>
      <c r="B420" s="26">
        <v>280</v>
      </c>
      <c r="C420" s="26">
        <v>95</v>
      </c>
      <c r="D420" s="26">
        <v>15</v>
      </c>
      <c r="E420" s="26">
        <v>216</v>
      </c>
      <c r="F420" s="26">
        <v>10</v>
      </c>
      <c r="G420" s="26">
        <v>7.5</v>
      </c>
      <c r="H420" s="26">
        <v>6.33</v>
      </c>
      <c r="I420" s="26">
        <v>21.6</v>
      </c>
      <c r="J420" s="26">
        <v>53.3</v>
      </c>
      <c r="K420" s="26">
        <v>41.8</v>
      </c>
      <c r="L420" s="26">
        <v>6280</v>
      </c>
      <c r="M420" s="26">
        <v>448</v>
      </c>
      <c r="N420" s="26">
        <v>10.9</v>
      </c>
      <c r="O420" s="26">
        <v>266</v>
      </c>
      <c r="P420" s="26">
        <v>532</v>
      </c>
      <c r="Q420" s="26">
        <v>399</v>
      </c>
      <c r="R420" s="26">
        <v>57.2</v>
      </c>
      <c r="S420" s="26">
        <v>2.74</v>
      </c>
      <c r="T420" s="26">
        <v>62.03</v>
      </c>
      <c r="U420" s="26">
        <v>85.8</v>
      </c>
      <c r="V420" s="26">
        <v>109.9</v>
      </c>
      <c r="W420" s="26">
        <v>29.71</v>
      </c>
      <c r="X420" s="26">
        <v>55532</v>
      </c>
      <c r="Y420" s="26">
        <v>24518</v>
      </c>
      <c r="Z420" s="26">
        <v>2.12</v>
      </c>
      <c r="AA420" s="26">
        <v>2.5299999999999998</v>
      </c>
      <c r="AB420" s="26">
        <v>5.0199999999999996</v>
      </c>
      <c r="AC420" s="104">
        <f t="shared" si="7"/>
        <v>26.5</v>
      </c>
    </row>
    <row r="421" spans="1:29" x14ac:dyDescent="0.25">
      <c r="A421" s="26" t="s">
        <v>189</v>
      </c>
      <c r="B421" s="26">
        <v>300</v>
      </c>
      <c r="C421" s="26">
        <v>100</v>
      </c>
      <c r="D421" s="26">
        <v>16</v>
      </c>
      <c r="E421" s="26">
        <v>232</v>
      </c>
      <c r="F421" s="26">
        <v>10</v>
      </c>
      <c r="G421" s="26">
        <v>8</v>
      </c>
      <c r="H421" s="26">
        <v>6.25</v>
      </c>
      <c r="I421" s="26">
        <v>23.2</v>
      </c>
      <c r="J421" s="26">
        <v>58.8</v>
      </c>
      <c r="K421" s="26">
        <v>46.2</v>
      </c>
      <c r="L421" s="26">
        <v>8030</v>
      </c>
      <c r="M421" s="26">
        <v>535</v>
      </c>
      <c r="N421" s="26">
        <v>11.7</v>
      </c>
      <c r="O421" s="26">
        <v>316</v>
      </c>
      <c r="P421" s="26">
        <v>632</v>
      </c>
      <c r="Q421" s="26">
        <v>495</v>
      </c>
      <c r="R421" s="26">
        <v>67.8</v>
      </c>
      <c r="S421" s="26">
        <v>2.9</v>
      </c>
      <c r="T421" s="26">
        <v>72.709999999999994</v>
      </c>
      <c r="U421" s="26">
        <v>102</v>
      </c>
      <c r="V421" s="26">
        <v>130</v>
      </c>
      <c r="W421" s="26">
        <v>36.24</v>
      </c>
      <c r="X421" s="26">
        <v>78829</v>
      </c>
      <c r="Y421" s="26">
        <v>23817</v>
      </c>
      <c r="Z421" s="26">
        <v>2.33</v>
      </c>
      <c r="AA421" s="26">
        <v>2.7</v>
      </c>
      <c r="AB421" s="26">
        <v>5.41</v>
      </c>
      <c r="AC421" s="104">
        <f t="shared" si="7"/>
        <v>28.4</v>
      </c>
    </row>
    <row r="422" spans="1:29" x14ac:dyDescent="0.25">
      <c r="A422" s="26" t="s">
        <v>190</v>
      </c>
      <c r="B422" s="26">
        <v>320</v>
      </c>
      <c r="C422" s="26">
        <v>100</v>
      </c>
      <c r="D422" s="26">
        <v>17.5</v>
      </c>
      <c r="E422" s="26">
        <v>246</v>
      </c>
      <c r="F422" s="26">
        <v>14</v>
      </c>
      <c r="G422" s="26">
        <v>8.75</v>
      </c>
      <c r="H422" s="26">
        <v>5.71</v>
      </c>
      <c r="I422" s="26">
        <v>17.600000000000001</v>
      </c>
      <c r="J422" s="26">
        <v>75.8</v>
      </c>
      <c r="K422" s="26">
        <v>59.5</v>
      </c>
      <c r="L422" s="26">
        <v>10870</v>
      </c>
      <c r="M422" s="26">
        <v>679</v>
      </c>
      <c r="N422" s="26">
        <v>12.1</v>
      </c>
      <c r="O422" s="26">
        <v>413</v>
      </c>
      <c r="P422" s="26">
        <v>826</v>
      </c>
      <c r="Q422" s="26">
        <v>597</v>
      </c>
      <c r="R422" s="26">
        <v>80.599999999999994</v>
      </c>
      <c r="S422" s="26">
        <v>2.81</v>
      </c>
      <c r="T422" s="26">
        <v>91.63</v>
      </c>
      <c r="U422" s="26">
        <v>121</v>
      </c>
      <c r="V422" s="26">
        <v>158.9</v>
      </c>
      <c r="W422" s="26">
        <v>61.8</v>
      </c>
      <c r="X422" s="26">
        <v>104418</v>
      </c>
      <c r="Y422" s="26">
        <v>27823</v>
      </c>
      <c r="Z422" s="26">
        <v>1.42</v>
      </c>
      <c r="AA422" s="26">
        <v>2.6</v>
      </c>
      <c r="AB422" s="26">
        <v>4.82</v>
      </c>
      <c r="AC422" s="104">
        <f t="shared" si="7"/>
        <v>30.25</v>
      </c>
    </row>
    <row r="423" spans="1:29" x14ac:dyDescent="0.25">
      <c r="A423" s="26" t="s">
        <v>191</v>
      </c>
      <c r="B423" s="26">
        <v>350</v>
      </c>
      <c r="C423" s="26">
        <v>100</v>
      </c>
      <c r="D423" s="26">
        <v>16</v>
      </c>
      <c r="E423" s="26">
        <v>282</v>
      </c>
      <c r="F423" s="26">
        <v>14</v>
      </c>
      <c r="G423" s="26">
        <v>8</v>
      </c>
      <c r="H423" s="26">
        <v>6.25</v>
      </c>
      <c r="I423" s="26">
        <v>20.100000000000001</v>
      </c>
      <c r="J423" s="26">
        <v>77.3</v>
      </c>
      <c r="K423" s="26">
        <v>60.6</v>
      </c>
      <c r="L423" s="26">
        <v>12840</v>
      </c>
      <c r="M423" s="26">
        <v>734</v>
      </c>
      <c r="N423" s="26">
        <v>12.9</v>
      </c>
      <c r="O423" s="26">
        <v>459</v>
      </c>
      <c r="P423" s="26">
        <v>918</v>
      </c>
      <c r="Q423" s="26">
        <v>570</v>
      </c>
      <c r="R423" s="26">
        <v>75</v>
      </c>
      <c r="S423" s="26">
        <v>2.72</v>
      </c>
      <c r="T423" s="26">
        <v>88.72</v>
      </c>
      <c r="U423" s="26">
        <v>113</v>
      </c>
      <c r="V423" s="26">
        <v>149.6</v>
      </c>
      <c r="W423" s="26">
        <v>56.39</v>
      </c>
      <c r="X423" s="26">
        <v>123305</v>
      </c>
      <c r="Y423" s="26">
        <v>24829</v>
      </c>
      <c r="Z423" s="26">
        <v>2.46</v>
      </c>
      <c r="AA423" s="26">
        <v>2.4</v>
      </c>
      <c r="AB423" s="26">
        <v>4.45</v>
      </c>
      <c r="AC423" s="104">
        <f t="shared" si="7"/>
        <v>33.4</v>
      </c>
    </row>
    <row r="424" spans="1:29" x14ac:dyDescent="0.25">
      <c r="A424" s="26" t="s">
        <v>192</v>
      </c>
      <c r="B424" s="26">
        <v>380</v>
      </c>
      <c r="C424" s="26">
        <v>102</v>
      </c>
      <c r="D424" s="26">
        <v>16</v>
      </c>
      <c r="E424" s="26">
        <v>313</v>
      </c>
      <c r="F424" s="26">
        <v>13.5</v>
      </c>
      <c r="G424" s="26">
        <v>8</v>
      </c>
      <c r="H424" s="26">
        <v>6.38</v>
      </c>
      <c r="I424" s="26">
        <v>23.2</v>
      </c>
      <c r="J424" s="26">
        <v>80.400000000000006</v>
      </c>
      <c r="K424" s="26">
        <v>63.1</v>
      </c>
      <c r="L424" s="26">
        <v>15760</v>
      </c>
      <c r="M424" s="26">
        <v>829</v>
      </c>
      <c r="N424" s="26">
        <v>14</v>
      </c>
      <c r="O424" s="26">
        <v>507</v>
      </c>
      <c r="P424" s="26">
        <v>1014</v>
      </c>
      <c r="Q424" s="26">
        <v>615</v>
      </c>
      <c r="R424" s="26">
        <v>78.7</v>
      </c>
      <c r="S424" s="26">
        <v>2.77</v>
      </c>
      <c r="T424" s="26">
        <v>93.75</v>
      </c>
      <c r="U424" s="26">
        <v>118</v>
      </c>
      <c r="V424" s="26">
        <v>156.80000000000001</v>
      </c>
      <c r="W424" s="26">
        <v>56.39</v>
      </c>
      <c r="X424" s="26">
        <v>158663</v>
      </c>
      <c r="Y424" s="26">
        <v>22420</v>
      </c>
      <c r="Z424" s="26">
        <v>3.74</v>
      </c>
      <c r="AA424" s="26">
        <v>2.38</v>
      </c>
      <c r="AB424" s="26">
        <v>4.58</v>
      </c>
      <c r="AC424" s="104">
        <f t="shared" si="7"/>
        <v>36.4</v>
      </c>
    </row>
    <row r="425" spans="1:29" x14ac:dyDescent="0.25">
      <c r="A425" s="26" t="s">
        <v>193</v>
      </c>
      <c r="B425" s="26">
        <v>400</v>
      </c>
      <c r="C425" s="26">
        <v>110</v>
      </c>
      <c r="D425" s="26">
        <v>18</v>
      </c>
      <c r="E425" s="26">
        <v>324</v>
      </c>
      <c r="F425" s="26">
        <v>14</v>
      </c>
      <c r="G425" s="26">
        <v>9</v>
      </c>
      <c r="H425" s="26">
        <v>6.11</v>
      </c>
      <c r="I425" s="26">
        <v>23.1</v>
      </c>
      <c r="J425" s="26">
        <v>91.5</v>
      </c>
      <c r="K425" s="26">
        <v>71.8</v>
      </c>
      <c r="L425" s="26">
        <v>20350</v>
      </c>
      <c r="M425" s="26">
        <v>1020</v>
      </c>
      <c r="N425" s="26">
        <v>14.9</v>
      </c>
      <c r="O425" s="26">
        <v>618</v>
      </c>
      <c r="P425" s="26">
        <v>1236</v>
      </c>
      <c r="Q425" s="26">
        <v>846</v>
      </c>
      <c r="R425" s="26">
        <v>102</v>
      </c>
      <c r="S425" s="26">
        <v>3.04</v>
      </c>
      <c r="T425" s="26">
        <v>119.2</v>
      </c>
      <c r="U425" s="26">
        <v>153</v>
      </c>
      <c r="V425" s="26">
        <v>202.3</v>
      </c>
      <c r="W425" s="26">
        <v>76.06</v>
      </c>
      <c r="X425" s="26">
        <v>239940</v>
      </c>
      <c r="Y425" s="26">
        <v>22576</v>
      </c>
      <c r="Z425" s="26">
        <v>3.42</v>
      </c>
      <c r="AA425" s="26">
        <v>2.65</v>
      </c>
      <c r="AB425" s="26">
        <v>5.1100000000000003</v>
      </c>
      <c r="AC425" s="104">
        <f t="shared" si="7"/>
        <v>38.200000000000003</v>
      </c>
    </row>
    <row r="426" spans="1:29" x14ac:dyDescent="0.25">
      <c r="A426" s="26" t="s">
        <v>598</v>
      </c>
      <c r="B426" s="26">
        <v>381</v>
      </c>
      <c r="C426" s="26">
        <v>94.4</v>
      </c>
      <c r="D426" s="26">
        <v>16.5</v>
      </c>
      <c r="E426" s="26">
        <v>308</v>
      </c>
      <c r="F426" s="26">
        <v>18.2</v>
      </c>
      <c r="G426" s="32"/>
      <c r="H426" s="26">
        <v>2.86</v>
      </c>
      <c r="I426" s="26">
        <v>16.899999999999999</v>
      </c>
      <c r="J426" s="26">
        <v>94.8</v>
      </c>
      <c r="K426" s="26">
        <v>74.400000000000006</v>
      </c>
      <c r="L426" s="26">
        <v>16816</v>
      </c>
      <c r="M426" s="26">
        <v>882</v>
      </c>
      <c r="N426" s="26">
        <v>13.31</v>
      </c>
      <c r="O426" s="26">
        <v>559</v>
      </c>
      <c r="P426" s="26">
        <v>1118</v>
      </c>
      <c r="Q426" s="26">
        <v>458</v>
      </c>
      <c r="R426" s="26">
        <v>62</v>
      </c>
      <c r="S426" s="26">
        <v>2.2000000000000002</v>
      </c>
      <c r="T426" s="26">
        <v>67</v>
      </c>
      <c r="U426" s="26">
        <v>93</v>
      </c>
      <c r="V426" s="26">
        <v>134</v>
      </c>
      <c r="W426" s="26">
        <v>111</v>
      </c>
      <c r="X426" s="26">
        <v>132120</v>
      </c>
      <c r="Y426" s="26">
        <v>32143</v>
      </c>
      <c r="Z426" s="26">
        <v>1.22</v>
      </c>
      <c r="AA426" s="26">
        <v>2.0299999999999998</v>
      </c>
      <c r="AB426" s="26">
        <v>1.48</v>
      </c>
      <c r="AC426" s="104">
        <f t="shared" si="7"/>
        <v>36.450000000000003</v>
      </c>
    </row>
    <row r="427" spans="1:29" x14ac:dyDescent="0.25">
      <c r="A427" s="26" t="s">
        <v>599</v>
      </c>
      <c r="B427" s="26">
        <v>381</v>
      </c>
      <c r="C427" s="26">
        <v>89.4</v>
      </c>
      <c r="D427" s="26">
        <v>16.5</v>
      </c>
      <c r="E427" s="26">
        <v>308</v>
      </c>
      <c r="F427" s="26">
        <v>13.2</v>
      </c>
      <c r="G427" s="32"/>
      <c r="H427" s="26">
        <v>2.71</v>
      </c>
      <c r="I427" s="26">
        <v>23.3</v>
      </c>
      <c r="J427" s="26">
        <v>76.099999999999994</v>
      </c>
      <c r="K427" s="26">
        <v>59.5</v>
      </c>
      <c r="L427" s="26">
        <v>14526</v>
      </c>
      <c r="M427" s="26">
        <v>762</v>
      </c>
      <c r="N427" s="26">
        <v>13.82</v>
      </c>
      <c r="O427" s="26">
        <v>469</v>
      </c>
      <c r="P427" s="26">
        <v>937</v>
      </c>
      <c r="Q427" s="26">
        <v>384</v>
      </c>
      <c r="R427" s="26">
        <v>55</v>
      </c>
      <c r="S427" s="26">
        <v>2.25</v>
      </c>
      <c r="T427" s="26">
        <v>56</v>
      </c>
      <c r="U427" s="26">
        <v>83</v>
      </c>
      <c r="V427" s="26">
        <v>113</v>
      </c>
      <c r="W427" s="26">
        <v>60.8</v>
      </c>
      <c r="X427" s="26">
        <v>110368</v>
      </c>
      <c r="Y427" s="26">
        <v>24639</v>
      </c>
      <c r="Z427" s="26">
        <v>3.03</v>
      </c>
      <c r="AA427" s="26">
        <v>1.97</v>
      </c>
      <c r="AB427" s="26">
        <v>1.95</v>
      </c>
      <c r="AC427" s="104">
        <f t="shared" si="7"/>
        <v>36.450000000000003</v>
      </c>
    </row>
    <row r="428" spans="1:29" x14ac:dyDescent="0.25">
      <c r="A428" s="26" t="s">
        <v>600</v>
      </c>
      <c r="B428" s="26">
        <v>381</v>
      </c>
      <c r="C428" s="26">
        <v>86.4</v>
      </c>
      <c r="D428" s="26">
        <v>16.5</v>
      </c>
      <c r="E428" s="26">
        <v>308</v>
      </c>
      <c r="F428" s="26">
        <v>10.199999999999999</v>
      </c>
      <c r="G428" s="32"/>
      <c r="H428" s="26">
        <v>2.62</v>
      </c>
      <c r="I428" s="26">
        <v>30.3</v>
      </c>
      <c r="J428" s="26">
        <v>64.3</v>
      </c>
      <c r="K428" s="26">
        <v>50.4</v>
      </c>
      <c r="L428" s="26">
        <v>13111</v>
      </c>
      <c r="M428" s="26">
        <v>688</v>
      </c>
      <c r="N428" s="26">
        <v>14.27</v>
      </c>
      <c r="O428" s="26">
        <v>413</v>
      </c>
      <c r="P428" s="26">
        <v>826</v>
      </c>
      <c r="Q428" s="26">
        <v>338</v>
      </c>
      <c r="R428" s="26">
        <v>51</v>
      </c>
      <c r="S428" s="26">
        <v>2.2999999999999998</v>
      </c>
      <c r="T428" s="26">
        <v>51</v>
      </c>
      <c r="U428" s="26">
        <v>76</v>
      </c>
      <c r="V428" s="26">
        <v>102</v>
      </c>
      <c r="W428" s="26">
        <v>42.5</v>
      </c>
      <c r="X428" s="26">
        <v>96136</v>
      </c>
      <c r="Y428" s="26">
        <v>20948</v>
      </c>
      <c r="Z428" s="26">
        <v>5.01</v>
      </c>
      <c r="AA428" s="26">
        <v>2</v>
      </c>
      <c r="AB428" s="26">
        <v>2.2799999999999998</v>
      </c>
      <c r="AC428" s="104">
        <f t="shared" si="7"/>
        <v>36.450000000000003</v>
      </c>
    </row>
    <row r="429" spans="1:29" x14ac:dyDescent="0.25">
      <c r="A429" s="26" t="s">
        <v>601</v>
      </c>
      <c r="B429" s="26">
        <v>305</v>
      </c>
      <c r="C429" s="26">
        <v>80.5</v>
      </c>
      <c r="D429" s="26">
        <v>12.7</v>
      </c>
      <c r="E429" s="26">
        <v>248</v>
      </c>
      <c r="F429" s="26">
        <v>13</v>
      </c>
      <c r="G429" s="32"/>
      <c r="H429" s="26">
        <v>3.16</v>
      </c>
      <c r="I429" s="26">
        <v>19.100000000000001</v>
      </c>
      <c r="J429" s="26">
        <v>56.9</v>
      </c>
      <c r="K429" s="26">
        <v>44.6</v>
      </c>
      <c r="L429" s="26">
        <v>6743</v>
      </c>
      <c r="M429" s="26">
        <v>442</v>
      </c>
      <c r="N429" s="26">
        <v>10.9</v>
      </c>
      <c r="O429" s="26">
        <v>275</v>
      </c>
      <c r="P429" s="26">
        <v>551</v>
      </c>
      <c r="Q429" s="26">
        <v>214</v>
      </c>
      <c r="R429" s="26">
        <v>34</v>
      </c>
      <c r="S429" s="26">
        <v>1.94</v>
      </c>
      <c r="T429" s="26">
        <v>35</v>
      </c>
      <c r="U429" s="26">
        <v>51</v>
      </c>
      <c r="V429" s="26">
        <v>71</v>
      </c>
      <c r="W429" s="26">
        <v>36.200000000000003</v>
      </c>
      <c r="X429" s="26">
        <v>40549</v>
      </c>
      <c r="Y429" s="26">
        <v>28320</v>
      </c>
      <c r="Z429" s="26">
        <v>1.9</v>
      </c>
      <c r="AA429" s="26">
        <v>1.71</v>
      </c>
      <c r="AB429" s="26">
        <v>1.57</v>
      </c>
      <c r="AC429" s="104">
        <f t="shared" si="7"/>
        <v>29.23</v>
      </c>
    </row>
    <row r="430" spans="1:29" x14ac:dyDescent="0.25">
      <c r="A430" s="26" t="s">
        <v>602</v>
      </c>
      <c r="B430" s="26">
        <v>305</v>
      </c>
      <c r="C430" s="26">
        <v>77.400000000000006</v>
      </c>
      <c r="D430" s="26">
        <v>12.7</v>
      </c>
      <c r="E430" s="26">
        <v>248</v>
      </c>
      <c r="F430" s="26">
        <v>9.8000000000000007</v>
      </c>
      <c r="G430" s="32"/>
      <c r="H430" s="26">
        <v>3.04</v>
      </c>
      <c r="I430" s="26">
        <v>25.2</v>
      </c>
      <c r="J430" s="26">
        <v>47.4</v>
      </c>
      <c r="K430" s="26">
        <v>37.200000000000003</v>
      </c>
      <c r="L430" s="26">
        <v>5994</v>
      </c>
      <c r="M430" s="26">
        <v>395</v>
      </c>
      <c r="N430" s="26">
        <v>11.25</v>
      </c>
      <c r="O430" s="26">
        <v>239</v>
      </c>
      <c r="P430" s="26">
        <v>479</v>
      </c>
      <c r="Q430" s="26">
        <v>186</v>
      </c>
      <c r="R430" s="26">
        <v>31</v>
      </c>
      <c r="S430" s="26">
        <v>1.98</v>
      </c>
      <c r="T430" s="26">
        <v>31</v>
      </c>
      <c r="U430" s="26">
        <v>46</v>
      </c>
      <c r="V430" s="26">
        <v>63</v>
      </c>
      <c r="W430" s="26">
        <v>22.5</v>
      </c>
      <c r="X430" s="26">
        <v>34910</v>
      </c>
      <c r="Y430" s="26">
        <v>22818</v>
      </c>
      <c r="Z430" s="26">
        <v>3.89</v>
      </c>
      <c r="AA430" s="26">
        <v>1.71</v>
      </c>
      <c r="AB430" s="26">
        <v>1.89</v>
      </c>
      <c r="AC430" s="104">
        <f t="shared" si="7"/>
        <v>29.23</v>
      </c>
    </row>
    <row r="431" spans="1:29" x14ac:dyDescent="0.25">
      <c r="A431" s="26" t="s">
        <v>603</v>
      </c>
      <c r="B431" s="26">
        <v>305</v>
      </c>
      <c r="C431" s="26">
        <v>74.7</v>
      </c>
      <c r="D431" s="26">
        <v>12.7</v>
      </c>
      <c r="E431" s="26">
        <v>248</v>
      </c>
      <c r="F431" s="26">
        <v>7.2</v>
      </c>
      <c r="G431" s="32"/>
      <c r="H431" s="26">
        <v>2.94</v>
      </c>
      <c r="I431" s="26">
        <v>34.6</v>
      </c>
      <c r="J431" s="26">
        <v>39.299999999999997</v>
      </c>
      <c r="K431" s="26">
        <v>30.8</v>
      </c>
      <c r="L431" s="26">
        <v>5369</v>
      </c>
      <c r="M431" s="26">
        <v>352</v>
      </c>
      <c r="N431" s="26">
        <v>11.71</v>
      </c>
      <c r="O431" s="26">
        <v>208</v>
      </c>
      <c r="P431" s="26">
        <v>416</v>
      </c>
      <c r="Q431" s="26">
        <v>161</v>
      </c>
      <c r="R431" s="26">
        <v>28</v>
      </c>
      <c r="S431" s="26">
        <v>2.0299999999999998</v>
      </c>
      <c r="T431" s="26">
        <v>29</v>
      </c>
      <c r="U431" s="26">
        <v>43</v>
      </c>
      <c r="V431" s="26">
        <v>57</v>
      </c>
      <c r="W431" s="26">
        <v>15.4</v>
      </c>
      <c r="X431" s="26">
        <v>30076</v>
      </c>
      <c r="Y431" s="26">
        <v>19272</v>
      </c>
      <c r="Z431" s="26">
        <v>6.54</v>
      </c>
      <c r="AA431" s="26">
        <v>1.77</v>
      </c>
      <c r="AB431" s="26">
        <v>2.21</v>
      </c>
      <c r="AC431" s="104">
        <f t="shared" si="7"/>
        <v>29.23</v>
      </c>
    </row>
    <row r="432" spans="1:29" x14ac:dyDescent="0.25">
      <c r="A432" s="26" t="s">
        <v>604</v>
      </c>
      <c r="B432" s="26">
        <v>254</v>
      </c>
      <c r="C432" s="26">
        <v>77</v>
      </c>
      <c r="D432" s="26">
        <v>11.1</v>
      </c>
      <c r="E432" s="26">
        <v>203</v>
      </c>
      <c r="F432" s="26">
        <v>17.100000000000001</v>
      </c>
      <c r="G432" s="32"/>
      <c r="H432" s="26">
        <v>3.48</v>
      </c>
      <c r="I432" s="26">
        <v>11.9</v>
      </c>
      <c r="J432" s="26">
        <v>56.9</v>
      </c>
      <c r="K432" s="26">
        <v>44.6</v>
      </c>
      <c r="L432" s="26">
        <v>4287</v>
      </c>
      <c r="M432" s="26">
        <v>339</v>
      </c>
      <c r="N432" s="26">
        <v>8.69</v>
      </c>
      <c r="O432" s="26">
        <v>218</v>
      </c>
      <c r="P432" s="26">
        <v>436</v>
      </c>
      <c r="Q432" s="26">
        <v>164</v>
      </c>
      <c r="R432" s="26">
        <v>27</v>
      </c>
      <c r="S432" s="26">
        <v>1.7</v>
      </c>
      <c r="T432" s="26">
        <v>31</v>
      </c>
      <c r="U432" s="26">
        <v>41</v>
      </c>
      <c r="V432" s="26">
        <v>62</v>
      </c>
      <c r="W432" s="26">
        <v>51.2</v>
      </c>
      <c r="X432" s="26">
        <v>21295</v>
      </c>
      <c r="Y432" s="26">
        <v>43921</v>
      </c>
      <c r="Z432" s="26">
        <v>0.38</v>
      </c>
      <c r="AA432" s="26">
        <v>1.65</v>
      </c>
      <c r="AB432" s="26">
        <v>0.94</v>
      </c>
      <c r="AC432" s="104">
        <f t="shared" si="7"/>
        <v>24.29</v>
      </c>
    </row>
    <row r="433" spans="1:29" x14ac:dyDescent="0.25">
      <c r="A433" s="26" t="s">
        <v>605</v>
      </c>
      <c r="B433" s="26">
        <v>254</v>
      </c>
      <c r="C433" s="26">
        <v>73.3</v>
      </c>
      <c r="D433" s="26">
        <v>11.1</v>
      </c>
      <c r="E433" s="26">
        <v>203</v>
      </c>
      <c r="F433" s="26">
        <v>13.4</v>
      </c>
      <c r="G433" s="32"/>
      <c r="H433" s="26">
        <v>3.31</v>
      </c>
      <c r="I433" s="26">
        <v>15.2</v>
      </c>
      <c r="J433" s="26">
        <v>47.4</v>
      </c>
      <c r="K433" s="26">
        <v>37.200000000000003</v>
      </c>
      <c r="L433" s="26">
        <v>3796</v>
      </c>
      <c r="M433" s="26">
        <v>298</v>
      </c>
      <c r="N433" s="26">
        <v>8.94</v>
      </c>
      <c r="O433" s="26">
        <v>188</v>
      </c>
      <c r="P433" s="26">
        <v>377</v>
      </c>
      <c r="Q433" s="26">
        <v>140</v>
      </c>
      <c r="R433" s="26">
        <v>24</v>
      </c>
      <c r="S433" s="26">
        <v>1.72</v>
      </c>
      <c r="T433" s="26">
        <v>26</v>
      </c>
      <c r="U433" s="26">
        <v>36</v>
      </c>
      <c r="V433" s="26">
        <v>52</v>
      </c>
      <c r="W433" s="26">
        <v>28.7</v>
      </c>
      <c r="X433" s="26">
        <v>18368</v>
      </c>
      <c r="Y433" s="26">
        <v>34155</v>
      </c>
      <c r="Z433" s="26">
        <v>0.95</v>
      </c>
      <c r="AA433" s="26">
        <v>1.57</v>
      </c>
      <c r="AB433" s="26">
        <v>1.25</v>
      </c>
      <c r="AC433" s="104">
        <f t="shared" si="7"/>
        <v>24.29</v>
      </c>
    </row>
    <row r="434" spans="1:29" x14ac:dyDescent="0.25">
      <c r="A434" s="26" t="s">
        <v>606</v>
      </c>
      <c r="B434" s="26">
        <v>254</v>
      </c>
      <c r="C434" s="26">
        <v>69.599999999999994</v>
      </c>
      <c r="D434" s="26">
        <v>11.1</v>
      </c>
      <c r="E434" s="26">
        <v>203</v>
      </c>
      <c r="F434" s="26">
        <v>9.6</v>
      </c>
      <c r="G434" s="32"/>
      <c r="H434" s="26">
        <v>3.14</v>
      </c>
      <c r="I434" s="26">
        <v>21.1</v>
      </c>
      <c r="J434" s="26">
        <v>37.9</v>
      </c>
      <c r="K434" s="26">
        <v>29.8</v>
      </c>
      <c r="L434" s="26">
        <v>3284</v>
      </c>
      <c r="M434" s="26">
        <v>259</v>
      </c>
      <c r="N434" s="26">
        <v>9.3000000000000007</v>
      </c>
      <c r="O434" s="26">
        <v>158</v>
      </c>
      <c r="P434" s="26">
        <v>316</v>
      </c>
      <c r="Q434" s="26">
        <v>117</v>
      </c>
      <c r="R434" s="26">
        <v>22</v>
      </c>
      <c r="S434" s="26">
        <v>1.76</v>
      </c>
      <c r="T434" s="26">
        <v>22</v>
      </c>
      <c r="U434" s="26">
        <v>32</v>
      </c>
      <c r="V434" s="26">
        <v>44</v>
      </c>
      <c r="W434" s="26">
        <v>15.4</v>
      </c>
      <c r="X434" s="26">
        <v>15280</v>
      </c>
      <c r="Y434" s="26">
        <v>25769</v>
      </c>
      <c r="Z434" s="26">
        <v>2.48</v>
      </c>
      <c r="AA434" s="26">
        <v>1.54</v>
      </c>
      <c r="AB434" s="26">
        <v>1.62</v>
      </c>
      <c r="AC434" s="104">
        <f t="shared" si="7"/>
        <v>24.29</v>
      </c>
    </row>
    <row r="435" spans="1:29" x14ac:dyDescent="0.25">
      <c r="A435" s="26" t="s">
        <v>607</v>
      </c>
      <c r="B435" s="26">
        <v>254</v>
      </c>
      <c r="C435" s="26">
        <v>66</v>
      </c>
      <c r="D435" s="26">
        <v>11.1</v>
      </c>
      <c r="E435" s="26">
        <v>203</v>
      </c>
      <c r="F435" s="26">
        <v>6.1</v>
      </c>
      <c r="G435" s="32"/>
      <c r="H435" s="26">
        <v>2.98</v>
      </c>
      <c r="I435" s="26">
        <v>33.299999999999997</v>
      </c>
      <c r="J435" s="26">
        <v>29</v>
      </c>
      <c r="K435" s="26">
        <v>22.8</v>
      </c>
      <c r="L435" s="26">
        <v>2805</v>
      </c>
      <c r="M435" s="26">
        <v>221</v>
      </c>
      <c r="N435" s="26">
        <v>9.83</v>
      </c>
      <c r="O435" s="26">
        <v>129</v>
      </c>
      <c r="P435" s="26">
        <v>259</v>
      </c>
      <c r="Q435" s="26">
        <v>95</v>
      </c>
      <c r="R435" s="26">
        <v>19</v>
      </c>
      <c r="S435" s="26">
        <v>1.81</v>
      </c>
      <c r="T435" s="26">
        <v>19</v>
      </c>
      <c r="U435" s="26">
        <v>29</v>
      </c>
      <c r="V435" s="26">
        <v>39</v>
      </c>
      <c r="W435" s="26">
        <v>8.74</v>
      </c>
      <c r="X435" s="26">
        <v>12245</v>
      </c>
      <c r="Y435" s="26">
        <v>19854</v>
      </c>
      <c r="Z435" s="26">
        <v>5.55</v>
      </c>
      <c r="AA435" s="26">
        <v>1.61</v>
      </c>
      <c r="AB435" s="26">
        <v>2.02</v>
      </c>
      <c r="AC435" s="104">
        <f t="shared" si="7"/>
        <v>24.29</v>
      </c>
    </row>
    <row r="436" spans="1:29" x14ac:dyDescent="0.25">
      <c r="A436" s="26" t="s">
        <v>608</v>
      </c>
      <c r="B436" s="26">
        <v>229</v>
      </c>
      <c r="C436" s="26">
        <v>67.3</v>
      </c>
      <c r="D436" s="26">
        <v>10.5</v>
      </c>
      <c r="E436" s="26">
        <v>109</v>
      </c>
      <c r="F436" s="26">
        <v>11.4</v>
      </c>
      <c r="G436" s="32"/>
      <c r="H436" s="26">
        <v>3.21</v>
      </c>
      <c r="I436" s="26">
        <v>9.58</v>
      </c>
      <c r="J436" s="26">
        <v>37.9</v>
      </c>
      <c r="K436" s="26">
        <v>29.8</v>
      </c>
      <c r="L436" s="26">
        <v>2535</v>
      </c>
      <c r="M436" s="26">
        <v>221</v>
      </c>
      <c r="N436" s="26">
        <v>8.18</v>
      </c>
      <c r="O436" s="26">
        <v>138</v>
      </c>
      <c r="P436" s="26">
        <v>275</v>
      </c>
      <c r="Q436" s="26">
        <v>101</v>
      </c>
      <c r="R436" s="26">
        <v>19</v>
      </c>
      <c r="S436" s="26">
        <v>1.63</v>
      </c>
      <c r="T436" s="26">
        <v>20</v>
      </c>
      <c r="U436" s="26">
        <v>29</v>
      </c>
      <c r="V436" s="26">
        <v>40</v>
      </c>
      <c r="W436" s="26">
        <v>17.899999999999999</v>
      </c>
      <c r="X436" s="26">
        <v>10580</v>
      </c>
      <c r="Y436" s="26">
        <v>32512</v>
      </c>
      <c r="Z436" s="26">
        <v>1.08</v>
      </c>
      <c r="AA436" s="26">
        <v>1.48</v>
      </c>
      <c r="AB436" s="26">
        <v>1.31</v>
      </c>
      <c r="AC436" s="104">
        <f t="shared" si="7"/>
        <v>21.85</v>
      </c>
    </row>
    <row r="437" spans="1:29" x14ac:dyDescent="0.25">
      <c r="A437" s="26" t="s">
        <v>609</v>
      </c>
      <c r="B437" s="26">
        <v>229</v>
      </c>
      <c r="C437" s="26">
        <v>63.1</v>
      </c>
      <c r="D437" s="26">
        <v>10.5</v>
      </c>
      <c r="E437" s="26">
        <v>109</v>
      </c>
      <c r="F437" s="26">
        <v>7.2</v>
      </c>
      <c r="G437" s="32"/>
      <c r="H437" s="26">
        <v>3.01</v>
      </c>
      <c r="I437" s="26">
        <v>15.1</v>
      </c>
      <c r="J437" s="26">
        <v>28.5</v>
      </c>
      <c r="K437" s="26">
        <v>22.3</v>
      </c>
      <c r="L437" s="26">
        <v>2123</v>
      </c>
      <c r="M437" s="26">
        <v>185</v>
      </c>
      <c r="N437" s="26">
        <v>8.64</v>
      </c>
      <c r="O437" s="26">
        <v>111</v>
      </c>
      <c r="P437" s="26">
        <v>221</v>
      </c>
      <c r="Q437" s="26">
        <v>80</v>
      </c>
      <c r="R437" s="26">
        <v>17</v>
      </c>
      <c r="S437" s="26">
        <v>1.68</v>
      </c>
      <c r="T437" s="26">
        <v>17</v>
      </c>
      <c r="U437" s="26">
        <v>25</v>
      </c>
      <c r="V437" s="26">
        <v>34</v>
      </c>
      <c r="W437" s="26">
        <v>8.74</v>
      </c>
      <c r="X437" s="26">
        <v>8325</v>
      </c>
      <c r="Y437" s="26">
        <v>23508</v>
      </c>
      <c r="Z437" s="26">
        <v>3.12</v>
      </c>
      <c r="AA437" s="26">
        <v>1.49</v>
      </c>
      <c r="AB437" s="26">
        <v>1.73</v>
      </c>
      <c r="AC437" s="104">
        <f t="shared" si="7"/>
        <v>21.85</v>
      </c>
    </row>
    <row r="438" spans="1:29" x14ac:dyDescent="0.25">
      <c r="A438" s="26" t="s">
        <v>610</v>
      </c>
      <c r="B438" s="26">
        <v>229</v>
      </c>
      <c r="C438" s="26">
        <v>61.8</v>
      </c>
      <c r="D438" s="26">
        <v>10.5</v>
      </c>
      <c r="E438" s="26">
        <v>109</v>
      </c>
      <c r="F438" s="26">
        <v>5.9</v>
      </c>
      <c r="G438" s="32"/>
      <c r="H438" s="26">
        <v>2.95</v>
      </c>
      <c r="I438" s="26">
        <v>18.399999999999999</v>
      </c>
      <c r="J438" s="26">
        <v>25.4</v>
      </c>
      <c r="K438" s="26">
        <v>19.899999999999999</v>
      </c>
      <c r="L438" s="26">
        <v>1994</v>
      </c>
      <c r="M438" s="26">
        <v>174</v>
      </c>
      <c r="N438" s="26">
        <v>8.84</v>
      </c>
      <c r="O438" s="26">
        <v>102</v>
      </c>
      <c r="P438" s="26">
        <v>205</v>
      </c>
      <c r="Q438" s="26">
        <v>73</v>
      </c>
      <c r="R438" s="26">
        <v>16</v>
      </c>
      <c r="S438" s="26">
        <v>1.7</v>
      </c>
      <c r="T438" s="26">
        <v>16</v>
      </c>
      <c r="U438" s="26">
        <v>24</v>
      </c>
      <c r="V438" s="26">
        <v>32</v>
      </c>
      <c r="W438" s="26">
        <v>7.08</v>
      </c>
      <c r="X438" s="26">
        <v>7573</v>
      </c>
      <c r="Y438" s="26">
        <v>21312</v>
      </c>
      <c r="Z438" s="26">
        <v>4.18</v>
      </c>
      <c r="AA438" s="26">
        <v>1.53</v>
      </c>
      <c r="AB438" s="26">
        <v>1.89</v>
      </c>
      <c r="AC438" s="104">
        <f t="shared" si="7"/>
        <v>21.85</v>
      </c>
    </row>
    <row r="439" spans="1:29" x14ac:dyDescent="0.25">
      <c r="A439" s="26" t="s">
        <v>611</v>
      </c>
      <c r="B439" s="26">
        <v>203</v>
      </c>
      <c r="C439" s="26">
        <v>64.2</v>
      </c>
      <c r="D439" s="26">
        <v>9.91</v>
      </c>
      <c r="E439" s="26">
        <v>156</v>
      </c>
      <c r="F439" s="26">
        <v>12.4</v>
      </c>
      <c r="G439" s="32"/>
      <c r="H439" s="26">
        <v>3.24</v>
      </c>
      <c r="I439" s="26">
        <v>12.6</v>
      </c>
      <c r="J439" s="26">
        <v>35.5</v>
      </c>
      <c r="K439" s="26">
        <v>27.9</v>
      </c>
      <c r="L439" s="26">
        <v>1831</v>
      </c>
      <c r="M439" s="26">
        <v>180</v>
      </c>
      <c r="N439" s="26">
        <v>7.16</v>
      </c>
      <c r="O439" s="26">
        <v>113</v>
      </c>
      <c r="P439" s="26">
        <v>226</v>
      </c>
      <c r="Q439" s="26">
        <v>82</v>
      </c>
      <c r="R439" s="26">
        <v>17</v>
      </c>
      <c r="S439" s="26">
        <v>1.52</v>
      </c>
      <c r="T439" s="26">
        <v>18</v>
      </c>
      <c r="U439" s="26">
        <v>25</v>
      </c>
      <c r="V439" s="26">
        <v>36</v>
      </c>
      <c r="W439" s="26">
        <v>18.3</v>
      </c>
      <c r="X439" s="26">
        <v>6740</v>
      </c>
      <c r="Y439" s="26">
        <v>39072</v>
      </c>
      <c r="Z439" s="26">
        <v>0.53</v>
      </c>
      <c r="AA439" s="26">
        <v>1.44</v>
      </c>
      <c r="AB439" s="26">
        <v>1.0900000000000001</v>
      </c>
      <c r="AC439" s="104">
        <f t="shared" si="7"/>
        <v>19.309000000000001</v>
      </c>
    </row>
    <row r="440" spans="1:29" x14ac:dyDescent="0.25">
      <c r="A440" s="26" t="s">
        <v>612</v>
      </c>
      <c r="B440" s="26">
        <v>203</v>
      </c>
      <c r="C440" s="26">
        <v>59.5</v>
      </c>
      <c r="D440" s="26">
        <v>9.91</v>
      </c>
      <c r="E440" s="26">
        <v>156</v>
      </c>
      <c r="F440" s="26">
        <v>7.7</v>
      </c>
      <c r="G440" s="32"/>
      <c r="H440" s="26">
        <v>3</v>
      </c>
      <c r="I440" s="26">
        <v>20.2</v>
      </c>
      <c r="J440" s="26">
        <v>26.1</v>
      </c>
      <c r="K440" s="26">
        <v>20.5</v>
      </c>
      <c r="L440" s="26">
        <v>1503</v>
      </c>
      <c r="M440" s="26">
        <v>148</v>
      </c>
      <c r="N440" s="26">
        <v>7.59</v>
      </c>
      <c r="O440" s="26">
        <v>89</v>
      </c>
      <c r="P440" s="26">
        <v>179</v>
      </c>
      <c r="Q440" s="26">
        <v>64</v>
      </c>
      <c r="R440" s="26">
        <v>14</v>
      </c>
      <c r="S440" s="26">
        <v>1.56</v>
      </c>
      <c r="T440" s="26">
        <v>14</v>
      </c>
      <c r="U440" s="26">
        <v>21</v>
      </c>
      <c r="V440" s="26">
        <v>28</v>
      </c>
      <c r="W440" s="26">
        <v>7.91</v>
      </c>
      <c r="X440" s="26">
        <v>5156</v>
      </c>
      <c r="Y440" s="26">
        <v>26782</v>
      </c>
      <c r="Z440" s="26">
        <v>1.9</v>
      </c>
      <c r="AA440" s="26">
        <v>1.4</v>
      </c>
      <c r="AB440" s="26">
        <v>1.53</v>
      </c>
      <c r="AC440" s="104">
        <f t="shared" si="7"/>
        <v>19.309000000000001</v>
      </c>
    </row>
    <row r="441" spans="1:29" x14ac:dyDescent="0.25">
      <c r="A441" s="26" t="s">
        <v>613</v>
      </c>
      <c r="B441" s="26">
        <v>203</v>
      </c>
      <c r="C441" s="26">
        <v>57.4</v>
      </c>
      <c r="D441" s="26">
        <v>9.91</v>
      </c>
      <c r="E441" s="26">
        <v>156</v>
      </c>
      <c r="F441" s="26">
        <v>5.6</v>
      </c>
      <c r="G441" s="32"/>
      <c r="H441" s="26">
        <v>2.9</v>
      </c>
      <c r="I441" s="26">
        <v>27.8</v>
      </c>
      <c r="J441" s="26">
        <v>21.8</v>
      </c>
      <c r="K441" s="26">
        <v>17.100000000000001</v>
      </c>
      <c r="L441" s="26">
        <v>1357</v>
      </c>
      <c r="M441" s="26">
        <v>133</v>
      </c>
      <c r="N441" s="26">
        <v>7.9</v>
      </c>
      <c r="O441" s="26">
        <v>78</v>
      </c>
      <c r="P441" s="26">
        <v>156</v>
      </c>
      <c r="Q441" s="26">
        <v>55</v>
      </c>
      <c r="R441" s="26">
        <v>13</v>
      </c>
      <c r="S441" s="26">
        <v>1.59</v>
      </c>
      <c r="T441" s="26">
        <v>13</v>
      </c>
      <c r="U441" s="26">
        <v>19</v>
      </c>
      <c r="V441" s="26">
        <v>26</v>
      </c>
      <c r="W441" s="26">
        <v>5.41</v>
      </c>
      <c r="X441" s="26">
        <v>4431</v>
      </c>
      <c r="Y441" s="26">
        <v>22478</v>
      </c>
      <c r="Z441" s="26">
        <v>3.29</v>
      </c>
      <c r="AA441" s="26">
        <v>1.45</v>
      </c>
      <c r="AB441" s="26">
        <v>1.77</v>
      </c>
      <c r="AC441" s="104">
        <f t="shared" si="7"/>
        <v>19.309000000000001</v>
      </c>
    </row>
    <row r="442" spans="1:29" x14ac:dyDescent="0.25">
      <c r="A442" s="26" t="s">
        <v>614</v>
      </c>
      <c r="B442" s="26">
        <v>178</v>
      </c>
      <c r="C442" s="26">
        <v>55.7</v>
      </c>
      <c r="D442" s="26">
        <v>9.3000000000000007</v>
      </c>
      <c r="E442" s="26">
        <v>133</v>
      </c>
      <c r="F442" s="26">
        <v>7.98</v>
      </c>
      <c r="G442" s="32"/>
      <c r="H442" s="26">
        <v>3</v>
      </c>
      <c r="I442" s="26">
        <v>16.7</v>
      </c>
      <c r="J442" s="26">
        <v>23.2</v>
      </c>
      <c r="K442" s="26">
        <v>18.2</v>
      </c>
      <c r="L442" s="26">
        <v>1007</v>
      </c>
      <c r="M442" s="26">
        <v>114</v>
      </c>
      <c r="N442" s="26">
        <v>6.6</v>
      </c>
      <c r="O442" s="26">
        <v>69</v>
      </c>
      <c r="P442" s="26">
        <v>138</v>
      </c>
      <c r="Q442" s="26">
        <v>49</v>
      </c>
      <c r="R442" s="26">
        <v>12</v>
      </c>
      <c r="S442" s="26">
        <v>1.45</v>
      </c>
      <c r="T442" s="26">
        <v>12</v>
      </c>
      <c r="U442" s="26">
        <v>17</v>
      </c>
      <c r="V442" s="26">
        <v>23</v>
      </c>
      <c r="W442" s="26">
        <v>6.66</v>
      </c>
      <c r="X442" s="26">
        <v>3008</v>
      </c>
      <c r="Y442" s="26">
        <v>30230</v>
      </c>
      <c r="Z442" s="26">
        <v>1.21</v>
      </c>
      <c r="AA442" s="26">
        <v>1.33</v>
      </c>
      <c r="AB442" s="26">
        <v>1.37</v>
      </c>
      <c r="AC442" s="104">
        <f t="shared" si="7"/>
        <v>16.869999999999997</v>
      </c>
    </row>
    <row r="443" spans="1:29" x14ac:dyDescent="0.25">
      <c r="A443" s="26" t="s">
        <v>615</v>
      </c>
      <c r="B443" s="26">
        <v>178</v>
      </c>
      <c r="C443" s="26">
        <v>53.1</v>
      </c>
      <c r="D443" s="26">
        <v>9.3000000000000007</v>
      </c>
      <c r="E443" s="26">
        <v>133</v>
      </c>
      <c r="F443" s="26">
        <v>5.3</v>
      </c>
      <c r="G443" s="32"/>
      <c r="H443" s="26">
        <v>2.86</v>
      </c>
      <c r="I443" s="26">
        <v>25</v>
      </c>
      <c r="J443" s="26">
        <v>18.5</v>
      </c>
      <c r="K443" s="26">
        <v>14.6</v>
      </c>
      <c r="L443" s="26">
        <v>887</v>
      </c>
      <c r="M443" s="26">
        <v>100</v>
      </c>
      <c r="N443" s="26">
        <v>6.91</v>
      </c>
      <c r="O443" s="26">
        <v>58</v>
      </c>
      <c r="P443" s="26">
        <v>117</v>
      </c>
      <c r="Q443" s="26">
        <v>40</v>
      </c>
      <c r="R443" s="26">
        <v>10</v>
      </c>
      <c r="S443" s="26">
        <v>1.48</v>
      </c>
      <c r="T443" s="26">
        <v>10</v>
      </c>
      <c r="U443" s="26">
        <v>15</v>
      </c>
      <c r="V443" s="26">
        <v>21</v>
      </c>
      <c r="W443" s="26">
        <v>4.16</v>
      </c>
      <c r="X443" s="26">
        <v>2465</v>
      </c>
      <c r="Y443" s="26">
        <v>24322</v>
      </c>
      <c r="Z443" s="26">
        <v>2.35</v>
      </c>
      <c r="AA443" s="26">
        <v>1.37</v>
      </c>
      <c r="AB443" s="26">
        <v>1.64</v>
      </c>
      <c r="AC443" s="104">
        <f t="shared" si="7"/>
        <v>16.869999999999997</v>
      </c>
    </row>
    <row r="444" spans="1:29" x14ac:dyDescent="0.25">
      <c r="A444" s="26" t="s">
        <v>616</v>
      </c>
      <c r="B444" s="26">
        <v>152</v>
      </c>
      <c r="C444" s="26">
        <v>54.8</v>
      </c>
      <c r="D444" s="26">
        <v>8.7100000000000009</v>
      </c>
      <c r="E444" s="26">
        <v>111</v>
      </c>
      <c r="F444" s="26">
        <v>11.1</v>
      </c>
      <c r="G444" s="32"/>
      <c r="H444" s="26">
        <v>3.14</v>
      </c>
      <c r="I444" s="26">
        <v>10</v>
      </c>
      <c r="J444" s="26">
        <v>24.7</v>
      </c>
      <c r="K444" s="26">
        <v>19.3</v>
      </c>
      <c r="L444" s="26">
        <v>724</v>
      </c>
      <c r="M444" s="26">
        <v>95</v>
      </c>
      <c r="N444" s="26">
        <v>5.41</v>
      </c>
      <c r="O444" s="26">
        <v>59</v>
      </c>
      <c r="P444" s="26">
        <v>119</v>
      </c>
      <c r="Q444" s="26">
        <v>44</v>
      </c>
      <c r="R444" s="26">
        <v>11</v>
      </c>
      <c r="S444" s="26">
        <v>1.33</v>
      </c>
      <c r="T444" s="26">
        <v>11</v>
      </c>
      <c r="U444" s="26">
        <v>16</v>
      </c>
      <c r="V444" s="26">
        <v>22</v>
      </c>
      <c r="W444" s="26">
        <v>9.99</v>
      </c>
      <c r="X444" s="26">
        <v>1939</v>
      </c>
      <c r="Y444" s="26">
        <v>45628</v>
      </c>
      <c r="Z444" s="26">
        <v>0.27</v>
      </c>
      <c r="AA444" s="26">
        <v>1.31</v>
      </c>
      <c r="AB444" s="26">
        <v>0.97</v>
      </c>
      <c r="AC444" s="104">
        <f t="shared" si="7"/>
        <v>14.328999999999999</v>
      </c>
    </row>
    <row r="445" spans="1:29" x14ac:dyDescent="0.25">
      <c r="A445" s="26" t="s">
        <v>617</v>
      </c>
      <c r="B445" s="26">
        <v>152</v>
      </c>
      <c r="C445" s="26">
        <v>51.7</v>
      </c>
      <c r="D445" s="26">
        <v>8.7100000000000009</v>
      </c>
      <c r="E445" s="26">
        <v>111</v>
      </c>
      <c r="F445" s="26">
        <v>8</v>
      </c>
      <c r="G445" s="32"/>
      <c r="H445" s="26">
        <v>2.97</v>
      </c>
      <c r="I445" s="26">
        <v>13.9</v>
      </c>
      <c r="J445" s="26">
        <v>19.899999999999999</v>
      </c>
      <c r="K445" s="26">
        <v>15.6</v>
      </c>
      <c r="L445" s="26">
        <v>633</v>
      </c>
      <c r="M445" s="26">
        <v>83</v>
      </c>
      <c r="N445" s="26">
        <v>5.64</v>
      </c>
      <c r="O445" s="26">
        <v>50</v>
      </c>
      <c r="P445" s="26">
        <v>101</v>
      </c>
      <c r="Q445" s="26">
        <v>36</v>
      </c>
      <c r="R445" s="26">
        <v>9</v>
      </c>
      <c r="S445" s="26">
        <v>1.34</v>
      </c>
      <c r="T445" s="26">
        <v>9</v>
      </c>
      <c r="U445" s="26">
        <v>14</v>
      </c>
      <c r="V445" s="26">
        <v>19</v>
      </c>
      <c r="W445" s="26">
        <v>5.41</v>
      </c>
      <c r="X445" s="26">
        <v>1598</v>
      </c>
      <c r="Y445" s="26">
        <v>34575</v>
      </c>
      <c r="Z445" s="26">
        <v>0.7</v>
      </c>
      <c r="AA445" s="26">
        <v>1.27</v>
      </c>
      <c r="AB445" s="26">
        <v>1.23</v>
      </c>
      <c r="AC445" s="104">
        <f t="shared" si="7"/>
        <v>14.328999999999999</v>
      </c>
    </row>
    <row r="446" spans="1:29" x14ac:dyDescent="0.25">
      <c r="A446" s="26" t="s">
        <v>618</v>
      </c>
      <c r="B446" s="26">
        <v>152</v>
      </c>
      <c r="C446" s="26">
        <v>48.8</v>
      </c>
      <c r="D446" s="26">
        <v>8.7100000000000009</v>
      </c>
      <c r="E446" s="26">
        <v>111</v>
      </c>
      <c r="F446" s="26">
        <v>5.08</v>
      </c>
      <c r="G446" s="32"/>
      <c r="H446" s="26">
        <v>2.8</v>
      </c>
      <c r="I446" s="26">
        <v>21.9</v>
      </c>
      <c r="J446" s="26">
        <v>15.5</v>
      </c>
      <c r="K446" s="26">
        <v>12.2</v>
      </c>
      <c r="L446" s="26">
        <v>545</v>
      </c>
      <c r="M446" s="26">
        <v>72</v>
      </c>
      <c r="N446" s="26">
        <v>5.94</v>
      </c>
      <c r="O446" s="26">
        <v>42</v>
      </c>
      <c r="P446" s="26">
        <v>84</v>
      </c>
      <c r="Q446" s="26">
        <v>29</v>
      </c>
      <c r="R446" s="26">
        <v>8</v>
      </c>
      <c r="S446" s="26">
        <v>1.36</v>
      </c>
      <c r="T446" s="26">
        <v>8</v>
      </c>
      <c r="U446" s="26">
        <v>12</v>
      </c>
      <c r="V446" s="26">
        <v>16</v>
      </c>
      <c r="W446" s="26">
        <v>3.33</v>
      </c>
      <c r="X446" s="26">
        <v>1267</v>
      </c>
      <c r="Y446" s="26">
        <v>27614</v>
      </c>
      <c r="Z446" s="26">
        <v>1.37</v>
      </c>
      <c r="AA446" s="26">
        <v>1.3</v>
      </c>
      <c r="AB446" s="26">
        <v>1.52</v>
      </c>
      <c r="AC446" s="104">
        <f t="shared" si="7"/>
        <v>14.328999999999999</v>
      </c>
    </row>
    <row r="447" spans="1:29" x14ac:dyDescent="0.25">
      <c r="A447" s="26" t="s">
        <v>619</v>
      </c>
      <c r="B447" s="26">
        <v>127</v>
      </c>
      <c r="C447" s="26">
        <v>47.9</v>
      </c>
      <c r="D447" s="26">
        <v>8.1300000000000008</v>
      </c>
      <c r="E447" s="26">
        <v>88.9</v>
      </c>
      <c r="F447" s="26">
        <v>8.3000000000000007</v>
      </c>
      <c r="G447" s="32"/>
      <c r="H447" s="26">
        <v>2.95</v>
      </c>
      <c r="I447" s="26">
        <v>10.8</v>
      </c>
      <c r="J447" s="26">
        <v>17</v>
      </c>
      <c r="K447" s="26">
        <v>13.4</v>
      </c>
      <c r="L447" s="26">
        <v>370</v>
      </c>
      <c r="M447" s="26">
        <v>58</v>
      </c>
      <c r="N447" s="26">
        <v>4.6500000000000004</v>
      </c>
      <c r="O447" s="26">
        <v>36</v>
      </c>
      <c r="P447" s="26">
        <v>71</v>
      </c>
      <c r="Q447" s="26">
        <v>26</v>
      </c>
      <c r="R447" s="26">
        <v>7</v>
      </c>
      <c r="S447" s="26">
        <v>1.24</v>
      </c>
      <c r="T447" s="26">
        <v>8</v>
      </c>
      <c r="U447" s="26">
        <v>11</v>
      </c>
      <c r="V447" s="26">
        <v>15</v>
      </c>
      <c r="W447" s="26">
        <v>4.58</v>
      </c>
      <c r="X447" s="26">
        <v>787</v>
      </c>
      <c r="Y447" s="26">
        <v>41784</v>
      </c>
      <c r="Z447" s="26">
        <v>0.33</v>
      </c>
      <c r="AA447" s="26">
        <v>1.21</v>
      </c>
      <c r="AB447" s="26">
        <v>1.08</v>
      </c>
      <c r="AC447" s="104">
        <f t="shared" si="7"/>
        <v>11.887</v>
      </c>
    </row>
    <row r="448" spans="1:29" x14ac:dyDescent="0.25">
      <c r="A448" s="26" t="s">
        <v>620</v>
      </c>
      <c r="B448" s="26">
        <v>127</v>
      </c>
      <c r="C448" s="26">
        <v>44.5</v>
      </c>
      <c r="D448" s="26">
        <v>8.1300000000000008</v>
      </c>
      <c r="E448" s="26">
        <v>88.9</v>
      </c>
      <c r="F448" s="26">
        <v>4.83</v>
      </c>
      <c r="G448" s="32"/>
      <c r="H448" s="26">
        <v>2.73</v>
      </c>
      <c r="I448" s="26">
        <v>18.399999999999999</v>
      </c>
      <c r="J448" s="26">
        <v>12.7</v>
      </c>
      <c r="K448" s="26">
        <v>10</v>
      </c>
      <c r="L448" s="26">
        <v>312</v>
      </c>
      <c r="M448" s="26">
        <v>49</v>
      </c>
      <c r="N448" s="26">
        <v>4.95</v>
      </c>
      <c r="O448" s="26">
        <v>29</v>
      </c>
      <c r="P448" s="26">
        <v>58</v>
      </c>
      <c r="Q448" s="26">
        <v>20</v>
      </c>
      <c r="R448" s="26">
        <v>6</v>
      </c>
      <c r="S448" s="26">
        <v>1.25</v>
      </c>
      <c r="T448" s="26">
        <v>6</v>
      </c>
      <c r="U448" s="26">
        <v>9.3000000000000007</v>
      </c>
      <c r="V448" s="26">
        <v>13</v>
      </c>
      <c r="W448" s="26">
        <v>2.5</v>
      </c>
      <c r="X448" s="26">
        <v>596</v>
      </c>
      <c r="Y448" s="26">
        <v>31633</v>
      </c>
      <c r="Z448" s="26">
        <v>0.78</v>
      </c>
      <c r="AA448" s="26">
        <v>1.23</v>
      </c>
      <c r="AB448" s="26">
        <v>1.4</v>
      </c>
      <c r="AC448" s="104">
        <f t="shared" si="7"/>
        <v>11.887</v>
      </c>
    </row>
    <row r="449" spans="1:29" x14ac:dyDescent="0.25">
      <c r="A449" s="26" t="s">
        <v>621</v>
      </c>
      <c r="B449" s="26">
        <v>102</v>
      </c>
      <c r="C449" s="26">
        <v>43.7</v>
      </c>
      <c r="D449" s="26">
        <v>7.52</v>
      </c>
      <c r="E449" s="26">
        <v>66.7</v>
      </c>
      <c r="F449" s="26">
        <v>8.15</v>
      </c>
      <c r="G449" s="32"/>
      <c r="H449" s="26">
        <v>2.91</v>
      </c>
      <c r="I449" s="26">
        <v>8.18</v>
      </c>
      <c r="J449" s="26">
        <v>13.7</v>
      </c>
      <c r="K449" s="26">
        <v>10.8</v>
      </c>
      <c r="L449" s="26">
        <v>191</v>
      </c>
      <c r="M449" s="26">
        <v>38</v>
      </c>
      <c r="N449" s="26">
        <v>3.73</v>
      </c>
      <c r="O449" s="26">
        <v>23</v>
      </c>
      <c r="P449" s="26">
        <v>46</v>
      </c>
      <c r="Q449" s="26">
        <v>18</v>
      </c>
      <c r="R449" s="26">
        <v>6</v>
      </c>
      <c r="S449" s="26">
        <v>1.1399999999999999</v>
      </c>
      <c r="T449" s="26">
        <v>6</v>
      </c>
      <c r="U449" s="26">
        <v>8.4</v>
      </c>
      <c r="V449" s="26">
        <v>11</v>
      </c>
      <c r="W449" s="26">
        <v>3.33</v>
      </c>
      <c r="X449" s="26">
        <v>333</v>
      </c>
      <c r="Y449" s="26">
        <v>49757</v>
      </c>
      <c r="Z449" s="26">
        <v>0.16</v>
      </c>
      <c r="AA449" s="26">
        <v>1.17</v>
      </c>
      <c r="AB449" s="26">
        <v>0.98</v>
      </c>
      <c r="AC449" s="104">
        <f t="shared" si="7"/>
        <v>9.4480000000000004</v>
      </c>
    </row>
    <row r="450" spans="1:29" x14ac:dyDescent="0.25">
      <c r="A450" s="26" t="s">
        <v>622</v>
      </c>
      <c r="B450" s="26">
        <v>102</v>
      </c>
      <c r="C450" s="26">
        <v>40.200000000000003</v>
      </c>
      <c r="D450" s="26">
        <v>7.52</v>
      </c>
      <c r="E450" s="26">
        <v>66.7</v>
      </c>
      <c r="F450" s="26">
        <v>4.67</v>
      </c>
      <c r="G450" s="32"/>
      <c r="H450" s="26">
        <v>2.68</v>
      </c>
      <c r="I450" s="26">
        <v>14.3</v>
      </c>
      <c r="J450" s="26">
        <v>10.3</v>
      </c>
      <c r="K450" s="26">
        <v>8.0399999999999991</v>
      </c>
      <c r="L450" s="26">
        <v>160</v>
      </c>
      <c r="M450" s="26">
        <v>32</v>
      </c>
      <c r="N450" s="26">
        <v>3.96</v>
      </c>
      <c r="O450" s="26">
        <v>19</v>
      </c>
      <c r="P450" s="26">
        <v>37</v>
      </c>
      <c r="Q450" s="26">
        <v>13</v>
      </c>
      <c r="R450" s="26">
        <v>5</v>
      </c>
      <c r="S450" s="26">
        <v>1.1399999999999999</v>
      </c>
      <c r="T450" s="26">
        <v>5</v>
      </c>
      <c r="U450" s="26">
        <v>7</v>
      </c>
      <c r="V450" s="26">
        <v>9</v>
      </c>
      <c r="W450" s="26">
        <v>1.66</v>
      </c>
      <c r="X450" s="26">
        <v>247</v>
      </c>
      <c r="Y450" s="26">
        <v>36069</v>
      </c>
      <c r="Z450" s="26">
        <v>0.45</v>
      </c>
      <c r="AA450" s="26">
        <v>1.1599999999999999</v>
      </c>
      <c r="AB450" s="26">
        <v>1.28</v>
      </c>
      <c r="AC450" s="104">
        <f t="shared" si="7"/>
        <v>9.4480000000000004</v>
      </c>
    </row>
    <row r="451" spans="1:29" x14ac:dyDescent="0.25">
      <c r="A451" s="26" t="s">
        <v>623</v>
      </c>
      <c r="B451" s="26">
        <v>76.2</v>
      </c>
      <c r="C451" s="26">
        <v>40.5</v>
      </c>
      <c r="D451" s="26">
        <v>6.93</v>
      </c>
      <c r="E451" s="26">
        <v>41.9</v>
      </c>
      <c r="F451" s="26">
        <v>9.0399999999999991</v>
      </c>
      <c r="G451" s="32"/>
      <c r="H451" s="26">
        <v>2.92</v>
      </c>
      <c r="I451" s="26">
        <v>4.63</v>
      </c>
      <c r="J451" s="26">
        <v>11.4</v>
      </c>
      <c r="K451" s="26">
        <v>8.93</v>
      </c>
      <c r="L451" s="26">
        <v>86</v>
      </c>
      <c r="M451" s="26">
        <v>23</v>
      </c>
      <c r="N451" s="26">
        <v>2.74</v>
      </c>
      <c r="O451" s="26">
        <v>14</v>
      </c>
      <c r="P451" s="26">
        <v>28</v>
      </c>
      <c r="Q451" s="26">
        <v>13</v>
      </c>
      <c r="R451" s="26">
        <v>4</v>
      </c>
      <c r="S451" s="26">
        <v>1.06</v>
      </c>
      <c r="T451" s="26">
        <v>4</v>
      </c>
      <c r="U451" s="26">
        <v>6.6</v>
      </c>
      <c r="V451" s="26">
        <v>9</v>
      </c>
      <c r="W451" s="26">
        <v>2.91</v>
      </c>
      <c r="X451" s="26">
        <v>124</v>
      </c>
      <c r="Y451" s="26">
        <v>70208</v>
      </c>
      <c r="Z451" s="26">
        <v>0.04</v>
      </c>
      <c r="AA451" s="26">
        <v>1.1599999999999999</v>
      </c>
      <c r="AB451" s="26">
        <v>0.82</v>
      </c>
      <c r="AC451" s="104">
        <f t="shared" si="7"/>
        <v>6.9270000000000014</v>
      </c>
    </row>
    <row r="452" spans="1:29" x14ac:dyDescent="0.25">
      <c r="A452" s="26" t="s">
        <v>624</v>
      </c>
      <c r="B452" s="26">
        <v>76.2</v>
      </c>
      <c r="C452" s="26">
        <v>38</v>
      </c>
      <c r="D452" s="26">
        <v>6.93</v>
      </c>
      <c r="E452" s="26">
        <v>41.9</v>
      </c>
      <c r="F452" s="26">
        <v>6.55</v>
      </c>
      <c r="G452" s="32"/>
      <c r="H452" s="26">
        <v>2.74</v>
      </c>
      <c r="I452" s="26">
        <v>6.39</v>
      </c>
      <c r="J452" s="26">
        <v>9.48</v>
      </c>
      <c r="K452" s="26">
        <v>7.44</v>
      </c>
      <c r="L452" s="26">
        <v>77</v>
      </c>
      <c r="M452" s="26">
        <v>20</v>
      </c>
      <c r="N452" s="26">
        <v>2.84</v>
      </c>
      <c r="O452" s="26">
        <v>12</v>
      </c>
      <c r="P452" s="26">
        <v>25</v>
      </c>
      <c r="Q452" s="26">
        <v>10</v>
      </c>
      <c r="R452" s="26">
        <v>4</v>
      </c>
      <c r="S452" s="26">
        <v>1.04</v>
      </c>
      <c r="T452" s="26">
        <v>4</v>
      </c>
      <c r="U452" s="26">
        <v>5.7</v>
      </c>
      <c r="V452" s="26">
        <v>8</v>
      </c>
      <c r="W452" s="26">
        <v>1.66</v>
      </c>
      <c r="X452" s="26">
        <v>102</v>
      </c>
      <c r="Y452" s="26">
        <v>53979</v>
      </c>
      <c r="Z452" s="26">
        <v>0.1</v>
      </c>
      <c r="AA452" s="26">
        <v>1.1100000000000001</v>
      </c>
      <c r="AB452" s="26">
        <v>1</v>
      </c>
      <c r="AC452" s="104">
        <f t="shared" si="7"/>
        <v>6.9270000000000014</v>
      </c>
    </row>
    <row r="453" spans="1:29" x14ac:dyDescent="0.25">
      <c r="A453" s="26" t="s">
        <v>625</v>
      </c>
      <c r="B453" s="26">
        <v>76.2</v>
      </c>
      <c r="C453" s="26">
        <v>35.799999999999997</v>
      </c>
      <c r="D453" s="26">
        <v>6.93</v>
      </c>
      <c r="E453" s="26">
        <v>41.9</v>
      </c>
      <c r="F453" s="26">
        <v>4.32</v>
      </c>
      <c r="G453" s="32"/>
      <c r="H453" s="26">
        <v>2.58</v>
      </c>
      <c r="I453" s="26">
        <v>9.6999999999999993</v>
      </c>
      <c r="J453" s="26">
        <v>7.81</v>
      </c>
      <c r="K453" s="26">
        <v>6.1</v>
      </c>
      <c r="L453" s="26">
        <v>69</v>
      </c>
      <c r="M453" s="26">
        <v>18</v>
      </c>
      <c r="N453" s="26">
        <v>2.97</v>
      </c>
      <c r="O453" s="26">
        <v>11</v>
      </c>
      <c r="P453" s="26">
        <v>21</v>
      </c>
      <c r="Q453" s="26">
        <v>8</v>
      </c>
      <c r="R453" s="26">
        <v>3</v>
      </c>
      <c r="S453" s="26">
        <v>1.03</v>
      </c>
      <c r="T453" s="26">
        <v>3</v>
      </c>
      <c r="U453" s="26">
        <v>5</v>
      </c>
      <c r="V453" s="26">
        <v>7</v>
      </c>
      <c r="W453" s="26">
        <v>1.25</v>
      </c>
      <c r="X453" s="26">
        <v>83.2</v>
      </c>
      <c r="Y453" s="26">
        <v>47810</v>
      </c>
      <c r="Z453" s="26">
        <v>0.14000000000000001</v>
      </c>
      <c r="AA453" s="26">
        <v>1.1100000000000001</v>
      </c>
      <c r="AB453" s="26">
        <v>1.17</v>
      </c>
      <c r="AC453" s="104">
        <f>(B453-D453)/10</f>
        <v>6.9270000000000014</v>
      </c>
    </row>
  </sheetData>
  <mergeCells count="13">
    <mergeCell ref="Z1:Z2"/>
    <mergeCell ref="H2:H3"/>
    <mergeCell ref="K1:K2"/>
    <mergeCell ref="L1:P1"/>
    <mergeCell ref="Q1:V1"/>
    <mergeCell ref="W1:W2"/>
    <mergeCell ref="X1:X2"/>
    <mergeCell ref="I2:I3"/>
    <mergeCell ref="A1:A3"/>
    <mergeCell ref="B1:G1"/>
    <mergeCell ref="H1:I1"/>
    <mergeCell ref="J1:J2"/>
    <mergeCell ref="Y1:Y2"/>
  </mergeCells>
  <phoneticPr fontId="7" type="noConversion"/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"/>
  <sheetViews>
    <sheetView workbookViewId="0">
      <selection activeCell="M10" sqref="M10"/>
    </sheetView>
  </sheetViews>
  <sheetFormatPr baseColWidth="10" defaultRowHeight="15" x14ac:dyDescent="0.2"/>
  <cols>
    <col min="1" max="1" width="105.5703125" style="348" bestFit="1" customWidth="1"/>
    <col min="2" max="16384" width="11.42578125" style="348"/>
  </cols>
  <sheetData>
    <row r="1" spans="1:35" x14ac:dyDescent="0.2">
      <c r="C1" s="348" t="s">
        <v>2475</v>
      </c>
      <c r="D1" s="348" t="s">
        <v>2476</v>
      </c>
      <c r="F1" s="667" t="s">
        <v>2478</v>
      </c>
      <c r="G1" s="667"/>
      <c r="I1" s="667" t="s">
        <v>2441</v>
      </c>
      <c r="J1" s="667"/>
      <c r="L1" s="667" t="s">
        <v>2483</v>
      </c>
      <c r="M1" s="667"/>
      <c r="N1" s="667"/>
      <c r="P1" s="668" t="s">
        <v>2485</v>
      </c>
      <c r="Q1" s="668"/>
      <c r="S1" s="667" t="s">
        <v>2453</v>
      </c>
      <c r="T1" s="667"/>
      <c r="V1" s="667" t="s">
        <v>2456</v>
      </c>
      <c r="W1" s="667"/>
      <c r="Y1" s="667" t="s">
        <v>2487</v>
      </c>
      <c r="Z1" s="667"/>
      <c r="AA1" s="368"/>
      <c r="AB1" s="667" t="s">
        <v>2462</v>
      </c>
      <c r="AC1" s="667"/>
      <c r="AE1" s="667" t="s">
        <v>2496</v>
      </c>
      <c r="AF1" s="667"/>
      <c r="AH1" s="667" t="s">
        <v>2466</v>
      </c>
      <c r="AI1" s="667"/>
    </row>
    <row r="2" spans="1:35" x14ac:dyDescent="0.2">
      <c r="A2" s="348" t="s">
        <v>2472</v>
      </c>
      <c r="B2" s="348" t="s">
        <v>79</v>
      </c>
      <c r="C2" s="348">
        <v>7</v>
      </c>
      <c r="D2" s="348">
        <v>3</v>
      </c>
      <c r="F2" s="348" t="s">
        <v>2480</v>
      </c>
      <c r="G2" s="348">
        <v>0.9</v>
      </c>
      <c r="I2" s="348" t="s">
        <v>2482</v>
      </c>
      <c r="J2" s="348">
        <v>0.9</v>
      </c>
      <c r="L2" s="356" t="s">
        <v>1083</v>
      </c>
      <c r="P2" s="668"/>
      <c r="Q2" s="668"/>
      <c r="S2" s="348" t="s">
        <v>2479</v>
      </c>
      <c r="T2" s="348">
        <v>1</v>
      </c>
      <c r="V2" s="348" t="s">
        <v>2486</v>
      </c>
      <c r="W2" s="348">
        <v>0.9</v>
      </c>
      <c r="Y2" s="348" t="s">
        <v>2482</v>
      </c>
      <c r="Z2" s="348">
        <v>0.9</v>
      </c>
      <c r="AB2" s="348" t="s">
        <v>2482</v>
      </c>
      <c r="AC2" s="348">
        <v>0.9</v>
      </c>
      <c r="AE2" s="348" t="s">
        <v>2482</v>
      </c>
      <c r="AF2" s="348">
        <v>0.8</v>
      </c>
      <c r="AH2" s="348" t="s">
        <v>2497</v>
      </c>
      <c r="AI2" s="348">
        <v>0.9</v>
      </c>
    </row>
    <row r="3" spans="1:35" x14ac:dyDescent="0.2">
      <c r="A3" s="348" t="s">
        <v>2473</v>
      </c>
      <c r="B3" s="348" t="s">
        <v>78</v>
      </c>
      <c r="C3" s="348">
        <v>5</v>
      </c>
      <c r="D3" s="348">
        <v>3</v>
      </c>
      <c r="F3" s="348" t="s">
        <v>2481</v>
      </c>
      <c r="G3" s="348">
        <v>0.8</v>
      </c>
      <c r="I3" s="348" t="s">
        <v>2479</v>
      </c>
      <c r="J3" s="348">
        <v>1</v>
      </c>
      <c r="L3" s="348">
        <v>1</v>
      </c>
      <c r="M3" s="348" t="s">
        <v>2479</v>
      </c>
      <c r="N3" s="348">
        <v>1</v>
      </c>
      <c r="P3" s="348" t="s">
        <v>2479</v>
      </c>
      <c r="Q3" s="348">
        <v>1</v>
      </c>
      <c r="S3" s="348" t="s">
        <v>2482</v>
      </c>
      <c r="T3" s="348">
        <v>0.9</v>
      </c>
      <c r="V3" s="348" t="s">
        <v>2457</v>
      </c>
      <c r="W3" s="348">
        <v>0.8</v>
      </c>
      <c r="Y3" s="348" t="s">
        <v>2479</v>
      </c>
      <c r="Z3" s="348">
        <v>1</v>
      </c>
      <c r="AB3" s="348" t="s">
        <v>2479</v>
      </c>
      <c r="AC3" s="348">
        <v>1</v>
      </c>
      <c r="AE3" s="348" t="s">
        <v>2479</v>
      </c>
      <c r="AF3" s="348">
        <v>1</v>
      </c>
      <c r="AH3" s="348" t="s">
        <v>2467</v>
      </c>
      <c r="AI3" s="348">
        <v>0.8</v>
      </c>
    </row>
    <row r="4" spans="1:35" x14ac:dyDescent="0.2">
      <c r="A4" s="348" t="s">
        <v>2474</v>
      </c>
      <c r="B4" s="348" t="s">
        <v>76</v>
      </c>
      <c r="C4" s="348">
        <v>3</v>
      </c>
      <c r="D4" s="348">
        <v>2.5</v>
      </c>
      <c r="F4" s="348" t="s">
        <v>2479</v>
      </c>
      <c r="G4" s="348">
        <v>1</v>
      </c>
      <c r="L4" s="348">
        <v>2</v>
      </c>
      <c r="M4" s="348" t="s">
        <v>2482</v>
      </c>
      <c r="N4" s="348">
        <v>0.9</v>
      </c>
      <c r="P4" s="348" t="s">
        <v>2482</v>
      </c>
      <c r="Q4" s="348">
        <v>0.8</v>
      </c>
      <c r="V4" s="348" t="s">
        <v>2479</v>
      </c>
      <c r="W4" s="348">
        <v>1</v>
      </c>
      <c r="AH4" s="348" t="s">
        <v>2479</v>
      </c>
      <c r="AI4" s="348">
        <v>1</v>
      </c>
    </row>
    <row r="5" spans="1:35" x14ac:dyDescent="0.2">
      <c r="L5" s="348" t="s">
        <v>2484</v>
      </c>
    </row>
  </sheetData>
  <mergeCells count="10">
    <mergeCell ref="I1:J1"/>
    <mergeCell ref="F1:G1"/>
    <mergeCell ref="L1:N1"/>
    <mergeCell ref="P1:Q2"/>
    <mergeCell ref="S1:T1"/>
    <mergeCell ref="AH1:AI1"/>
    <mergeCell ref="V1:W1"/>
    <mergeCell ref="Y1:Z1"/>
    <mergeCell ref="AB1:AC1"/>
    <mergeCell ref="AE1:AF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G20"/>
  <sheetViews>
    <sheetView topLeftCell="O1" zoomScale="55" zoomScaleNormal="55" workbookViewId="0">
      <selection activeCell="M10" sqref="M10"/>
    </sheetView>
  </sheetViews>
  <sheetFormatPr baseColWidth="10" defaultColWidth="11.42578125" defaultRowHeight="15" x14ac:dyDescent="0.25"/>
  <cols>
    <col min="1" max="1" width="5.5703125" bestFit="1" customWidth="1"/>
    <col min="3" max="3" width="14.42578125" bestFit="1" customWidth="1"/>
    <col min="5" max="5" width="23.140625" bestFit="1" customWidth="1"/>
    <col min="7" max="7" width="27.140625" bestFit="1" customWidth="1"/>
    <col min="8" max="8" width="22.5703125" customWidth="1"/>
    <col min="12" max="12" width="27.85546875" bestFit="1" customWidth="1"/>
    <col min="13" max="13" width="35.28515625" customWidth="1"/>
    <col min="14" max="14" width="14.5703125" customWidth="1"/>
    <col min="16" max="16" width="14.28515625" customWidth="1"/>
    <col min="17" max="17" width="16.28515625" bestFit="1" customWidth="1"/>
    <col min="20" max="20" width="11.42578125" customWidth="1"/>
    <col min="24" max="24" width="15.42578125" customWidth="1"/>
    <col min="25" max="25" width="21.7109375" customWidth="1"/>
    <col min="28" max="28" width="17.5703125" bestFit="1" customWidth="1"/>
    <col min="35" max="35" width="27.85546875" bestFit="1" customWidth="1"/>
    <col min="36" max="37" width="7.85546875" customWidth="1"/>
  </cols>
  <sheetData>
    <row r="1" spans="1:59" ht="26.25" customHeight="1" thickBot="1" x14ac:dyDescent="0.3">
      <c r="A1" s="37" t="s">
        <v>73</v>
      </c>
      <c r="B1" s="37"/>
      <c r="C1" s="37" t="s">
        <v>74</v>
      </c>
      <c r="D1" s="37"/>
      <c r="E1" s="37" t="s">
        <v>75</v>
      </c>
      <c r="F1" s="37"/>
      <c r="G1" s="675" t="s">
        <v>231</v>
      </c>
      <c r="H1" s="676"/>
      <c r="I1" s="676"/>
      <c r="J1" s="677"/>
      <c r="L1" s="79"/>
      <c r="M1" s="79"/>
      <c r="N1" s="79"/>
      <c r="R1" s="669" t="s">
        <v>1001</v>
      </c>
      <c r="S1" s="670"/>
      <c r="T1" s="670"/>
      <c r="U1" s="670"/>
      <c r="V1" s="670"/>
      <c r="X1" t="s">
        <v>1009</v>
      </c>
      <c r="AD1" s="674" t="s">
        <v>1020</v>
      </c>
      <c r="AE1" s="674"/>
      <c r="AF1" s="674"/>
      <c r="AG1" s="674"/>
      <c r="AI1" s="674" t="s">
        <v>1097</v>
      </c>
      <c r="AJ1" s="674"/>
      <c r="AK1" s="674"/>
      <c r="AL1" s="674"/>
      <c r="AM1" s="674"/>
      <c r="AN1" s="674"/>
      <c r="AO1" s="674"/>
      <c r="AP1" s="674"/>
      <c r="AQ1" s="674"/>
      <c r="AR1" s="674"/>
      <c r="AS1" s="674"/>
      <c r="AT1" s="674"/>
      <c r="AV1" s="674" t="s">
        <v>1102</v>
      </c>
      <c r="AW1" s="674"/>
      <c r="AX1" s="674"/>
      <c r="AY1" s="674"/>
      <c r="AZ1" s="674"/>
      <c r="BA1" s="674"/>
      <c r="BB1" s="674"/>
      <c r="BC1" s="674"/>
      <c r="BD1" s="674"/>
      <c r="BE1" s="674"/>
      <c r="BF1" s="674"/>
      <c r="BG1" s="674"/>
    </row>
    <row r="2" spans="1:59" ht="45" x14ac:dyDescent="0.25">
      <c r="A2" s="37">
        <v>250</v>
      </c>
      <c r="B2" s="37"/>
      <c r="C2" s="37" t="s">
        <v>76</v>
      </c>
      <c r="D2" s="37"/>
      <c r="E2" s="37" t="s">
        <v>77</v>
      </c>
      <c r="F2" s="37"/>
      <c r="G2" s="52" t="s">
        <v>225</v>
      </c>
      <c r="H2" s="53"/>
      <c r="I2" s="54" t="s">
        <v>228</v>
      </c>
      <c r="J2" s="55" t="s">
        <v>229</v>
      </c>
      <c r="R2" s="663" t="s">
        <v>207</v>
      </c>
      <c r="S2" s="663"/>
      <c r="T2" s="96" t="s">
        <v>1016</v>
      </c>
      <c r="U2" s="96" t="s">
        <v>1004</v>
      </c>
      <c r="V2" s="96" t="s">
        <v>1002</v>
      </c>
      <c r="X2" s="26"/>
      <c r="Y2" s="100" t="s">
        <v>1010</v>
      </c>
      <c r="Z2" s="97" t="s">
        <v>1008</v>
      </c>
      <c r="AB2" s="107" t="str">
        <f>IF(Columnas!H14=Columnas!H15,"Pórtico no arriostrado","Pórtico arriostrado")</f>
        <v>Pórtico no arriostrado</v>
      </c>
      <c r="AD2" s="673" t="s">
        <v>1026</v>
      </c>
      <c r="AE2" s="673"/>
      <c r="AF2" s="673" t="s">
        <v>1027</v>
      </c>
      <c r="AG2" s="673"/>
      <c r="AI2" s="674" t="s">
        <v>207</v>
      </c>
      <c r="AJ2" s="674" t="s">
        <v>195</v>
      </c>
      <c r="AK2" s="674" t="s">
        <v>96</v>
      </c>
      <c r="AL2" s="674" t="s">
        <v>1082</v>
      </c>
      <c r="AM2" s="674" t="s">
        <v>1078</v>
      </c>
      <c r="AN2" s="674" t="s">
        <v>1083</v>
      </c>
      <c r="AO2" t="s">
        <v>1084</v>
      </c>
      <c r="AQ2" s="166" t="s">
        <v>1087</v>
      </c>
      <c r="AR2" s="674" t="s">
        <v>1079</v>
      </c>
      <c r="AS2" s="674" t="s">
        <v>1092</v>
      </c>
      <c r="AT2" s="674" t="s">
        <v>1093</v>
      </c>
      <c r="AV2" s="674" t="s">
        <v>207</v>
      </c>
      <c r="AW2" s="674" t="s">
        <v>1103</v>
      </c>
      <c r="AX2" s="674" t="s">
        <v>94</v>
      </c>
      <c r="AY2" s="674" t="s">
        <v>1104</v>
      </c>
      <c r="AZ2" s="674" t="s">
        <v>1078</v>
      </c>
      <c r="BA2" s="674" t="s">
        <v>1083</v>
      </c>
      <c r="BB2" t="s">
        <v>1084</v>
      </c>
      <c r="BD2" s="177" t="s">
        <v>1087</v>
      </c>
      <c r="BE2" s="674" t="s">
        <v>1079</v>
      </c>
      <c r="BF2" s="674" t="s">
        <v>1092</v>
      </c>
      <c r="BG2" s="674" t="s">
        <v>1093</v>
      </c>
    </row>
    <row r="3" spans="1:59" x14ac:dyDescent="0.25">
      <c r="A3" s="37">
        <v>350</v>
      </c>
      <c r="B3" s="37"/>
      <c r="C3" s="37" t="s">
        <v>78</v>
      </c>
      <c r="D3" s="37"/>
      <c r="E3" s="37" t="s">
        <v>220</v>
      </c>
      <c r="F3" s="37"/>
      <c r="G3" s="56" t="s">
        <v>77</v>
      </c>
      <c r="H3" s="57" t="s">
        <v>232</v>
      </c>
      <c r="I3" s="58">
        <f>0.38*SQRT(Columnas!D6/Columnas!D8)</f>
        <v>9.0837374309413921</v>
      </c>
      <c r="J3" s="59">
        <f>0.3*SQRT(Columnas!D6/Columnas!D8)</f>
        <v>7.1713716560063618</v>
      </c>
      <c r="R3" s="663" t="s">
        <v>200</v>
      </c>
      <c r="S3" s="663"/>
      <c r="T3" s="101">
        <f>(SQRT((Columnas!C24)*(Columnas!C29))/(Columnas!C25))/10000</f>
        <v>7.1550689261437924E-3</v>
      </c>
      <c r="U3" s="101" t="e">
        <f>((VLOOKUP(Columnas!E3,'Tabla Perfiles laminados'!A402:AC453,29,FALSE))/2)*SQRT(Columnas!C23/Columnas!C29)</f>
        <v>#N/A</v>
      </c>
      <c r="V3" s="101" t="e">
        <f>1.95*SQRT(T3)*(Columnas!$D$6/(0.7*Columnas!$D$8))*SQRT((Columnas!$C$30*U3)/(Columnas!$C$25*(VLOOKUP(Columnas!$E$3,'Tabla Perfiles laminados'!$A$426:$AC$453,29,FALSE))))*(SQRT(1+SQRT(1+(6.76*(((0.7*Columnas!$D$8*Columnas!$C$25*(VLOOKUP(Columnas!$E$3,'Tabla Perfiles laminados'!$A$426:$AC$453,29,FALSE)))/(Columnas!$D$6*Columnas!$C$30*U3))^2)))))</f>
        <v>#N/A</v>
      </c>
      <c r="X3" s="100" t="s">
        <v>1011</v>
      </c>
      <c r="Y3" s="26" t="s">
        <v>1007</v>
      </c>
      <c r="Z3" s="26">
        <f>Columnas!$D$10*Columnas!$C$27/1000000*Columnas!$D$8*1000</f>
        <v>588.42000000000007</v>
      </c>
      <c r="AD3" t="s">
        <v>215</v>
      </c>
      <c r="AE3">
        <v>1</v>
      </c>
      <c r="AF3" t="s">
        <v>215</v>
      </c>
      <c r="AG3">
        <v>1</v>
      </c>
      <c r="AI3" s="674"/>
      <c r="AJ3" s="674"/>
      <c r="AK3" s="674"/>
      <c r="AL3" s="674"/>
      <c r="AM3" s="674"/>
      <c r="AN3" s="674"/>
      <c r="AO3" t="s">
        <v>1085</v>
      </c>
      <c r="AP3" t="s">
        <v>1086</v>
      </c>
      <c r="AQ3" s="166"/>
      <c r="AR3" s="674"/>
      <c r="AS3" s="674"/>
      <c r="AT3" s="674"/>
      <c r="AV3" s="674"/>
      <c r="AW3" s="674"/>
      <c r="AX3" s="674"/>
      <c r="AY3" s="674"/>
      <c r="AZ3" s="674"/>
      <c r="BA3" s="674"/>
      <c r="BB3" t="s">
        <v>1085</v>
      </c>
      <c r="BC3" t="s">
        <v>1086</v>
      </c>
      <c r="BD3" s="177"/>
      <c r="BE3" s="674"/>
      <c r="BF3" s="674"/>
      <c r="BG3" s="674"/>
    </row>
    <row r="4" spans="1:59" x14ac:dyDescent="0.25">
      <c r="A4" s="37"/>
      <c r="B4" s="37"/>
      <c r="C4" s="37" t="s">
        <v>79</v>
      </c>
      <c r="D4" s="37"/>
      <c r="E4" s="37" t="s">
        <v>218</v>
      </c>
      <c r="F4" s="37"/>
      <c r="G4" s="56"/>
      <c r="H4" s="57" t="s">
        <v>233</v>
      </c>
      <c r="I4" s="58">
        <f>IF(Columnas!D11&lt;=0.125,(3.76*SQRT(Columnas!D6/Columnas!D8)*(1-(2.75*Columnas!D11))),(IF((1.12*SQRT(Columnas!D6/Columnas!D8)*(2.33-Columnas!D11))&gt;=(1.49*SQRT(Columnas!D6/Columnas!D8)),(1.12*SQRT(Columnas!D6/Columnas!D8)*(2.33-Columnas!D11)),(1.49*SQRT(Columnas!D6/Columnas!D8)))))</f>
        <v>81.98175785178492</v>
      </c>
      <c r="J4" s="59">
        <f>IF(Columnas!D11&lt;=0.125,(2.45*SQRT(Columnas!D6/Columnas!D8)*(1-(0.95*Columnas!D11))),(IF((0.77*SQRT(Columnas!D6/Columnas!D8)*(2.93-Columnas!D11))&gt;=(1.49*SQRT(Columnas!D6/Columnas!D8)),(0.77*SQRT(Columnas!D6/Columnas!D8)*(2.93-Columnas!D11)),(1.49*SQRT(Columnas!D6/Columnas!D8)))))</f>
        <v>56.78806533566857</v>
      </c>
      <c r="R4" s="663" t="s">
        <v>1006</v>
      </c>
      <c r="S4" s="663"/>
      <c r="T4" s="101">
        <f>(SQRT(Columnas!C24*Columnas!C29)/Columnas!C25)/10000</f>
        <v>7.1550689261437924E-3</v>
      </c>
      <c r="U4" s="101" t="e">
        <f>((VLOOKUP(Columnas!E3,'Tabla Perfiles laminados'!A402:AC453,29,FALSE))/2)*SQRT(Columnas!C23/Columnas!C29)</f>
        <v>#N/A</v>
      </c>
      <c r="V4" s="101" t="e">
        <f>1.95*SQRT(T4)*(Columnas!$D$6/(0.7*Columnas!$D$8))*SQRT((Columnas!$C$30*U4)/(Columnas!$C$25*(VLOOKUP(Columnas!$E$3,'Tabla Perfiles laminados'!$A$402:$AC$425,29,FALSE))))*(SQRT(1+SQRT(1+(6.76*(((0.7*Columnas!$D$8*Columnas!$C$25*(VLOOKUP(Columnas!$E$3,'Tabla Perfiles laminados'!$A$402:$AC$425,29,FALSE)))/(Columnas!$D$6*Columnas!$C$30*U4))^2)))))</f>
        <v>#N/A</v>
      </c>
      <c r="X4" s="102" t="s">
        <v>1012</v>
      </c>
      <c r="Y4" s="26" t="s">
        <v>1014</v>
      </c>
      <c r="Z4" s="29">
        <f>Columnas!$D$10*(Z3-((Z3-(0.7*Columnas!$D$8*1000*Columnas!$C$25/1000000))*((Columnas!H14-(Columnas!H17/100))/((Columnas!H18-Columnas!H17))/100)))</f>
        <v>529.12025036456748</v>
      </c>
      <c r="AD4" t="s">
        <v>1024</v>
      </c>
      <c r="AE4">
        <f>((PI()^2)*Columnas!D6*1000*(Columnas!C23/100^4))/((Columnas!D50*Columnas!H14)^2)</f>
        <v>79493.74168813412</v>
      </c>
      <c r="AF4" t="s">
        <v>1025</v>
      </c>
      <c r="AG4">
        <f>((PI()^2)*Columnas!D6*1000*(Columnas!C24/100^4))/((Columnas!D50*Columnas!H15)^2)</f>
        <v>27034.820375463969</v>
      </c>
      <c r="AI4" t="s">
        <v>77</v>
      </c>
      <c r="AJ4">
        <f>+Columnas!C15</f>
        <v>208</v>
      </c>
      <c r="AK4">
        <f>+Columnas!C18</f>
        <v>11</v>
      </c>
      <c r="AL4" s="105">
        <f>+AJ4/AK4</f>
        <v>18.90909090909091</v>
      </c>
      <c r="AM4" s="105">
        <f>IF(Columnas!H34="no",5,(IF(OR((Columnas!H35/AJ4)&gt;3,(Columnas!H35/AJ4)&gt;(((260)/(AJ4/AK4))^2)),5,(5+((5)/((Columnas!H35/AJ4)^2))))))</f>
        <v>5</v>
      </c>
      <c r="AN4" t="s">
        <v>1088</v>
      </c>
      <c r="AP4">
        <f>1.1*SQRT((AM4*Columnas!$D$6)/Columnas!$D$8)</f>
        <v>58.797473220733373</v>
      </c>
      <c r="AQ4" t="str">
        <f>IF(AL4&lt;=AP4,"Cumple","No cumple")</f>
        <v>Cumple</v>
      </c>
      <c r="AR4" s="105">
        <v>1</v>
      </c>
      <c r="AS4">
        <f>+AJ4*AK4</f>
        <v>2288</v>
      </c>
      <c r="AT4">
        <f>(0.6*Columnas!$D$8*AS4*AR4)/1000</f>
        <v>480.48</v>
      </c>
      <c r="AV4" t="s">
        <v>77</v>
      </c>
      <c r="AW4">
        <f>+Columnas!C16/2</f>
        <v>150</v>
      </c>
      <c r="AX4">
        <f>+Columnas!C17</f>
        <v>19</v>
      </c>
      <c r="AY4" s="105">
        <f>+AW4/AX4</f>
        <v>7.8947368421052628</v>
      </c>
      <c r="AZ4" s="105">
        <v>1.2</v>
      </c>
      <c r="BA4" t="s">
        <v>1088</v>
      </c>
      <c r="BC4">
        <f>1.1*SQRT((AZ4*Columnas!$D$6)/Columnas!$D$8)</f>
        <v>28.804761511150996</v>
      </c>
      <c r="BD4" t="str">
        <f>IF(AY4&lt;=BC4,"Cumple","No cumple")</f>
        <v>Cumple</v>
      </c>
      <c r="BE4" s="105">
        <v>1</v>
      </c>
      <c r="BF4">
        <f>+AW4*AX4</f>
        <v>2850</v>
      </c>
      <c r="BG4">
        <f>((0.6*Columnas!$D$8*BF4*BE4)/1000)*2</f>
        <v>1197</v>
      </c>
    </row>
    <row r="5" spans="1:59" x14ac:dyDescent="0.25">
      <c r="A5" s="37"/>
      <c r="B5" s="37"/>
      <c r="C5" s="37"/>
      <c r="D5" s="37"/>
      <c r="E5" s="37" t="s">
        <v>219</v>
      </c>
      <c r="F5" s="37"/>
      <c r="G5" s="56" t="s">
        <v>226</v>
      </c>
      <c r="H5" s="57" t="s">
        <v>99</v>
      </c>
      <c r="I5" s="58">
        <f>1.12*SQRT(Columnas!D6/Columnas!D8)</f>
        <v>26.773120849090418</v>
      </c>
      <c r="J5" s="59">
        <f>0.55*SQRT(Columnas!D6/Columnas!D8)</f>
        <v>13.147514702678331</v>
      </c>
      <c r="R5" s="671" t="s">
        <v>1003</v>
      </c>
      <c r="S5" s="672"/>
      <c r="T5" s="103">
        <f>(SQRT((Columnas!C24/100^4)*(Columnas!C29/100^6))/(Columnas!C25/100^3))</f>
        <v>7.1550689261437915E-3</v>
      </c>
      <c r="U5" s="96">
        <v>1</v>
      </c>
      <c r="V5" s="101">
        <f>1.95*SQRT(T5)*(Columnas!$D$6/(0.7*Columnas!$D$8))*SQRT((Columnas!$C$30*U5)/(Columnas!$C$25*(VLOOKUP(Columnas!$E$3,'Tabla Perfiles laminados'!$A$4:$AC$401,29,FALSE))))*(SQRT(1+SQRT(1+(6.76*(((0.7*Columnas!$D$8*Columnas!$C$25*(VLOOKUP(Columnas!$E$3,'Tabla Perfiles laminados'!$A$4:$AC$401,29,FALSE)))/(Columnas!$D$6*Columnas!$C$30*U5))^2)))))</f>
        <v>11.769515664513596</v>
      </c>
      <c r="X5" s="102" t="s">
        <v>1013</v>
      </c>
      <c r="Y5" s="26" t="s">
        <v>1015</v>
      </c>
      <c r="Z5" s="29">
        <f>Columnas!D10*(Columnas!C25/100^3)*(((PI()^2)*(Columnas!D6*1000))/((Columnas!H14)/SQRT('Datos genericos columnas'!T5))^2)*SQRT(1+(0.078*((Columnas!C30)/(Columnas!C25*74.59))*(((Columnas!H14)/(SQRT('Datos genericos columnas'!T5))))^2))</f>
        <v>3552.4738298108468</v>
      </c>
      <c r="AD5" t="s">
        <v>1028</v>
      </c>
      <c r="AE5" s="116">
        <f>IF(($AE$3/(1-(Columnas!$H$6/AE4)))&lt;1,1,($AE$3/(1-(Columnas!$H$6/AE4))))</f>
        <v>1.0018905082720901</v>
      </c>
      <c r="AF5" t="s">
        <v>1029</v>
      </c>
      <c r="AG5">
        <f>IF(($AG$3/(1-(Columnas!$H$6/AG4)))&lt;1,1,($AG$3/(1-(Columnas!$H$6/AG4))))</f>
        <v>1.0055793565999382</v>
      </c>
      <c r="AN5" t="s">
        <v>1089</v>
      </c>
      <c r="AO5">
        <f>1.1*SQRT((AM4*Columnas!$D$6)/Columnas!$D$8)</f>
        <v>58.797473220733373</v>
      </c>
      <c r="AP5">
        <f>1.37*SQRT((AM4*Columnas!$D$6)/Columnas!$D$8)</f>
        <v>73.2295802840043</v>
      </c>
      <c r="AQ5" t="str">
        <f>IF(AND(AO5&lt;AL4,AL4&lt;=AP5),"Cumple","No cumple")</f>
        <v>No cumple</v>
      </c>
      <c r="AR5" s="105">
        <f>(1.1*(SQRT((AM4*Columnas!$D$6)/(Columnas!$D$8)))/(AJ4/AK4))</f>
        <v>3.1094817568657072</v>
      </c>
      <c r="AT5">
        <f>(0.6*Columnas!$D$8*AS4*AR5)/1000</f>
        <v>1494.0437945388351</v>
      </c>
      <c r="BA5" t="s">
        <v>1089</v>
      </c>
      <c r="BB5">
        <f>1.1*SQRT((AZ4*Columnas!$D$6)/Columnas!$D$8)</f>
        <v>28.804761511150996</v>
      </c>
      <c r="BC5">
        <f>1.37*SQRT((AZ4*Columnas!$D$6)/Columnas!$D$8)</f>
        <v>35.875021154797146</v>
      </c>
      <c r="BD5" t="str">
        <f>IF(AND(BB5&lt;AY4,AY4&lt;=BC5),"Cumple","No cumple")</f>
        <v>No cumple</v>
      </c>
      <c r="BE5" s="105">
        <v>1</v>
      </c>
      <c r="BG5">
        <f>((0.6*Columnas!$D$8*BF4*BE5)/1000)*2</f>
        <v>1197</v>
      </c>
    </row>
    <row r="6" spans="1:59" ht="15.75" thickBot="1" x14ac:dyDescent="0.3">
      <c r="G6" s="60" t="s">
        <v>227</v>
      </c>
      <c r="H6" s="61" t="s">
        <v>98</v>
      </c>
      <c r="I6" s="62">
        <f>0.07*(Columnas!D6/Columnas!D8)</f>
        <v>40.000000000000007</v>
      </c>
      <c r="J6" s="63">
        <f>0.038*(Columnas!D6/Columnas!D8)</f>
        <v>21.714285714285715</v>
      </c>
      <c r="L6" s="678" t="str">
        <f>IF(Columnas!B3="LAMINADO",MID(Columnas!E3,1,4),(IF(Columnas!B3="TUBULAR_CIRCULAR","T. CIRCULAR",(IF(Columnas!B3="TUBULAR_CUADRADO","T. CUADRADO","T. RECTANGULAR")))))</f>
        <v xml:space="preserve">IPB </v>
      </c>
      <c r="M6" s="678"/>
      <c r="N6" s="674" t="s">
        <v>983</v>
      </c>
      <c r="O6" s="674"/>
      <c r="P6" s="674"/>
      <c r="U6" s="37"/>
      <c r="AD6" t="s">
        <v>1030</v>
      </c>
      <c r="AE6">
        <f>+IF(AB2="Pórtico arriostrado",1,0.85)</f>
        <v>0.85</v>
      </c>
      <c r="AF6" t="s">
        <v>1030</v>
      </c>
      <c r="AG6">
        <f>+IF(AB2="Pórtico arriostrado",1,0.85)</f>
        <v>0.85</v>
      </c>
      <c r="AN6" t="s">
        <v>1089</v>
      </c>
      <c r="AO6">
        <f>1.37*SQRT((AM4*Columnas!$D$6)/Columnas!$D$8)</f>
        <v>73.2295802840043</v>
      </c>
      <c r="AQ6" t="str">
        <f>IF(AL4&gt;AO6,"Cumple","No cumple")</f>
        <v>No cumple</v>
      </c>
      <c r="AR6" s="105">
        <f>(1.51*AM4*Columnas!$D$6)/(((AJ4/AK4)^2)*Columnas!$D$8)</f>
        <v>12.066118977176668</v>
      </c>
      <c r="AT6">
        <f>(0.6*Columnas!$D$8*AS4*AR6)/1000</f>
        <v>5797.5288461538448</v>
      </c>
      <c r="BA6" t="s">
        <v>1089</v>
      </c>
      <c r="BB6">
        <f>1.37*SQRT((AZ4*Columnas!$D$6)/Columnas!$D$8)</f>
        <v>35.875021154797146</v>
      </c>
      <c r="BD6" t="str">
        <f>IF(AY4&gt;BB6,"Cumple","No cumple")</f>
        <v>No cumple</v>
      </c>
      <c r="BE6" s="105">
        <v>1</v>
      </c>
      <c r="BG6">
        <f>((0.6*Columnas!$D$8*BF4*BE6)/1000)*2</f>
        <v>1197</v>
      </c>
    </row>
    <row r="7" spans="1:59" x14ac:dyDescent="0.25">
      <c r="L7" s="82" t="s">
        <v>225</v>
      </c>
      <c r="M7" s="82" t="s">
        <v>586</v>
      </c>
      <c r="N7" t="s">
        <v>984</v>
      </c>
      <c r="O7" t="s">
        <v>985</v>
      </c>
      <c r="P7" t="s">
        <v>986</v>
      </c>
      <c r="AA7" s="105"/>
      <c r="AB7" s="105"/>
      <c r="AC7" s="105"/>
      <c r="AD7" t="s">
        <v>1034</v>
      </c>
      <c r="AE7">
        <f>+AE6*((Columnas!$H$11)/(0.01*Columnas!$H$14))</f>
        <v>3400</v>
      </c>
      <c r="AF7" t="s">
        <v>1035</v>
      </c>
      <c r="AG7">
        <f>+AG6*((Columnas!$H$11)/(0.01*Columnas!$H$15))</f>
        <v>3400</v>
      </c>
      <c r="AI7" t="s">
        <v>219</v>
      </c>
      <c r="AJ7">
        <f>+Columnas!C15</f>
        <v>208</v>
      </c>
      <c r="AK7">
        <f>+Columnas!C17</f>
        <v>19</v>
      </c>
      <c r="AL7" s="105">
        <f>+AJ7/AK7</f>
        <v>10.947368421052632</v>
      </c>
      <c r="AM7" s="105">
        <f>IF(Columnas!$H$34="no",5,(IF(OR((Columnas!$H$35/AJ7)&gt;3,(Columnas!$H$35/AJ7)&gt;(((260)/(AJ7/AK7))^2)),5,(5+((5)/((Columnas!$H$35/AJ7)^2))))))</f>
        <v>5</v>
      </c>
      <c r="AN7" t="s">
        <v>1088</v>
      </c>
      <c r="AP7">
        <f>1.1*SQRT((AM7*Columnas!$D$6)/Columnas!$D$8)</f>
        <v>58.797473220733373</v>
      </c>
      <c r="AQ7" t="str">
        <f>IF(AL7&lt;=AP7,"Cumple","No cumple")</f>
        <v>Cumple</v>
      </c>
      <c r="AR7" s="105">
        <v>1</v>
      </c>
      <c r="AS7">
        <f>+AJ7*AK7</f>
        <v>3952</v>
      </c>
      <c r="AT7">
        <f>((0.6*Columnas!$D$8*AS7*AR7)/1000)*2</f>
        <v>1659.84</v>
      </c>
      <c r="AV7" t="s">
        <v>219</v>
      </c>
      <c r="AW7">
        <f>+Columnas!C16</f>
        <v>300</v>
      </c>
      <c r="AX7">
        <f>+Columnas!C17</f>
        <v>19</v>
      </c>
      <c r="AY7" s="105">
        <f>+AW7/AX7</f>
        <v>15.789473684210526</v>
      </c>
      <c r="AZ7" s="105">
        <v>1.2</v>
      </c>
      <c r="BA7" t="s">
        <v>1088</v>
      </c>
      <c r="BC7">
        <f>1.1*SQRT((AZ7*Columnas!$D$6)/Columnas!$D$8)</f>
        <v>28.804761511150996</v>
      </c>
      <c r="BD7" t="str">
        <f>IF(AY7&lt;=BC7,"Cumple","No cumple")</f>
        <v>Cumple</v>
      </c>
      <c r="BE7" s="105">
        <v>1</v>
      </c>
      <c r="BF7">
        <f>+AW7*AX7</f>
        <v>5700</v>
      </c>
      <c r="BG7">
        <f>((0.6*Columnas!$D$8*BF7*BE7)/1000)*2</f>
        <v>2394</v>
      </c>
    </row>
    <row r="8" spans="1:59" ht="200.1" customHeight="1" x14ac:dyDescent="0.25">
      <c r="L8" s="83" t="s">
        <v>975</v>
      </c>
      <c r="M8" s="82"/>
      <c r="N8">
        <v>1</v>
      </c>
      <c r="O8">
        <v>1</v>
      </c>
      <c r="P8">
        <v>0</v>
      </c>
      <c r="R8" s="669" t="s">
        <v>1001</v>
      </c>
      <c r="S8" s="670"/>
      <c r="T8" s="670"/>
      <c r="U8" s="670"/>
      <c r="V8" s="670"/>
      <c r="AD8" s="123" t="s">
        <v>1032</v>
      </c>
      <c r="AE8" s="123">
        <f>1/(1-((Columnas!$H$6)/(AE7)))</f>
        <v>1.0461538461538462</v>
      </c>
      <c r="AF8" s="123" t="s">
        <v>1033</v>
      </c>
      <c r="AG8" s="123">
        <f>1/(1-((Columnas!$H$6)/(AG7)))</f>
        <v>1.0461538461538462</v>
      </c>
      <c r="AN8" t="s">
        <v>1089</v>
      </c>
      <c r="AO8">
        <f>1.1*SQRT((AM7*Columnas!$D$6)/Columnas!$D$8)</f>
        <v>58.797473220733373</v>
      </c>
      <c r="AP8">
        <f>1.37*SQRT((AM7*Columnas!$D$6)/Columnas!$D$8)</f>
        <v>73.2295802840043</v>
      </c>
      <c r="AQ8" t="str">
        <f>IF(AND(AO8&lt;AL7,AL7&lt;=AP8),"Cumple","No cumple")</f>
        <v>No cumple</v>
      </c>
      <c r="AR8" s="105">
        <f>(1.1*(SQRT((AM7*Columnas!$D$6)/(Columnas!$D$8)))/(AJ7/AK7))</f>
        <v>5.3709230345862213</v>
      </c>
      <c r="AT8">
        <f>((0.6*Columnas!$D$8*AS7*AR8)/1000)*2</f>
        <v>8914.8728897275942</v>
      </c>
      <c r="BA8" t="s">
        <v>1089</v>
      </c>
      <c r="BB8">
        <f>1.1*SQRT((AZ7*Columnas!$D$6)/Columnas!$D$8)</f>
        <v>28.804761511150996</v>
      </c>
      <c r="BC8">
        <f>1.37*SQRT((AZ7*Columnas!$D$6)/Columnas!$D$8)</f>
        <v>35.875021154797146</v>
      </c>
      <c r="BD8" t="str">
        <f>IF(AND(BB8&lt;AY7,AY7&lt;=BC8),"Cumple","No cumple")</f>
        <v>No cumple</v>
      </c>
      <c r="BE8" s="105">
        <f>(1.1*(SQRT((AZ7*Columnas!$D$6)/(Columnas!$D$8)))/(AW7/AX7))</f>
        <v>1.8243015623728964</v>
      </c>
      <c r="BG8">
        <f>((0.6*Columnas!$D$8*BF7*BE8)/1000)*2</f>
        <v>4367.3779403207145</v>
      </c>
    </row>
    <row r="9" spans="1:59" ht="200.1" customHeight="1" x14ac:dyDescent="0.25">
      <c r="L9" s="83" t="s">
        <v>976</v>
      </c>
      <c r="M9" s="82"/>
      <c r="N9">
        <v>1</v>
      </c>
      <c r="O9">
        <v>1</v>
      </c>
      <c r="P9">
        <v>0</v>
      </c>
      <c r="R9" s="663" t="s">
        <v>207</v>
      </c>
      <c r="S9" s="663"/>
      <c r="T9" s="106" t="s">
        <v>1016</v>
      </c>
      <c r="U9" s="106" t="s">
        <v>1004</v>
      </c>
      <c r="V9" s="106" t="s">
        <v>1002</v>
      </c>
      <c r="X9" s="26"/>
      <c r="Y9" s="100" t="s">
        <v>1010</v>
      </c>
      <c r="Z9" s="108" t="s">
        <v>1008</v>
      </c>
      <c r="AD9" s="123" t="s">
        <v>1038</v>
      </c>
      <c r="AE9" s="123">
        <f>+MAX(Columnas!H7,Columnas!H9)</f>
        <v>25</v>
      </c>
      <c r="AF9" s="123" t="s">
        <v>1039</v>
      </c>
      <c r="AG9" s="123">
        <f>+MAX(Columnas!H8,Columnas!H10)</f>
        <v>30</v>
      </c>
      <c r="AN9" t="s">
        <v>1091</v>
      </c>
      <c r="AO9">
        <f>1.37*SQRT((AM7*Columnas!$D$6)/Columnas!$D$8)</f>
        <v>73.2295802840043</v>
      </c>
      <c r="AQ9" t="str">
        <f>IF(AL7&gt;AO9,"Cumple","No cumple")</f>
        <v>No cumple</v>
      </c>
      <c r="AR9" s="105">
        <f>(1.51*AM7*Columnas!$D$6)/(((AJ7/AK7)^2)*Columnas!$D$8)</f>
        <v>35.998916948436175</v>
      </c>
      <c r="AT9">
        <f>((0.6*Columnas!$D$6*AS7*AR9)/1000)*2</f>
        <v>34144252.74725274</v>
      </c>
      <c r="BA9" t="s">
        <v>1091</v>
      </c>
      <c r="BB9">
        <f>1.37*SQRT((AZ7*Columnas!$D$6)/Columnas!$D$8)</f>
        <v>35.875021154797146</v>
      </c>
      <c r="BD9" t="str">
        <f>IF(AY7&gt;BB9,"Cumple","No cumple")</f>
        <v>No cumple</v>
      </c>
      <c r="BE9" s="105">
        <f>(1.51*AZ7*Columnas!$D$6)/(((AW7/AX7)^2)*Columnas!$D$8)</f>
        <v>4.1532190476190474</v>
      </c>
      <c r="BG9">
        <f>((0.6*Columnas!$D$6*BF7*BE9)/1000)*2</f>
        <v>5681603.6571428562</v>
      </c>
    </row>
    <row r="10" spans="1:59" ht="200.1" customHeight="1" x14ac:dyDescent="0.25">
      <c r="L10" s="83" t="s">
        <v>587</v>
      </c>
      <c r="M10" s="82"/>
      <c r="N10">
        <v>1</v>
      </c>
      <c r="O10">
        <v>1</v>
      </c>
      <c r="P10">
        <v>0</v>
      </c>
      <c r="R10" s="663" t="s">
        <v>200</v>
      </c>
      <c r="S10" s="663"/>
      <c r="T10" s="101">
        <f>(SQRT((Columnas!C24)*(Columnas!C29))/(Columnas!C26))/10000</f>
        <v>2.1051691411421315E-2</v>
      </c>
      <c r="U10" s="101" t="e">
        <f>((VLOOKUP(Columnas!E3,'Tabla Perfiles laminados'!A402:AC453,29,FALSE))/2)*SQRT(Columnas!C24/Columnas!C29)</f>
        <v>#N/A</v>
      </c>
      <c r="V10" s="101" t="e">
        <f>1.95*SQRT(T10)*(Columnas!$D$6/(0.7*Columnas!$D$8))*SQRT((Columnas!$C$30*U10)/(Columnas!$C$26*(VLOOKUP(Columnas!$E$3,'Tabla Perfiles laminados'!$A$426:$AC$453,29,FALSE))))*(SQRT(1+SQRT(1+(6.76*(((0.7*Columnas!$D$8*Columnas!$C$26*(VLOOKUP(Columnas!$E$3,'Tabla Perfiles laminados'!$A$426:$AC$453,29,FALSE)))/(Columnas!$D$6*Columnas!$C$30*U10))^2)))))</f>
        <v>#N/A</v>
      </c>
      <c r="X10" s="131" t="s">
        <v>1011</v>
      </c>
      <c r="Y10" s="132" t="s">
        <v>1007</v>
      </c>
      <c r="Z10" s="132">
        <f>IF((Columnas!$D$10*Columnas!$C$28/1000000*Columnas!$D$8*1000)&lt;=(1.6*Columnas!$D$8*1000*Columnas!$C$26/1000000),(Columnas!$D$10*Columnas!$C$28/1000000*Columnas!$D$8*1000),(1.6*Columnas!$D$8*1000*Columnas!$C$26/1000000))</f>
        <v>271.84500000000003</v>
      </c>
      <c r="AD10" t="s">
        <v>1040</v>
      </c>
      <c r="AE10" s="124">
        <v>0</v>
      </c>
      <c r="AF10" t="s">
        <v>1041</v>
      </c>
      <c r="AG10" s="124">
        <v>0</v>
      </c>
      <c r="AI10" t="s">
        <v>218</v>
      </c>
      <c r="AJ10">
        <f>+Columnas!C16</f>
        <v>300</v>
      </c>
      <c r="AK10">
        <f>+Columnas!C17</f>
        <v>19</v>
      </c>
      <c r="AL10" s="105">
        <f>+AJ10/AK10</f>
        <v>15.789473684210526</v>
      </c>
      <c r="AM10" s="105">
        <f>IF(Columnas!$H$34="no",5,(IF(OR((Columnas!$H$35/AJ10)&gt;3,(Columnas!$H$35/AJ10)&gt;(((260)/(AJ10/AK10))^2)),5,(5+((5)/((Columnas!$H$35/AJ10)^2))))))</f>
        <v>5</v>
      </c>
      <c r="AN10" t="s">
        <v>1088</v>
      </c>
      <c r="AP10">
        <f>1.1*SQRT((AM10*Columnas!$D$6)/Columnas!$D$8)</f>
        <v>58.797473220733373</v>
      </c>
      <c r="AQ10" t="str">
        <f>IF(AL10&lt;=AP10,"Cumple","No cumple")</f>
        <v>Cumple</v>
      </c>
      <c r="AR10" s="105">
        <v>1</v>
      </c>
      <c r="AS10">
        <f>+AJ10*AK10</f>
        <v>5700</v>
      </c>
      <c r="AT10">
        <f>((0.6*Columnas!$D$8*AS10*AR10)/1000)*2</f>
        <v>2394</v>
      </c>
      <c r="AY10" s="105"/>
      <c r="AZ10" s="105"/>
      <c r="BE10" s="105"/>
    </row>
    <row r="11" spans="1:59" ht="200.1" customHeight="1" x14ac:dyDescent="0.25">
      <c r="L11" s="83" t="s">
        <v>588</v>
      </c>
      <c r="M11" s="82"/>
      <c r="N11">
        <v>1</v>
      </c>
      <c r="O11">
        <v>1</v>
      </c>
      <c r="P11">
        <v>0</v>
      </c>
      <c r="R11" s="663" t="s">
        <v>1006</v>
      </c>
      <c r="S11" s="663"/>
      <c r="T11" s="101">
        <f>(SQRT((Columnas!C24)*(Columnas!C29))/(Columnas!C26))/10000</f>
        <v>2.1051691411421315E-2</v>
      </c>
      <c r="U11" s="101" t="e">
        <f>((VLOOKUP(Columnas!E3,'Tabla Perfiles laminados'!A402:AC453,29,FALSE))/2)*SQRT(Columnas!C24/Columnas!C29)</f>
        <v>#N/A</v>
      </c>
      <c r="V11" s="101" t="e">
        <f>1.95*SQRT(T11)*(Columnas!$D$6/(0.7*Columnas!$D$8))*SQRT((Columnas!$C$30*U11)/(Columnas!$C$26*(VLOOKUP(Columnas!$E$3,'Tabla Perfiles laminados'!$A$402:$AC$425,29,FALSE))))*(SQRT(1+SQRT(1+(6.76*(((0.7*Columnas!$D$8*Columnas!$C$26*(VLOOKUP(Columnas!$E$3,'Tabla Perfiles laminados'!$A$402:$AC$425,29,FALSE)))/(Columnas!$D$6*Columnas!$C$30*U11))^2)))))</f>
        <v>#N/A</v>
      </c>
      <c r="X11" s="132" t="s">
        <v>1012</v>
      </c>
      <c r="Y11" s="132" t="s">
        <v>1014</v>
      </c>
      <c r="Z11" s="132">
        <f>IF((Columnas!$D$10*Columnas!$C$28/1000000*Columnas!$D$8*1000)&lt;=(1.6*Columnas!$D$8*1000*Columnas!$C$26/1000000),(Columnas!$D$10*Columnas!$C$28/1000000*Columnas!$D$8*1000),(1.6*Columnas!$D$8*1000*Columnas!$C$26/1000000))</f>
        <v>271.84500000000003</v>
      </c>
      <c r="AN11" t="s">
        <v>1089</v>
      </c>
      <c r="AO11">
        <f>1.1*SQRT((AM10*Columnas!$D$6)/Columnas!$D$8)</f>
        <v>58.797473220733373</v>
      </c>
      <c r="AP11">
        <f>1.37*SQRT((AM10*Columnas!$D$6)/Columnas!$D$8)</f>
        <v>73.2295802840043</v>
      </c>
      <c r="AQ11" t="str">
        <f>IF(AND(AO11&lt;AL10,AL10&lt;=AP11),"Cumple","No cumple")</f>
        <v>No cumple</v>
      </c>
      <c r="AR11" s="105">
        <f>(1.1*(SQRT((AM10*Columnas!$D$6)/(Columnas!$D$8)))/(AJ10/AK10))</f>
        <v>3.7238399706464471</v>
      </c>
      <c r="AT11">
        <f>((0.6*Columnas!$D$8*AS10*AR11)/1000)*2</f>
        <v>8914.8728897275942</v>
      </c>
      <c r="BE11" s="105"/>
    </row>
    <row r="12" spans="1:59" ht="200.1" customHeight="1" x14ac:dyDescent="0.25">
      <c r="L12" s="83" t="s">
        <v>978</v>
      </c>
      <c r="M12" s="82"/>
      <c r="N12">
        <v>1</v>
      </c>
      <c r="O12">
        <v>1</v>
      </c>
      <c r="P12">
        <v>0</v>
      </c>
      <c r="R12" s="671" t="s">
        <v>1003</v>
      </c>
      <c r="S12" s="672"/>
      <c r="T12" s="103">
        <f>(SQRT((Columnas!C24)*(Columnas!C29))/(Columnas!C26))/10000</f>
        <v>2.1051691411421315E-2</v>
      </c>
      <c r="U12" s="106">
        <v>1</v>
      </c>
      <c r="V12" s="101">
        <f>1.95*SQRT(T12)*(Columnas!$D$6/(0.7*Columnas!$D$8))*SQRT((Columnas!$C$30*U12)/(Columnas!$C$26*(VLOOKUP(Columnas!$E$3,'Tabla Perfiles laminados'!$A$4:$AC$401,29,FALSE))))*(SQRT(1+SQRT(1+(6.76*(((0.7*Columnas!$D$8*Columnas!$C$26*(VLOOKUP(Columnas!$E$3,'Tabla Perfiles laminados'!$A$4:$AC$401,29,FALSE)))/(Columnas!$D$6*Columnas!$C$30*U12))^2)))))</f>
        <v>31.922749248046269</v>
      </c>
      <c r="X12" s="106" t="s">
        <v>1013</v>
      </c>
      <c r="Y12" s="106" t="s">
        <v>1015</v>
      </c>
      <c r="Z12" s="132">
        <f>IF((Columnas!$D$10*Columnas!$C$28/1000000*Columnas!$D$8*1000)&lt;=(1.6*Columnas!$D$8*1000*Columnas!$C$26/1000000),(Columnas!$D$10*Columnas!$C$28/1000000*Columnas!$D$8*1000),(1.6*Columnas!$D$8*1000*Columnas!$C$26/1000000))</f>
        <v>271.84500000000003</v>
      </c>
      <c r="AN12" t="s">
        <v>1091</v>
      </c>
      <c r="AO12">
        <f>1.37*SQRT((AM10*Columnas!$D$6)/Columnas!$D$8)</f>
        <v>73.2295802840043</v>
      </c>
      <c r="AQ12" t="str">
        <f>IF(AL10&gt;AO12,"Cumple","No cumple")</f>
        <v>No cumple</v>
      </c>
      <c r="AR12" s="105">
        <f>(1.51*AM10*Columnas!$D$6)/(((AJ10/AK10)^2)*Columnas!$D$8)</f>
        <v>17.305079365079365</v>
      </c>
      <c r="AT12">
        <f>((0.6*Columnas!$D$8*AS10*AR12)/1000)*2</f>
        <v>41428.36</v>
      </c>
      <c r="BE12" s="105"/>
    </row>
    <row r="13" spans="1:59" ht="200.1" customHeight="1" x14ac:dyDescent="0.25">
      <c r="L13" s="83" t="s">
        <v>979</v>
      </c>
      <c r="M13" s="82"/>
      <c r="N13">
        <v>1</v>
      </c>
      <c r="O13">
        <v>1</v>
      </c>
      <c r="P13">
        <v>0</v>
      </c>
      <c r="U13" s="115"/>
    </row>
    <row r="14" spans="1:59" ht="200.1" customHeight="1" x14ac:dyDescent="0.25">
      <c r="L14" s="83" t="s">
        <v>977</v>
      </c>
      <c r="M14" s="82"/>
      <c r="N14">
        <v>1</v>
      </c>
      <c r="O14">
        <v>1</v>
      </c>
      <c r="P14">
        <v>0</v>
      </c>
    </row>
    <row r="15" spans="1:59" ht="200.1" customHeight="1" x14ac:dyDescent="0.25">
      <c r="L15" s="83" t="s">
        <v>980</v>
      </c>
      <c r="M15" s="82"/>
      <c r="N15">
        <v>1</v>
      </c>
      <c r="O15">
        <v>1</v>
      </c>
      <c r="P15">
        <v>0</v>
      </c>
    </row>
    <row r="16" spans="1:59" ht="200.1" customHeight="1" x14ac:dyDescent="0.25">
      <c r="L16" s="83" t="s">
        <v>981</v>
      </c>
      <c r="M16" s="82"/>
      <c r="N16">
        <v>1</v>
      </c>
      <c r="O16">
        <v>0</v>
      </c>
      <c r="P16">
        <v>1</v>
      </c>
    </row>
    <row r="17" spans="12:16" ht="200.1" customHeight="1" x14ac:dyDescent="0.25">
      <c r="L17" s="83" t="s">
        <v>982</v>
      </c>
      <c r="M17" s="82"/>
      <c r="N17">
        <v>1</v>
      </c>
      <c r="O17">
        <v>0</v>
      </c>
      <c r="P17">
        <v>1</v>
      </c>
    </row>
    <row r="18" spans="12:16" ht="200.1" customHeight="1" x14ac:dyDescent="0.25">
      <c r="L18" s="83" t="s">
        <v>589</v>
      </c>
      <c r="M18" s="82"/>
      <c r="N18">
        <v>1</v>
      </c>
      <c r="O18">
        <v>0</v>
      </c>
      <c r="P18">
        <v>0</v>
      </c>
    </row>
    <row r="19" spans="12:16" ht="200.1" customHeight="1" x14ac:dyDescent="0.25">
      <c r="L19" s="83" t="s">
        <v>590</v>
      </c>
      <c r="M19" s="82"/>
      <c r="N19">
        <v>1</v>
      </c>
      <c r="O19">
        <v>0</v>
      </c>
      <c r="P19">
        <v>0</v>
      </c>
    </row>
    <row r="20" spans="12:16" ht="200.1" customHeight="1" x14ac:dyDescent="0.25">
      <c r="L20" s="83" t="s">
        <v>591</v>
      </c>
      <c r="M20" s="82"/>
      <c r="N20">
        <v>1</v>
      </c>
      <c r="O20">
        <v>0</v>
      </c>
      <c r="P20">
        <v>0</v>
      </c>
    </row>
  </sheetData>
  <mergeCells count="36">
    <mergeCell ref="AV1:BG1"/>
    <mergeCell ref="AV2:AV3"/>
    <mergeCell ref="AW2:AW3"/>
    <mergeCell ref="AX2:AX3"/>
    <mergeCell ref="AY2:AY3"/>
    <mergeCell ref="AZ2:AZ3"/>
    <mergeCell ref="BA2:BA3"/>
    <mergeCell ref="BE2:BE3"/>
    <mergeCell ref="BF2:BF3"/>
    <mergeCell ref="BG2:BG3"/>
    <mergeCell ref="AS2:AS3"/>
    <mergeCell ref="AT2:AT3"/>
    <mergeCell ref="AI1:AT1"/>
    <mergeCell ref="AI2:AI3"/>
    <mergeCell ref="AJ2:AJ3"/>
    <mergeCell ref="AK2:AK3"/>
    <mergeCell ref="AL2:AL3"/>
    <mergeCell ref="AM2:AM3"/>
    <mergeCell ref="AN2:AN3"/>
    <mergeCell ref="AR2:AR3"/>
    <mergeCell ref="AF2:AG2"/>
    <mergeCell ref="AD2:AE2"/>
    <mergeCell ref="AD1:AG1"/>
    <mergeCell ref="G1:J1"/>
    <mergeCell ref="L6:M6"/>
    <mergeCell ref="N6:P6"/>
    <mergeCell ref="R2:S2"/>
    <mergeCell ref="R3:S3"/>
    <mergeCell ref="R5:S5"/>
    <mergeCell ref="R1:V1"/>
    <mergeCell ref="R4:S4"/>
    <mergeCell ref="R8:V8"/>
    <mergeCell ref="R9:S9"/>
    <mergeCell ref="R10:S10"/>
    <mergeCell ref="R11:S11"/>
    <mergeCell ref="R12:S12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AR20"/>
  <sheetViews>
    <sheetView zoomScale="40" zoomScaleNormal="40" workbookViewId="0">
      <selection activeCell="M10" sqref="M10"/>
    </sheetView>
  </sheetViews>
  <sheetFormatPr baseColWidth="10" defaultColWidth="11.42578125" defaultRowHeight="15" x14ac:dyDescent="0.25"/>
  <cols>
    <col min="1" max="1" width="4" bestFit="1" customWidth="1"/>
    <col min="3" max="3" width="14.42578125" bestFit="1" customWidth="1"/>
    <col min="5" max="5" width="23.140625" bestFit="1" customWidth="1"/>
    <col min="7" max="7" width="27.140625" bestFit="1" customWidth="1"/>
    <col min="8" max="8" width="22.5703125" customWidth="1"/>
    <col min="12" max="12" width="27.85546875" bestFit="1" customWidth="1"/>
    <col min="13" max="13" width="35.28515625" customWidth="1"/>
    <col min="14" max="14" width="14.5703125" customWidth="1"/>
    <col min="16" max="16" width="14.28515625" customWidth="1"/>
    <col min="17" max="17" width="16.28515625" bestFit="1" customWidth="1"/>
    <col min="20" max="20" width="11.42578125" customWidth="1"/>
    <col min="24" max="24" width="15.42578125" customWidth="1"/>
    <col min="25" max="25" width="21.7109375" customWidth="1"/>
    <col min="28" max="28" width="17.5703125" bestFit="1" customWidth="1"/>
    <col min="33" max="33" width="27.85546875" bestFit="1" customWidth="1"/>
    <col min="34" max="35" width="7.85546875" customWidth="1"/>
  </cols>
  <sheetData>
    <row r="1" spans="1:44" ht="26.25" customHeight="1" thickBot="1" x14ac:dyDescent="0.3">
      <c r="A1" s="134" t="s">
        <v>73</v>
      </c>
      <c r="B1" s="134"/>
      <c r="C1" s="134" t="s">
        <v>74</v>
      </c>
      <c r="D1" s="134"/>
      <c r="E1" s="134" t="s">
        <v>75</v>
      </c>
      <c r="F1" s="134"/>
      <c r="G1" s="675" t="s">
        <v>231</v>
      </c>
      <c r="H1" s="676"/>
      <c r="I1" s="676"/>
      <c r="J1" s="677"/>
      <c r="L1" s="79"/>
      <c r="M1" s="79"/>
      <c r="N1" s="79"/>
      <c r="R1" s="669" t="s">
        <v>1001</v>
      </c>
      <c r="S1" s="670"/>
      <c r="T1" s="670"/>
      <c r="U1" s="670"/>
      <c r="V1" s="670"/>
      <c r="X1" t="s">
        <v>1009</v>
      </c>
      <c r="AB1" s="151" t="s">
        <v>1059</v>
      </c>
      <c r="AC1" s="152" t="s">
        <v>1060</v>
      </c>
      <c r="AD1" s="153" t="s">
        <v>1061</v>
      </c>
      <c r="AG1" s="674" t="s">
        <v>1081</v>
      </c>
      <c r="AH1" s="674"/>
      <c r="AI1" s="674"/>
      <c r="AJ1" s="674"/>
      <c r="AK1" s="674"/>
      <c r="AL1" s="674"/>
      <c r="AM1" s="674"/>
      <c r="AN1" s="674"/>
      <c r="AO1" s="674"/>
      <c r="AP1" s="674"/>
      <c r="AQ1" s="674"/>
      <c r="AR1" s="674"/>
    </row>
    <row r="2" spans="1:44" ht="45" x14ac:dyDescent="0.25">
      <c r="A2" s="134">
        <v>250</v>
      </c>
      <c r="B2" s="134"/>
      <c r="C2" s="134" t="s">
        <v>76</v>
      </c>
      <c r="D2" s="134"/>
      <c r="E2" s="134" t="s">
        <v>77</v>
      </c>
      <c r="F2" s="134"/>
      <c r="G2" s="52" t="s">
        <v>225</v>
      </c>
      <c r="H2" s="53"/>
      <c r="I2" s="54" t="s">
        <v>228</v>
      </c>
      <c r="J2" s="55" t="s">
        <v>229</v>
      </c>
      <c r="R2" s="663" t="s">
        <v>207</v>
      </c>
      <c r="S2" s="663"/>
      <c r="T2" s="133" t="s">
        <v>1016</v>
      </c>
      <c r="U2" s="133" t="s">
        <v>1004</v>
      </c>
      <c r="V2" s="133" t="s">
        <v>1002</v>
      </c>
      <c r="X2" s="26"/>
      <c r="Y2" s="100" t="s">
        <v>1010</v>
      </c>
      <c r="Z2" s="136" t="s">
        <v>1008</v>
      </c>
      <c r="AB2" s="159" t="s">
        <v>1063</v>
      </c>
      <c r="AC2" s="154">
        <v>6.4</v>
      </c>
      <c r="AD2" s="155">
        <v>32</v>
      </c>
      <c r="AG2" s="674" t="s">
        <v>207</v>
      </c>
      <c r="AH2" s="674" t="s">
        <v>195</v>
      </c>
      <c r="AI2" s="674" t="s">
        <v>96</v>
      </c>
      <c r="AJ2" s="674" t="s">
        <v>1082</v>
      </c>
      <c r="AK2" s="674" t="s">
        <v>1078</v>
      </c>
      <c r="AL2" s="674" t="s">
        <v>1083</v>
      </c>
      <c r="AM2" t="s">
        <v>1084</v>
      </c>
      <c r="AO2" s="138" t="s">
        <v>1087</v>
      </c>
      <c r="AP2" s="674" t="s">
        <v>1079</v>
      </c>
      <c r="AQ2" s="674" t="s">
        <v>1092</v>
      </c>
      <c r="AR2" s="674" t="s">
        <v>1093</v>
      </c>
    </row>
    <row r="3" spans="1:44" x14ac:dyDescent="0.25">
      <c r="A3" s="134">
        <v>350</v>
      </c>
      <c r="B3" s="134"/>
      <c r="C3" s="134" t="s">
        <v>78</v>
      </c>
      <c r="D3" s="134"/>
      <c r="E3" s="134" t="s">
        <v>220</v>
      </c>
      <c r="F3" s="134"/>
      <c r="G3" s="56" t="s">
        <v>77</v>
      </c>
      <c r="H3" s="57" t="s">
        <v>232</v>
      </c>
      <c r="I3" s="58">
        <f>0.38*SQRT(Vigas!D6/Vigas!D9)</f>
        <v>9.0837374309413921</v>
      </c>
      <c r="J3" s="59">
        <f>0.3*SQRT(Vigas!D6/Vigas!D9)</f>
        <v>7.1713716560063618</v>
      </c>
      <c r="R3" s="663" t="s">
        <v>200</v>
      </c>
      <c r="S3" s="663"/>
      <c r="T3" s="101">
        <f>(SQRT((Vigas!C26)*(Vigas!C31))/(Vigas!C27))/10000</f>
        <v>1.5655831526104435E-3</v>
      </c>
      <c r="U3" s="101" t="e">
        <f>((VLOOKUP(Vigas!E3,'Tabla Perfiles laminados'!A402:AC453,29,FALSE))/2)*SQRT(Vigas!C25/Vigas!C31)</f>
        <v>#N/A</v>
      </c>
      <c r="V3" s="101" t="e">
        <f>1.95*SQRT(T3)*(Vigas!$D$6/(0.7*Vigas!$D$9))*SQRT((Vigas!$C$32*U3)/(Vigas!$C$27*(VLOOKUP(Vigas!$E$3,'Tabla Perfiles laminados'!$A$426:$AC$453,29,FALSE))))*(SQRT(1+SQRT(1+(6.76*(((0.7*Vigas!$D$9*Vigas!$C$27*(VLOOKUP(Vigas!$E$3,'Tabla Perfiles laminados'!$A$426:$AC$453,29,FALSE)))/(Vigas!$D$6*Vigas!$C$32*U3))^2)))))</f>
        <v>#N/A</v>
      </c>
      <c r="X3" s="100" t="s">
        <v>1011</v>
      </c>
      <c r="Y3" s="26" t="s">
        <v>1007</v>
      </c>
      <c r="Z3" s="26">
        <f>Vigas!$D$11*(Vigas!$C$29/1000000)*Vigas!$D$9*1000</f>
        <v>197.82</v>
      </c>
      <c r="AB3" s="159" t="s">
        <v>1064</v>
      </c>
      <c r="AC3" s="154">
        <v>9.5</v>
      </c>
      <c r="AD3" s="155">
        <v>71</v>
      </c>
      <c r="AG3" s="674"/>
      <c r="AH3" s="674"/>
      <c r="AI3" s="674"/>
      <c r="AJ3" s="674"/>
      <c r="AK3" s="674"/>
      <c r="AL3" s="674"/>
      <c r="AM3" t="s">
        <v>1085</v>
      </c>
      <c r="AN3" t="s">
        <v>1086</v>
      </c>
      <c r="AO3" s="138"/>
      <c r="AP3" s="674"/>
      <c r="AQ3" s="674"/>
      <c r="AR3" s="674"/>
    </row>
    <row r="4" spans="1:44" x14ac:dyDescent="0.25">
      <c r="A4" s="134"/>
      <c r="B4" s="134"/>
      <c r="C4" s="134" t="s">
        <v>79</v>
      </c>
      <c r="D4" s="134"/>
      <c r="E4" s="134" t="s">
        <v>218</v>
      </c>
      <c r="F4" s="134"/>
      <c r="G4" s="56"/>
      <c r="H4" s="57" t="s">
        <v>233</v>
      </c>
      <c r="I4" s="58">
        <f>IF(Vigas!D12&lt;=0.125,(3.76*SQRT(Vigas!D6/Vigas!D9)*(1-(2.75*Vigas!D12))),(IF((1.12*SQRT(Vigas!D6/Vigas!D9)*(2.33-Vigas!D12))&gt;=(1.49*SQRT(Vigas!D6/Vigas!D9)),(1.12*SQRT(Vigas!D6/Vigas!D9)*(2.33-Vigas!D12)),(1.49*SQRT(Vigas!D6/Vigas!D9)))))</f>
        <v>82.588653615539585</v>
      </c>
      <c r="J4" s="59">
        <f>IF(Vigas!D12&lt;=0.125,(2.45*SQRT(Vigas!D6/Vigas!D9)*(1-(0.95*Vigas!D12))),(IF((0.77*SQRT(Vigas!D6/Vigas!D9)*(2.93-Vigas!D12))&gt;=(1.49*SQRT(Vigas!D6/Vigas!D9)),(0.77*SQRT(Vigas!D6/Vigas!D9)*(2.93-Vigas!D12)),(1.49*SQRT(Vigas!D6/Vigas!D9)))))</f>
        <v>56.924675576494394</v>
      </c>
      <c r="R4" s="663" t="s">
        <v>1006</v>
      </c>
      <c r="S4" s="663"/>
      <c r="T4" s="101">
        <f>(SQRT(Vigas!C26*Vigas!C31)/Vigas!C27)/10000</f>
        <v>1.5655831526104435E-3</v>
      </c>
      <c r="U4" s="101" t="e">
        <f>((VLOOKUP(Vigas!E3,'Tabla Perfiles laminados'!A402:AC453,29,FALSE))/2)*SQRT(Vigas!C25/Vigas!C31)</f>
        <v>#N/A</v>
      </c>
      <c r="V4" s="101" t="e">
        <f>1.95*SQRT(T4)*(Vigas!$D$6/(0.7*Vigas!$D$9))*SQRT((Vigas!$C$32*U4)/(Vigas!$C$27*(VLOOKUP(Vigas!$E$3,'Tabla Perfiles laminados'!$A$402:$AC$425,29,FALSE))))*(SQRT(1+SQRT(1+(6.76*(((0.7*Vigas!$D$9*Vigas!$C$27*(VLOOKUP(Vigas!$E$3,'Tabla Perfiles laminados'!$A$402:$AC$425,29,FALSE)))/(Vigas!$D$6*Vigas!$C$32*U4))^2)))))</f>
        <v>#N/A</v>
      </c>
      <c r="X4" s="102" t="s">
        <v>1012</v>
      </c>
      <c r="Y4" s="26" t="s">
        <v>1014</v>
      </c>
      <c r="Z4" s="29">
        <f>Vigas!D13*(Vigas!$D$11*(Z3-((Z3-(0.7*Vigas!$D$9*1000*Vigas!$C$27/1000000))*((Vigas!H11-(Vigas!H13/100))/((Vigas!H14-Vigas!H13))/100))))</f>
        <v>177.53320559172317</v>
      </c>
      <c r="AB4" s="159" t="s">
        <v>1065</v>
      </c>
      <c r="AC4" s="154">
        <v>12.7</v>
      </c>
      <c r="AD4" s="155">
        <v>129</v>
      </c>
      <c r="AG4" t="s">
        <v>77</v>
      </c>
      <c r="AH4">
        <f>+Vigas!C17</f>
        <v>248</v>
      </c>
      <c r="AI4">
        <f>+Vigas!C20</f>
        <v>7.1</v>
      </c>
      <c r="AJ4" s="105">
        <f>+AH4/AI4</f>
        <v>34.929577464788736</v>
      </c>
      <c r="AK4" s="105">
        <f>IF(Vigas!$H$31="no",5,(IF(OR((Vigas!$H$32/AH4)&gt;3,(Vigas!$H$32/AH4)&gt;(((260)/(AH4/AI4))^2)),5,(5+((5)/((Vigas!$H$32/AH4)^2))))))</f>
        <v>5</v>
      </c>
      <c r="AL4" t="s">
        <v>1088</v>
      </c>
      <c r="AN4">
        <f>1.1*SQRT((AK4*Vigas!$D$6)/Vigas!$D$9)</f>
        <v>58.797473220733373</v>
      </c>
      <c r="AO4" t="str">
        <f>IF(AJ4&lt;=AN4,"Cumple","No cumple")</f>
        <v>Cumple</v>
      </c>
      <c r="AP4" s="105">
        <v>1</v>
      </c>
      <c r="AQ4">
        <f>+AH4*AI4</f>
        <v>1760.8</v>
      </c>
      <c r="AR4">
        <f>(0.6*Vigas!$D$9*AQ4*AP4)/1000</f>
        <v>369.76799999999997</v>
      </c>
    </row>
    <row r="5" spans="1:44" x14ac:dyDescent="0.25">
      <c r="A5" s="134"/>
      <c r="B5" s="134"/>
      <c r="C5" s="134"/>
      <c r="D5" s="134"/>
      <c r="E5" s="134" t="s">
        <v>219</v>
      </c>
      <c r="F5" s="134"/>
      <c r="G5" s="56" t="s">
        <v>226</v>
      </c>
      <c r="H5" s="57" t="s">
        <v>99</v>
      </c>
      <c r="I5" s="58">
        <f>1.12*SQRT(Vigas!D6/Vigas!D9)</f>
        <v>26.773120849090418</v>
      </c>
      <c r="J5" s="59">
        <f>0.55*SQRT(Vigas!D6/Vigas!D9)</f>
        <v>13.147514702678331</v>
      </c>
      <c r="R5" s="671" t="s">
        <v>1003</v>
      </c>
      <c r="S5" s="672"/>
      <c r="T5" s="103">
        <f>(SQRT((Vigas!C26/100^4)*(Vigas!C31/100^6))/(Vigas!C27/100^3))</f>
        <v>1.5655831526104438E-3</v>
      </c>
      <c r="U5" s="133">
        <v>1</v>
      </c>
      <c r="V5" s="101">
        <f>1.95*SQRT(T5)*(Vigas!$D$6/(0.7*Vigas!$D$9))*SQRT((Vigas!$C$32*U5)/(Vigas!$C$27*(VLOOKUP(Vigas!$E$3,'Tabla Perfiles laminados'!$A$4:$AC$401,29,FALSE))))*(SQRT(1+SQRT(1+(6.76*(((0.7*Vigas!$D$9*Vigas!$C$27*(VLOOKUP(Vigas!$E$3,'Tabla Perfiles laminados'!$A$4:$AC$401,29,FALSE)))/(Vigas!$D$6*Vigas!$C$32*U5))^2)))))</f>
        <v>4.1287479550265127</v>
      </c>
      <c r="X5" s="102" t="s">
        <v>1013</v>
      </c>
      <c r="Y5" s="26" t="s">
        <v>1015</v>
      </c>
      <c r="Z5" s="29">
        <f>Vigas!D11*(Vigas!C27/100^3)*((Vigas!D13*(PI()^2)*(Vigas!D6*1000))/((Vigas!H11)/SQRT('Datos genericos vigas'!T5))^2)*SQRT(1+(0.078*((Vigas!C32)/(Vigas!C27*74.59))*(((Vigas!H11)/(SQRT('Datos genericos vigas'!T5))))^2))</f>
        <v>261.95972223965634</v>
      </c>
      <c r="AB5" s="159" t="s">
        <v>1066</v>
      </c>
      <c r="AC5" s="154">
        <v>15.9</v>
      </c>
      <c r="AD5" s="155">
        <v>199</v>
      </c>
      <c r="AL5" t="s">
        <v>1089</v>
      </c>
      <c r="AM5">
        <f>1.1*SQRT((AK4*Vigas!$D$6)/Vigas!$D$9)</f>
        <v>58.797473220733373</v>
      </c>
      <c r="AN5">
        <f>1.37*SQRT((AK4*Vigas!$D$6)/Vigas!$D$9)</f>
        <v>73.2295802840043</v>
      </c>
      <c r="AO5" t="str">
        <f>IF(AND(AM5&lt;AJ4,AJ4&lt;=AN5),"Cumple","No cumple")</f>
        <v>No cumple</v>
      </c>
      <c r="AP5" s="105">
        <f>(1.1*(SQRT((AK4*Vigas!$D$6)/(Vigas!$D$9)))/(AH4/AI4))</f>
        <v>1.6833147575290601</v>
      </c>
      <c r="AR5">
        <f>(0.6*Vigas!$D$9*AQ4*AP5)/1000</f>
        <v>622.43593126200551</v>
      </c>
    </row>
    <row r="6" spans="1:44" ht="15.75" thickBot="1" x14ac:dyDescent="0.3">
      <c r="G6" s="60" t="s">
        <v>227</v>
      </c>
      <c r="H6" s="61" t="s">
        <v>98</v>
      </c>
      <c r="I6" s="62">
        <f>0.07*(Vigas!D6/Vigas!D9)</f>
        <v>40.000000000000007</v>
      </c>
      <c r="J6" s="63">
        <f>0.038*(Vigas!D6/Vigas!D9)</f>
        <v>21.714285714285715</v>
      </c>
      <c r="L6" s="678" t="str">
        <f>IF(Vigas!B3="LAMINADO",MID(Vigas!E3,1,4),(IF(Vigas!B3="TUBULAR_CIRCULAR","T. CIRCULAR",(IF(Vigas!B3="TUBULAR_CUADRADO","T. CUADRADO","T. RECTANGULAR")))))</f>
        <v xml:space="preserve">IPE </v>
      </c>
      <c r="M6" s="678"/>
      <c r="N6" s="674" t="s">
        <v>983</v>
      </c>
      <c r="O6" s="674"/>
      <c r="P6" s="674"/>
      <c r="U6" s="134"/>
      <c r="AB6" s="159" t="s">
        <v>1067</v>
      </c>
      <c r="AC6" s="154">
        <v>19.100000000000001</v>
      </c>
      <c r="AD6" s="155">
        <v>284</v>
      </c>
      <c r="AL6" t="s">
        <v>1089</v>
      </c>
      <c r="AM6">
        <f>1.37*SQRT((AK4*Vigas!$D$6)/Vigas!$D$9)</f>
        <v>73.2295802840043</v>
      </c>
      <c r="AO6" t="str">
        <f>IF(AJ4&gt;AM6,"Cumple","No cumple")</f>
        <v>No cumple</v>
      </c>
      <c r="AP6" s="105">
        <f>(1.51*AK4*Vigas!$D$6)/(((AH4/AI4)^2)*Vigas!$D$9)</f>
        <v>3.5360812769436589</v>
      </c>
      <c r="AR6">
        <f>(0.6*Vigas!$D$9*AQ4*AP6)/1000</f>
        <v>1307.5297016129027</v>
      </c>
    </row>
    <row r="7" spans="1:44" x14ac:dyDescent="0.25">
      <c r="L7" s="82" t="s">
        <v>225</v>
      </c>
      <c r="M7" s="82" t="s">
        <v>586</v>
      </c>
      <c r="N7" t="s">
        <v>984</v>
      </c>
      <c r="O7" t="s">
        <v>985</v>
      </c>
      <c r="P7" t="s">
        <v>986</v>
      </c>
      <c r="AA7" s="105"/>
      <c r="AB7" s="159" t="s">
        <v>1068</v>
      </c>
      <c r="AC7" s="156">
        <v>22.2</v>
      </c>
      <c r="AD7" s="155">
        <v>387</v>
      </c>
      <c r="AG7" t="s">
        <v>219</v>
      </c>
      <c r="AH7">
        <f>+Vigas!C17</f>
        <v>248</v>
      </c>
      <c r="AI7">
        <f>+Vigas!C19</f>
        <v>10.7</v>
      </c>
      <c r="AJ7" s="105">
        <f>+AH7/AI7</f>
        <v>23.177570093457945</v>
      </c>
      <c r="AK7" s="105">
        <f>IF(Vigas!$H$31="no",5,(IF(OR((Vigas!$H$32/AH7)&gt;3,(Vigas!$H$32/AH7)&gt;(((260)/(AH7/AI7))^2)),5,(5+((5)/((Vigas!$H$32/AH7)^2))))))</f>
        <v>5</v>
      </c>
      <c r="AL7" t="s">
        <v>1088</v>
      </c>
      <c r="AN7">
        <f>1.1*SQRT((AK7*Vigas!$D$6)/Vigas!$D$9)</f>
        <v>58.797473220733373</v>
      </c>
      <c r="AO7" t="str">
        <f>IF(AJ7&lt;=AN7,"Cumple","No cumple")</f>
        <v>Cumple</v>
      </c>
      <c r="AP7" s="105">
        <v>1</v>
      </c>
      <c r="AQ7">
        <f>+AH7*AI7</f>
        <v>2653.6</v>
      </c>
      <c r="AR7">
        <f>((0.6*Vigas!$D$9*AQ7*AP7)/1000)*2</f>
        <v>1114.5119999999999</v>
      </c>
    </row>
    <row r="8" spans="1:44" ht="200.1" customHeight="1" x14ac:dyDescent="0.25">
      <c r="L8" s="83" t="s">
        <v>975</v>
      </c>
      <c r="M8" s="82"/>
      <c r="N8">
        <v>1</v>
      </c>
      <c r="O8">
        <v>1</v>
      </c>
      <c r="P8">
        <v>0</v>
      </c>
      <c r="R8" s="669" t="s">
        <v>1001</v>
      </c>
      <c r="S8" s="670"/>
      <c r="T8" s="670"/>
      <c r="U8" s="670"/>
      <c r="V8" s="670"/>
      <c r="AB8" s="159" t="s">
        <v>1069</v>
      </c>
      <c r="AC8" s="157">
        <v>25.4</v>
      </c>
      <c r="AD8" s="158">
        <v>510</v>
      </c>
      <c r="AL8" t="s">
        <v>1089</v>
      </c>
      <c r="AM8">
        <f>1.1*SQRT((AK7*Vigas!$D$6)/Vigas!$D$9)</f>
        <v>58.797473220733373</v>
      </c>
      <c r="AN8">
        <f>1.37*SQRT((AK7*Vigas!$D$6)/Vigas!$D$9)</f>
        <v>73.2295802840043</v>
      </c>
      <c r="AO8" t="str">
        <f>IF(AND(AM8&lt;AJ7,AJ7&lt;=AN8),"Cumple","No cumple")</f>
        <v>No cumple</v>
      </c>
      <c r="AP8" s="105">
        <f>(1.1*(SQRT((AK7*Vigas!$D$6)/(Vigas!$D$9)))/(AH7/AI7))</f>
        <v>2.5368264655719641</v>
      </c>
      <c r="AR8">
        <f>((0.6*Vigas!$D$9*AQ7*AP8)/1000)*2</f>
        <v>2827.3235377975407</v>
      </c>
    </row>
    <row r="9" spans="1:44" ht="200.1" customHeight="1" x14ac:dyDescent="0.25">
      <c r="L9" s="83" t="s">
        <v>976</v>
      </c>
      <c r="M9" s="82"/>
      <c r="N9">
        <v>1</v>
      </c>
      <c r="O9">
        <v>1</v>
      </c>
      <c r="P9">
        <v>0</v>
      </c>
      <c r="R9" s="663" t="s">
        <v>207</v>
      </c>
      <c r="S9" s="663"/>
      <c r="T9" s="133" t="s">
        <v>1016</v>
      </c>
      <c r="U9" s="133" t="s">
        <v>1004</v>
      </c>
      <c r="V9" s="133" t="s">
        <v>1002</v>
      </c>
      <c r="X9" s="26"/>
      <c r="Y9" s="100" t="s">
        <v>1010</v>
      </c>
      <c r="Z9" s="136" t="s">
        <v>1008</v>
      </c>
      <c r="AL9" t="s">
        <v>1091</v>
      </c>
      <c r="AM9">
        <f>1.37*SQRT((AK7*Vigas!$D$6)/Vigas!$D$9)</f>
        <v>73.2295802840043</v>
      </c>
      <c r="AO9" t="str">
        <f>IF(AJ7&gt;AM9,"Cumple","No cumple")</f>
        <v>No cumple</v>
      </c>
      <c r="AP9" s="105">
        <f>(1.51*AK7*Vigas!$D$6)/(((AH7/AI7)^2)*Vigas!$D$9)</f>
        <v>8.0310641816560135</v>
      </c>
      <c r="AR9">
        <f>((0.6*Vigas!$D$9*AQ7*AP9)/1000)*2</f>
        <v>8950.7174032258081</v>
      </c>
    </row>
    <row r="10" spans="1:44" ht="200.1" customHeight="1" x14ac:dyDescent="0.25">
      <c r="L10" s="83" t="s">
        <v>587</v>
      </c>
      <c r="M10" s="82"/>
      <c r="N10">
        <v>1</v>
      </c>
      <c r="O10">
        <v>1</v>
      </c>
      <c r="P10">
        <v>0</v>
      </c>
      <c r="R10" s="663" t="s">
        <v>200</v>
      </c>
      <c r="S10" s="663"/>
      <c r="T10" s="101">
        <f>(SQRT((Vigas!C26)*(Vigas!C31))/(Vigas!C28))/10000</f>
        <v>1.0832668521789032E-2</v>
      </c>
      <c r="U10" s="101" t="e">
        <f>((VLOOKUP(Vigas!E3,'Tabla Perfiles laminados'!A402:AC453,29,FALSE))/2)*SQRT(Vigas!C26/Vigas!C31)</f>
        <v>#N/A</v>
      </c>
      <c r="V10" s="101" t="e">
        <f>1.95*SQRT(T10)*(Vigas!$D$6/(0.7*Vigas!$D$9))*SQRT((Vigas!$C$32*U10)/(Vigas!$C$28*(VLOOKUP(Vigas!$E$3,'Tabla Perfiles laminados'!$A$426:$AC$453,29,FALSE))))*(SQRT(1+SQRT(1+(6.76*(((0.7*Vigas!$D$9*Vigas!$C$28*(VLOOKUP(Vigas!$E$3,'Tabla Perfiles laminados'!$A$426:$AC$453,29,FALSE)))/(Vigas!$D$6*Vigas!$C$32*U10))^2)))))</f>
        <v>#N/A</v>
      </c>
      <c r="X10" s="131" t="s">
        <v>1011</v>
      </c>
      <c r="Y10" s="132" t="s">
        <v>1007</v>
      </c>
      <c r="Z10" s="132">
        <f>IF((Vigas!$D$11*Vigas!$C$30/1000000*Vigas!$D$9*1000)&lt;=(1.6*Vigas!$D$9*1000*Vigas!$C$28/1000000),(Vigas!$D$11*Vigas!$C$30/1000000*Vigas!$D$9*1000),(1.6*Vigas!$D$9*1000*Vigas!$C$28/1000000))</f>
        <v>39.059999999999995</v>
      </c>
      <c r="AG10" t="s">
        <v>218</v>
      </c>
      <c r="AH10">
        <f>+Vigas!C18</f>
        <v>150</v>
      </c>
      <c r="AI10">
        <f>+Vigas!C19</f>
        <v>10.7</v>
      </c>
      <c r="AJ10" s="105">
        <f>+AH10/AI10</f>
        <v>14.018691588785048</v>
      </c>
      <c r="AK10" s="105">
        <f>IF(Vigas!$H$31="no",5,(IF(OR((Vigas!$H$32/AH10)&gt;3,(Vigas!$H$32/AH10)&gt;(((260)/(AH10/AI10))^2)),5,(5+((5)/((Vigas!$H$32/AH10)^2))))))</f>
        <v>5</v>
      </c>
      <c r="AL10" t="s">
        <v>1088</v>
      </c>
      <c r="AN10">
        <f>1.1*SQRT((AK10*Vigas!$D$6)/Vigas!$D$9)</f>
        <v>58.797473220733373</v>
      </c>
      <c r="AO10" t="str">
        <f>IF(AJ10&lt;=AN10,"Cumple","No cumple")</f>
        <v>Cumple</v>
      </c>
      <c r="AP10" s="105">
        <v>1</v>
      </c>
      <c r="AQ10">
        <f>+AH10*AI10</f>
        <v>1605</v>
      </c>
      <c r="AR10">
        <f>((0.6*Vigas!$D$9*AQ10*AP10)/1000)*2</f>
        <v>674.1</v>
      </c>
    </row>
    <row r="11" spans="1:44" ht="200.1" customHeight="1" x14ac:dyDescent="0.25">
      <c r="L11" s="83" t="s">
        <v>588</v>
      </c>
      <c r="M11" s="82"/>
      <c r="N11">
        <v>1</v>
      </c>
      <c r="O11">
        <v>1</v>
      </c>
      <c r="P11">
        <v>0</v>
      </c>
      <c r="R11" s="663" t="s">
        <v>1006</v>
      </c>
      <c r="S11" s="663"/>
      <c r="T11" s="101">
        <f>(SQRT((Vigas!C26)*(Vigas!C31))/(Vigas!C28))/10000</f>
        <v>1.0832668521789032E-2</v>
      </c>
      <c r="U11" s="101" t="e">
        <f>((VLOOKUP(Vigas!E3,'Tabla Perfiles laminados'!A402:AC453,29,FALSE))/2)*SQRT(Vigas!C26/Vigas!C31)</f>
        <v>#N/A</v>
      </c>
      <c r="V11" s="101" t="e">
        <f>1.95*SQRT(T11)*(Vigas!$D$6/(0.7*Vigas!$D$9))*SQRT((Vigas!$C$32*U11)/(Vigas!$C$28*(VLOOKUP(Vigas!$E$3,'Tabla Perfiles laminados'!$A$402:$AC$425,29,FALSE))))*(SQRT(1+SQRT(1+(6.76*(((0.7*Vigas!$D$9*Vigas!$C$28*(VLOOKUP(Vigas!$E$3,'Tabla Perfiles laminados'!$A$402:$AC$425,29,FALSE)))/(Vigas!$D$6*Vigas!$C$32*U11))^2)))))</f>
        <v>#N/A</v>
      </c>
      <c r="X11" s="132" t="s">
        <v>1012</v>
      </c>
      <c r="Y11" s="132" t="s">
        <v>1014</v>
      </c>
      <c r="Z11" s="132">
        <f>IF((Vigas!$D$11*Vigas!$C$30/1000000*Vigas!$D$9*1000)&lt;=(1.6*Vigas!$D$9*1000*Vigas!$C$28/1000000),(Vigas!$D$11*Vigas!$C$30/1000000*Vigas!$D$9*1000),(1.6*Vigas!$D$9*1000*Vigas!$C$28/1000000))</f>
        <v>39.059999999999995</v>
      </c>
      <c r="AL11" t="s">
        <v>1089</v>
      </c>
      <c r="AM11">
        <f>1.1*SQRT((AK10*Vigas!$D$6)/Vigas!$D$9)</f>
        <v>58.797473220733373</v>
      </c>
      <c r="AN11">
        <f>1.37*SQRT((AK10*Vigas!$D$6)/Vigas!$D$9)</f>
        <v>73.2295802840043</v>
      </c>
      <c r="AO11" t="str">
        <f>IF(AND(AM11&lt;AJ10,AJ10&lt;=AN11),"Cumple","No cumple")</f>
        <v>No cumple</v>
      </c>
      <c r="AP11" s="105">
        <f>(1.1*(SQRT((AK10*Vigas!$D$6)/(Vigas!$D$9)))/(AH10/AI10))</f>
        <v>4.1942197564123136</v>
      </c>
      <c r="AR11">
        <f>((0.6*Vigas!$D$9*AQ10*AP11)/1000)*2</f>
        <v>2827.3235377975402</v>
      </c>
    </row>
    <row r="12" spans="1:44" ht="200.1" customHeight="1" x14ac:dyDescent="0.25">
      <c r="L12" s="83" t="s">
        <v>978</v>
      </c>
      <c r="M12" s="82"/>
      <c r="N12">
        <v>1</v>
      </c>
      <c r="O12">
        <v>1</v>
      </c>
      <c r="P12">
        <v>0</v>
      </c>
      <c r="R12" s="671" t="s">
        <v>1003</v>
      </c>
      <c r="S12" s="672"/>
      <c r="T12" s="103">
        <f>(SQRT((Vigas!C26)*(Vigas!C31))/(Vigas!C28))/10000</f>
        <v>1.0832668521789032E-2</v>
      </c>
      <c r="U12" s="133">
        <v>1</v>
      </c>
      <c r="V12" s="101">
        <f>1.95*SQRT(T12)*(Vigas!$D$6/(0.7*Vigas!$D$9))*SQRT((Vigas!$C$32*U12)/(Vigas!$C$28*(VLOOKUP(Vigas!$E$3,'Tabla Perfiles laminados'!$A$4:$AC$401,29,FALSE))))*(SQRT(1+SQRT(1+(6.76*(((0.7*Vigas!$D$9*Vigas!$C$28*(VLOOKUP(Vigas!$E$3,'Tabla Perfiles laminados'!$A$4:$AC$401,29,FALSE)))/(Vigas!$D$6*Vigas!$C$32*U12))^2)))))</f>
        <v>19.684207451091151</v>
      </c>
      <c r="X12" s="133" t="s">
        <v>1013</v>
      </c>
      <c r="Y12" s="133" t="s">
        <v>1015</v>
      </c>
      <c r="Z12" s="132">
        <f>IF((Vigas!$D$11*Vigas!$C$30/1000000*Vigas!$D$9*1000)&lt;=(1.6*Vigas!$D$9*1000*Vigas!$C$28/1000000),(Vigas!$D$11*Vigas!$C$30/1000000*Vigas!$D$9*1000),(1.6*Vigas!$D$9*1000*Vigas!$C$28/1000000))</f>
        <v>39.059999999999995</v>
      </c>
      <c r="AL12" t="s">
        <v>1091</v>
      </c>
      <c r="AM12">
        <f>1.37*SQRT((AK10*Vigas!$D$6)/Vigas!$D$9)</f>
        <v>73.2295802840043</v>
      </c>
      <c r="AO12" t="str">
        <f>IF(AJ10&gt;AM12,"Cumple","No cumple")</f>
        <v>No cumple</v>
      </c>
      <c r="AP12" s="105">
        <f>(1.51*AK10*Vigas!$D$6)/(((AH10/AI10)^2)*Vigas!$D$9)</f>
        <v>21.953003174603168</v>
      </c>
      <c r="AR12">
        <f>((0.6*Vigas!$D$9*AQ10*AP12)/1000)*2</f>
        <v>14798.519439999996</v>
      </c>
    </row>
    <row r="13" spans="1:44" ht="200.1" customHeight="1" x14ac:dyDescent="0.25">
      <c r="L13" s="83" t="s">
        <v>979</v>
      </c>
      <c r="M13" s="82"/>
      <c r="N13">
        <v>1</v>
      </c>
      <c r="O13">
        <v>1</v>
      </c>
      <c r="P13">
        <v>0</v>
      </c>
      <c r="U13" s="134"/>
    </row>
    <row r="14" spans="1:44" ht="200.1" customHeight="1" x14ac:dyDescent="0.25">
      <c r="L14" s="83" t="s">
        <v>977</v>
      </c>
      <c r="M14" s="82"/>
      <c r="N14">
        <v>1</v>
      </c>
      <c r="O14">
        <v>1</v>
      </c>
      <c r="P14">
        <v>0</v>
      </c>
    </row>
    <row r="15" spans="1:44" ht="200.1" customHeight="1" x14ac:dyDescent="0.25">
      <c r="L15" s="83" t="s">
        <v>980</v>
      </c>
      <c r="M15" s="82"/>
      <c r="N15">
        <v>1</v>
      </c>
      <c r="O15">
        <v>1</v>
      </c>
      <c r="P15">
        <v>0</v>
      </c>
    </row>
    <row r="16" spans="1:44" ht="200.1" customHeight="1" x14ac:dyDescent="0.25">
      <c r="L16" s="83" t="s">
        <v>981</v>
      </c>
      <c r="M16" s="82"/>
      <c r="N16">
        <v>1</v>
      </c>
      <c r="O16">
        <v>0</v>
      </c>
      <c r="P16">
        <v>1</v>
      </c>
    </row>
    <row r="17" spans="12:16" ht="200.1" customHeight="1" x14ac:dyDescent="0.25">
      <c r="L17" s="83" t="s">
        <v>982</v>
      </c>
      <c r="M17" s="82"/>
      <c r="N17">
        <v>1</v>
      </c>
      <c r="O17">
        <v>0</v>
      </c>
      <c r="P17">
        <v>1</v>
      </c>
    </row>
    <row r="18" spans="12:16" ht="200.1" customHeight="1" x14ac:dyDescent="0.25">
      <c r="L18" s="83" t="s">
        <v>589</v>
      </c>
      <c r="M18" s="82"/>
      <c r="N18">
        <v>1</v>
      </c>
      <c r="O18">
        <v>0</v>
      </c>
      <c r="P18">
        <v>0</v>
      </c>
    </row>
    <row r="19" spans="12:16" ht="200.1" customHeight="1" x14ac:dyDescent="0.25">
      <c r="L19" s="83" t="s">
        <v>590</v>
      </c>
      <c r="M19" s="82"/>
      <c r="N19">
        <v>1</v>
      </c>
      <c r="O19">
        <v>0</v>
      </c>
      <c r="P19">
        <v>0</v>
      </c>
    </row>
    <row r="20" spans="12:16" ht="200.1" customHeight="1" x14ac:dyDescent="0.25">
      <c r="L20" s="83" t="s">
        <v>591</v>
      </c>
      <c r="M20" s="82"/>
      <c r="N20">
        <v>1</v>
      </c>
      <c r="O20">
        <v>0</v>
      </c>
      <c r="P20">
        <v>0</v>
      </c>
    </row>
  </sheetData>
  <mergeCells count="23">
    <mergeCell ref="AG1:AR1"/>
    <mergeCell ref="L6:M6"/>
    <mergeCell ref="N6:P6"/>
    <mergeCell ref="R8:V8"/>
    <mergeCell ref="G1:J1"/>
    <mergeCell ref="R1:V1"/>
    <mergeCell ref="R2:S2"/>
    <mergeCell ref="AR2:AR3"/>
    <mergeCell ref="AG2:AG3"/>
    <mergeCell ref="AK2:AK3"/>
    <mergeCell ref="AH2:AH3"/>
    <mergeCell ref="AI2:AI3"/>
    <mergeCell ref="AL2:AL3"/>
    <mergeCell ref="AJ2:AJ3"/>
    <mergeCell ref="AP2:AP3"/>
    <mergeCell ref="AQ2:AQ3"/>
    <mergeCell ref="R9:S9"/>
    <mergeCell ref="R10:S10"/>
    <mergeCell ref="R11:S11"/>
    <mergeCell ref="R12:S12"/>
    <mergeCell ref="R3:S3"/>
    <mergeCell ref="R4:S4"/>
    <mergeCell ref="R5:S5"/>
  </mergeCell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BC20"/>
  <sheetViews>
    <sheetView topLeftCell="AQ1" zoomScale="70" zoomScaleNormal="70" workbookViewId="0">
      <selection activeCell="M10" sqref="M10"/>
    </sheetView>
  </sheetViews>
  <sheetFormatPr baseColWidth="10" defaultColWidth="11.42578125" defaultRowHeight="15" x14ac:dyDescent="0.25"/>
  <cols>
    <col min="1" max="1" width="4" bestFit="1" customWidth="1"/>
    <col min="3" max="3" width="14.42578125" bestFit="1" customWidth="1"/>
    <col min="5" max="5" width="23.140625" bestFit="1" customWidth="1"/>
    <col min="7" max="7" width="27.140625" bestFit="1" customWidth="1"/>
    <col min="8" max="8" width="22.5703125" customWidth="1"/>
    <col min="12" max="12" width="27.85546875" bestFit="1" customWidth="1"/>
    <col min="13" max="13" width="35.28515625" customWidth="1"/>
    <col min="14" max="14" width="14.5703125" customWidth="1"/>
    <col min="16" max="16" width="14.28515625" customWidth="1"/>
    <col min="17" max="17" width="16.28515625" bestFit="1" customWidth="1"/>
    <col min="20" max="20" width="11.42578125" customWidth="1"/>
    <col min="24" max="24" width="15.42578125" customWidth="1"/>
    <col min="25" max="25" width="21.7109375" customWidth="1"/>
    <col min="28" max="28" width="17.5703125" bestFit="1" customWidth="1"/>
    <col min="33" max="33" width="27.85546875" bestFit="1" customWidth="1"/>
    <col min="34" max="35" width="7.85546875" customWidth="1"/>
    <col min="47" max="47" width="18.7109375" bestFit="1" customWidth="1"/>
    <col min="51" max="51" width="21.42578125" style="209" bestFit="1" customWidth="1"/>
    <col min="52" max="52" width="18.7109375" style="154" customWidth="1"/>
    <col min="53" max="53" width="34.42578125" bestFit="1" customWidth="1"/>
    <col min="55" max="55" width="15.42578125" bestFit="1" customWidth="1"/>
  </cols>
  <sheetData>
    <row r="1" spans="1:55" ht="26.25" customHeight="1" thickBot="1" x14ac:dyDescent="0.3">
      <c r="A1" s="189" t="s">
        <v>73</v>
      </c>
      <c r="B1" s="189"/>
      <c r="C1" s="189" t="s">
        <v>74</v>
      </c>
      <c r="D1" s="189"/>
      <c r="E1" s="189" t="s">
        <v>75</v>
      </c>
      <c r="F1" s="189"/>
      <c r="G1" s="675" t="s">
        <v>231</v>
      </c>
      <c r="H1" s="676"/>
      <c r="I1" s="676"/>
      <c r="J1" s="677"/>
      <c r="L1" s="79"/>
      <c r="M1" s="79"/>
      <c r="N1" s="79"/>
      <c r="R1" s="669" t="s">
        <v>1001</v>
      </c>
      <c r="S1" s="670"/>
      <c r="T1" s="670"/>
      <c r="U1" s="670"/>
      <c r="V1" s="670"/>
      <c r="X1" t="s">
        <v>1009</v>
      </c>
      <c r="AB1" s="151" t="s">
        <v>1059</v>
      </c>
      <c r="AC1" s="152" t="s">
        <v>1060</v>
      </c>
      <c r="AD1" s="153" t="s">
        <v>1061</v>
      </c>
      <c r="AG1" s="679" t="s">
        <v>1081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1"/>
      <c r="AT1" t="s">
        <v>1108</v>
      </c>
      <c r="BA1" s="154" t="str">
        <f>CONCATENATE(Riostras!A36,Riostras!E38)</f>
        <v>VigaTorsional-Nodal</v>
      </c>
      <c r="BB1" s="210"/>
      <c r="BC1" s="210"/>
    </row>
    <row r="2" spans="1:55" ht="45" x14ac:dyDescent="0.35">
      <c r="A2" s="189">
        <v>250</v>
      </c>
      <c r="B2" s="189"/>
      <c r="C2" s="189" t="s">
        <v>76</v>
      </c>
      <c r="D2" s="189"/>
      <c r="E2" s="189" t="s">
        <v>77</v>
      </c>
      <c r="F2" s="189"/>
      <c r="G2" s="52" t="s">
        <v>225</v>
      </c>
      <c r="H2" s="53"/>
      <c r="I2" s="54" t="s">
        <v>228</v>
      </c>
      <c r="J2" s="55" t="s">
        <v>229</v>
      </c>
      <c r="R2" s="663" t="s">
        <v>207</v>
      </c>
      <c r="S2" s="663"/>
      <c r="T2" s="188" t="s">
        <v>1016</v>
      </c>
      <c r="U2" s="188" t="s">
        <v>1004</v>
      </c>
      <c r="V2" s="188" t="s">
        <v>1002</v>
      </c>
      <c r="X2" s="26"/>
      <c r="Y2" s="100" t="s">
        <v>1010</v>
      </c>
      <c r="Z2" s="192" t="s">
        <v>1008</v>
      </c>
      <c r="AB2" s="159" t="s">
        <v>1063</v>
      </c>
      <c r="AC2" s="154">
        <v>6.4</v>
      </c>
      <c r="AD2" s="155">
        <v>32</v>
      </c>
      <c r="AG2" s="682" t="s">
        <v>207</v>
      </c>
      <c r="AH2" s="683" t="s">
        <v>195</v>
      </c>
      <c r="AI2" s="683" t="s">
        <v>96</v>
      </c>
      <c r="AJ2" s="683" t="s">
        <v>1082</v>
      </c>
      <c r="AK2" s="683" t="s">
        <v>1078</v>
      </c>
      <c r="AL2" s="683" t="s">
        <v>1083</v>
      </c>
      <c r="AM2" s="154" t="s">
        <v>1084</v>
      </c>
      <c r="AN2" s="154"/>
      <c r="AO2" s="201" t="s">
        <v>1087</v>
      </c>
      <c r="AP2" s="683" t="s">
        <v>1079</v>
      </c>
      <c r="AQ2" s="683" t="s">
        <v>1092</v>
      </c>
      <c r="AR2" s="684" t="s">
        <v>1093</v>
      </c>
      <c r="AT2" t="s">
        <v>1109</v>
      </c>
      <c r="AU2">
        <f>+(IF(Riostras!C3="TUBULAR_CIRCULAR",Riostras!C20,IF(Riostras!C3="TUBULAR_CUADRADO",Riostras!C22,Riostras!C21))-(Riostras!C23))</f>
        <v>83.5</v>
      </c>
      <c r="AY2" s="209" t="str">
        <f>+IF(Riostras!H6="Columna","Relativo",IF(Riostras!H6="Viga","Lateral-Relativo","Lateral-Relativo"))</f>
        <v>Lateral-Relativo</v>
      </c>
      <c r="BA2" s="154"/>
      <c r="BB2" s="154" t="s">
        <v>1118</v>
      </c>
      <c r="BC2" s="154" t="s">
        <v>1119</v>
      </c>
    </row>
    <row r="3" spans="1:55" ht="18" x14ac:dyDescent="0.35">
      <c r="A3" s="189">
        <v>350</v>
      </c>
      <c r="B3" s="189"/>
      <c r="C3" s="189" t="s">
        <v>78</v>
      </c>
      <c r="D3" s="189"/>
      <c r="E3" s="189" t="s">
        <v>220</v>
      </c>
      <c r="F3" s="189"/>
      <c r="G3" s="56" t="s">
        <v>77</v>
      </c>
      <c r="H3" s="57" t="s">
        <v>232</v>
      </c>
      <c r="I3" s="58">
        <f>0.38*SQRT(Riostras!D8/Riostras!D10)</f>
        <v>10.748023074035522</v>
      </c>
      <c r="J3" s="59">
        <f>0.3*SQRT(Riostras!D8/Riostras!D10)</f>
        <v>8.4852813742385695</v>
      </c>
      <c r="R3" s="663" t="s">
        <v>200</v>
      </c>
      <c r="S3" s="663"/>
      <c r="T3" s="101" t="e">
        <f>(SQRT((Riostras!C28)*(Riostras!#REF!))/(Riostras!#REF!))/10000</f>
        <v>#REF!</v>
      </c>
      <c r="U3" s="101" t="e">
        <f>((VLOOKUP(Riostras!E3,'Tabla Perfiles laminados'!A402:AC453,29,FALSE))/2)*SQRT(Riostras!C27/Riostras!#REF!)</f>
        <v>#N/A</v>
      </c>
      <c r="V3" s="101" t="e">
        <f>1.95*SQRT(T3)*(Riostras!$D$8/(0.7*Riostras!$D$10))*SQRT((Riostras!$C$31*U3)/(Riostras!#REF!*(VLOOKUP(Riostras!$E$3,'Tabla Perfiles laminados'!$A$426:$AC$453,29,FALSE))))*(SQRT(1+SQRT(1+(6.76*(((0.7*Riostras!$D$10*Riostras!#REF!*(VLOOKUP(Riostras!$E$3,'Tabla Perfiles laminados'!$A$426:$AC$453,29,FALSE)))/(Riostras!$D$8*Riostras!$C$31*U3))^2)))))</f>
        <v>#REF!</v>
      </c>
      <c r="X3" s="100" t="s">
        <v>1011</v>
      </c>
      <c r="Y3" s="26" t="s">
        <v>1007</v>
      </c>
      <c r="Z3" s="26" t="e">
        <f>Riostras!$D$13*(Riostras!#REF!/1000000)*Riostras!$D$10*1000</f>
        <v>#REF!</v>
      </c>
      <c r="AB3" s="159" t="s">
        <v>1064</v>
      </c>
      <c r="AC3" s="154">
        <v>9.5</v>
      </c>
      <c r="AD3" s="155">
        <v>71</v>
      </c>
      <c r="AG3" s="682"/>
      <c r="AH3" s="683"/>
      <c r="AI3" s="683"/>
      <c r="AJ3" s="683"/>
      <c r="AK3" s="683"/>
      <c r="AL3" s="683"/>
      <c r="AM3" s="154" t="s">
        <v>1085</v>
      </c>
      <c r="AN3" s="154" t="s">
        <v>1086</v>
      </c>
      <c r="AO3" s="201"/>
      <c r="AP3" s="683"/>
      <c r="AQ3" s="683"/>
      <c r="AR3" s="684"/>
      <c r="AT3" t="s">
        <v>1111</v>
      </c>
      <c r="AU3" s="105">
        <f>(1/Riostras!$D$13)*((2.4*(Riostras!H14*1000)*((Riostras!H10*1000000)^2))/(Riostras!H15*(Riostras!$D$8)*(Riostras!C28*(10000))*(Riostras!D15^2)))</f>
        <v>4113110.5398457581</v>
      </c>
      <c r="AY3" s="209" t="str">
        <f>+IF(Riostras!H6="Columna","Nodal",IF(Riostras!H6="Viga","Lateral-Nodal","Lateral-Nodal"))</f>
        <v>Lateral-Nodal</v>
      </c>
      <c r="BA3" s="154" t="s">
        <v>1129</v>
      </c>
      <c r="BB3" s="154">
        <f>0.004*Riostras!H8</f>
        <v>0</v>
      </c>
      <c r="BC3" s="156">
        <f>+((1/Riostras!D13)*((2*(Riostras!H8*1000))/(Riostras!H13*1000)))</f>
        <v>0</v>
      </c>
    </row>
    <row r="4" spans="1:55" ht="18" x14ac:dyDescent="0.35">
      <c r="A4" s="189"/>
      <c r="B4" s="189"/>
      <c r="C4" s="189" t="s">
        <v>79</v>
      </c>
      <c r="D4" s="189"/>
      <c r="E4" s="189" t="s">
        <v>218</v>
      </c>
      <c r="F4" s="189"/>
      <c r="G4" s="56"/>
      <c r="H4" s="57" t="s">
        <v>233</v>
      </c>
      <c r="I4" s="58">
        <f>IF(Riostras!D14&lt;=0.125,(3.76*SQRT(Riostras!D8/Riostras!D10)*(1-(2.75*Riostras!D14))),(IF((1.12*SQRT(Riostras!D8/Riostras!D10)*(2.33-Riostras!D14))&gt;=(1.49*SQRT(Riostras!D8/Riostras!D10)),(1.12*SQRT(Riostras!D8/Riostras!D10)*(2.33-Riostras!D14)),(1.49*SQRT(Riostras!D8/Riostras!D10)))))</f>
        <v>106.34885989045675</v>
      </c>
      <c r="J4" s="59">
        <f>IF(Riostras!D14&lt;=0.125,(2.45*SQRT(Riostras!D8/Riostras!D10)*(1-(0.95*Riostras!D14))),(IF((0.77*SQRT(Riostras!D8/Riostras!D10)*(2.93-Riostras!D14))&gt;=(1.49*SQRT(Riostras!D8/Riostras!D10)),(0.77*SQRT(Riostras!D8/Riostras!D10)*(2.93-Riostras!D14)),(1.49*SQRT(Riostras!D8/Riostras!D10)))))</f>
        <v>69.296464556281663</v>
      </c>
      <c r="R4" s="663" t="s">
        <v>1006</v>
      </c>
      <c r="S4" s="663"/>
      <c r="T4" s="101" t="e">
        <f>(SQRT(Riostras!C28*Riostras!#REF!)/Riostras!#REF!)/10000</f>
        <v>#REF!</v>
      </c>
      <c r="U4" s="101" t="e">
        <f>((VLOOKUP(Riostras!E3,'Tabla Perfiles laminados'!A402:AC453,29,FALSE))/2)*SQRT(Riostras!C27/Riostras!#REF!)</f>
        <v>#N/A</v>
      </c>
      <c r="V4" s="101" t="e">
        <f>1.95*SQRT(T4)*(Riostras!$D$8/(0.7*Riostras!$D$10))*SQRT((Riostras!$C$31*U4)/(Riostras!#REF!*(VLOOKUP(Riostras!$E$3,'Tabla Perfiles laminados'!$A$402:$AC$425,29,FALSE))))*(SQRT(1+SQRT(1+(6.76*(((0.7*Riostras!$D$10*Riostras!#REF!*(VLOOKUP(Riostras!$E$3,'Tabla Perfiles laminados'!$A$402:$AC$425,29,FALSE)))/(Riostras!$D$8*Riostras!$C$31*U4))^2)))))</f>
        <v>#REF!</v>
      </c>
      <c r="X4" s="102" t="s">
        <v>1012</v>
      </c>
      <c r="Y4" s="26" t="s">
        <v>1014</v>
      </c>
      <c r="Z4" s="29" t="e">
        <f>Riostras!D15*(Riostras!$D$13*(Z3-((Z3-(0.7*Riostras!$D$10*1000*Riostras!#REF!/1000000))*((Riostras!H13-(Riostras!#REF!/100))/((Riostras!H18-Riostras!#REF!))/100))))</f>
        <v>#REF!</v>
      </c>
      <c r="AB4" s="159" t="s">
        <v>1065</v>
      </c>
      <c r="AC4" s="154">
        <v>12.7</v>
      </c>
      <c r="AD4" s="155">
        <v>129</v>
      </c>
      <c r="AG4" s="202" t="s">
        <v>77</v>
      </c>
      <c r="AH4" s="154">
        <f>+Riostras!C21</f>
        <v>92</v>
      </c>
      <c r="AI4" s="154">
        <f>+Riostras!C24</f>
        <v>5.5</v>
      </c>
      <c r="AJ4" s="156">
        <f>+AH4/AI4</f>
        <v>16.727272727272727</v>
      </c>
      <c r="AK4" s="156" t="e">
        <f>IF(Riostras!#REF!="no",5,(IF(OR((Riostras!$H$31/AH4)&gt;3,(Riostras!$H$31/AH4)&gt;(((260)/(AH4/AI4))^2)),5,(5+((5)/((Riostras!$H$31/AH4)^2))))))</f>
        <v>#REF!</v>
      </c>
      <c r="AL4" s="154" t="s">
        <v>1088</v>
      </c>
      <c r="AM4" s="154"/>
      <c r="AN4" s="154" t="e">
        <f>1.1*SQRT((AK4*Riostras!$D$8)/Riostras!$D$10)</f>
        <v>#REF!</v>
      </c>
      <c r="AO4" s="154" t="e">
        <f>IF(AJ4&lt;=AN4,"Cumple","No cumple")</f>
        <v>#REF!</v>
      </c>
      <c r="AP4" s="156">
        <v>1</v>
      </c>
      <c r="AQ4" s="154">
        <f>+AH4*AI4</f>
        <v>506</v>
      </c>
      <c r="AR4" s="203">
        <f>(0.6*Riostras!$D$10*AQ4*AP4)/1000</f>
        <v>75.900000000000006</v>
      </c>
      <c r="AT4" t="s">
        <v>1110</v>
      </c>
      <c r="AU4" s="105">
        <f>((3.3*Riostras!$D$8)/($AU$2))*((((1.5*($AU$2)*((IF(Riostras!C3="LAMINADO",Riostras!C24,Riostras!C23))^3))/(12))+IF(Riostras!H17="si",((Riostras!H18*(Riostras!H19^3))/(12)),0)))</f>
        <v>2648456476.4221554</v>
      </c>
      <c r="AV4" t="s">
        <v>1112</v>
      </c>
      <c r="AY4" s="209" t="str">
        <f>+IF(Riostras!H6="Columna","",IF(Riostras!H6="Viga","Torsional-Nodal","Relativo-Lateral N"))</f>
        <v>Torsional-Nodal</v>
      </c>
      <c r="BA4" s="154" t="s">
        <v>1130</v>
      </c>
      <c r="BB4" s="154">
        <f>0.01*Riostras!H8</f>
        <v>0</v>
      </c>
      <c r="BC4" s="156">
        <f>+((1/Riostras!D13)*((8*(Riostras!H8*1000))/(Riostras!H13*1000)))</f>
        <v>0</v>
      </c>
    </row>
    <row r="5" spans="1:55" ht="18" x14ac:dyDescent="0.35">
      <c r="A5" s="189"/>
      <c r="B5" s="189"/>
      <c r="C5" s="189"/>
      <c r="D5" s="189"/>
      <c r="E5" s="189" t="s">
        <v>219</v>
      </c>
      <c r="F5" s="189"/>
      <c r="G5" s="56" t="s">
        <v>226</v>
      </c>
      <c r="H5" s="57" t="s">
        <v>99</v>
      </c>
      <c r="I5" s="58">
        <f>1.12*SQRT(Riostras!D8/Riostras!D10)</f>
        <v>31.678383797157334</v>
      </c>
      <c r="J5" s="59">
        <f>0.55*SQRT(Riostras!D8/Riostras!D10)</f>
        <v>15.556349186104047</v>
      </c>
      <c r="R5" s="671" t="s">
        <v>1003</v>
      </c>
      <c r="S5" s="672"/>
      <c r="T5" s="103" t="e">
        <f>(SQRT((Riostras!C28/100^4)*(Riostras!#REF!/100^6))/(Riostras!#REF!/100^3))</f>
        <v>#REF!</v>
      </c>
      <c r="U5" s="188">
        <v>1</v>
      </c>
      <c r="V5" s="101" t="e">
        <f>1.95*SQRT(T5)*(Riostras!$D$8/(0.7*Riostras!$D$10))*SQRT((Riostras!$C$31*U5)/(Riostras!#REF!*(VLOOKUP(Riostras!$E$3,'Tabla Perfiles laminados'!$A$4:$AC$401,29,FALSE))))*(SQRT(1+SQRT(1+(6.76*(((0.7*Riostras!$D$10*Riostras!#REF!*(VLOOKUP(Riostras!$E$3,'Tabla Perfiles laminados'!$A$4:$AC$401,29,FALSE)))/(Riostras!$D$8*Riostras!$C$31*U5))^2)))))</f>
        <v>#REF!</v>
      </c>
      <c r="X5" s="102" t="s">
        <v>1013</v>
      </c>
      <c r="Y5" s="26" t="s">
        <v>1015</v>
      </c>
      <c r="Z5" s="29" t="e">
        <f>Riostras!D13*(Riostras!#REF!/100^3)*((Riostras!D15*(PI()^2)*(Riostras!D8*1000))/((Riostras!H13)/SQRT('Datos genericos riostras'!T5))^2)*SQRT(1+(0.078*((Riostras!C31)/(Riostras!#REF!*74.59))*(((Riostras!H13)/(SQRT('Datos genericos riostras'!T5))))^2))</f>
        <v>#REF!</v>
      </c>
      <c r="AB5" s="159" t="s">
        <v>1066</v>
      </c>
      <c r="AC5" s="154">
        <v>15.9</v>
      </c>
      <c r="AD5" s="155">
        <v>199</v>
      </c>
      <c r="AG5" s="202"/>
      <c r="AH5" s="154"/>
      <c r="AI5" s="154"/>
      <c r="AJ5" s="154"/>
      <c r="AK5" s="154"/>
      <c r="AL5" s="154" t="s">
        <v>1089</v>
      </c>
      <c r="AM5" s="154" t="e">
        <f>1.1*SQRT((AK4*Riostras!$D$8)/Riostras!$D$10)</f>
        <v>#REF!</v>
      </c>
      <c r="AN5" s="154" t="e">
        <f>1.37*SQRT((AK4*Riostras!$D$8)/Riostras!$D$10)</f>
        <v>#REF!</v>
      </c>
      <c r="AO5" s="154" t="e">
        <f>IF(AND(AM5&lt;AJ4,AJ4&lt;=AN5),"Cumple","No cumple")</f>
        <v>#REF!</v>
      </c>
      <c r="AP5" s="156" t="e">
        <f>(1.1*(SQRT((AK4*Riostras!$D$8)/(Riostras!$D$10)))/(AH4/AI4))</f>
        <v>#REF!</v>
      </c>
      <c r="AQ5" s="154"/>
      <c r="AR5" s="203" t="e">
        <f>(0.6*Riostras!$D$10*AQ4*AP5)/1000</f>
        <v>#REF!</v>
      </c>
      <c r="AT5" t="s">
        <v>1114</v>
      </c>
      <c r="AU5" s="105">
        <f>(3.3*(Riostras!D8)*((IF(Riostras!C3="LAMINADO",Riostras!C24,Riostras!C23))^3))/(12*AU2)</f>
        <v>109588.32335329341</v>
      </c>
      <c r="AV5" t="s">
        <v>1113</v>
      </c>
      <c r="AY5" s="209" t="str">
        <f>+IF(Riostras!H6="Columna","",IF(Riostras!H6="Viga","Torsional-Continuo","Nodal-Laterar R"))</f>
        <v>Torsional-Continuo</v>
      </c>
      <c r="BA5" t="s">
        <v>1190</v>
      </c>
      <c r="BB5" s="105">
        <f>+(0.008*Riostras!H10*Riostras!D16)/(AU2/1000)</f>
        <v>4.7904191616766463</v>
      </c>
      <c r="BC5" s="105">
        <f>+((1/Riostras!D13)*((4*(Riostras!H10*1000000)*Riostras!D16)/((Riostras!H13*1000)*AU2)))</f>
        <v>6387.2255489021954</v>
      </c>
    </row>
    <row r="6" spans="1:55" ht="15.75" thickBot="1" x14ac:dyDescent="0.3">
      <c r="G6" s="60" t="s">
        <v>227</v>
      </c>
      <c r="H6" s="61" t="s">
        <v>98</v>
      </c>
      <c r="I6" s="62">
        <f>0.07*(Riostras!D8/Riostras!D10)</f>
        <v>56.000000000000007</v>
      </c>
      <c r="J6" s="63">
        <f>0.038*(Riostras!D8/Riostras!D10)</f>
        <v>30.4</v>
      </c>
      <c r="L6" s="678" t="str">
        <f>IF(Riostras!C3="LAMINADO",MID(Riostras!E3,1,4),(IF(Riostras!C3="TUBULAR_CIRCULAR","T. CIRCULAR",(IF(Riostras!C3="TUBULAR_CUADRADO","T. CUADRADO","T. RECTANGULAR")))))</f>
        <v>IPBI</v>
      </c>
      <c r="M6" s="678"/>
      <c r="N6" s="674" t="s">
        <v>983</v>
      </c>
      <c r="O6" s="674"/>
      <c r="P6" s="674"/>
      <c r="U6" s="189"/>
      <c r="AB6" s="159" t="s">
        <v>1067</v>
      </c>
      <c r="AC6" s="154">
        <v>19.100000000000001</v>
      </c>
      <c r="AD6" s="155">
        <v>284</v>
      </c>
      <c r="AG6" s="202"/>
      <c r="AH6" s="154"/>
      <c r="AI6" s="154"/>
      <c r="AJ6" s="154"/>
      <c r="AK6" s="154"/>
      <c r="AL6" s="154" t="s">
        <v>1089</v>
      </c>
      <c r="AM6" s="154" t="e">
        <f>1.37*SQRT((AK4*Riostras!$D$8)/Riostras!$D$10)</f>
        <v>#REF!</v>
      </c>
      <c r="AN6" s="154"/>
      <c r="AO6" s="154" t="e">
        <f>IF(AJ4&gt;AM6,"Cumple","No cumple")</f>
        <v>#REF!</v>
      </c>
      <c r="AP6" s="156" t="e">
        <f>(1.51*AK4*Riostras!$D$8)/(((AH4/AI4)^2)*Riostras!$D$10)</f>
        <v>#REF!</v>
      </c>
      <c r="AQ6" s="154"/>
      <c r="AR6" s="203" t="e">
        <f>(0.6*Riostras!$D$10*AQ4*AP6)/1000</f>
        <v>#REF!</v>
      </c>
      <c r="AY6" s="209" t="str">
        <f>+IF(Riostras!H6="Columna","",IF(Riostras!H6="Viga","","Relativo-Torsional N"))</f>
        <v/>
      </c>
      <c r="BA6" t="s">
        <v>1191</v>
      </c>
      <c r="BB6" s="105">
        <f>+((0.02*Riostras!H10*Riostras!D16)/(AU2/1000))</f>
        <v>11.976047904191615</v>
      </c>
      <c r="BC6">
        <f>+((1/Riostras!D13)*((10*(Riostras!H10*1000000)*Riostras!D16)/((Riostras!H13*1000)*AU2)))</f>
        <v>15968.063872255489</v>
      </c>
    </row>
    <row r="7" spans="1:55" x14ac:dyDescent="0.25">
      <c r="L7" s="82" t="s">
        <v>225</v>
      </c>
      <c r="M7" s="82" t="s">
        <v>586</v>
      </c>
      <c r="N7" t="s">
        <v>984</v>
      </c>
      <c r="O7" t="s">
        <v>985</v>
      </c>
      <c r="P7" t="s">
        <v>986</v>
      </c>
      <c r="AA7" s="105"/>
      <c r="AB7" s="159" t="s">
        <v>1068</v>
      </c>
      <c r="AC7" s="156">
        <v>22.2</v>
      </c>
      <c r="AD7" s="155">
        <v>387</v>
      </c>
      <c r="AG7" s="202" t="s">
        <v>219</v>
      </c>
      <c r="AH7" s="154">
        <f>+Riostras!C21</f>
        <v>92</v>
      </c>
      <c r="AI7" s="154">
        <f>+Riostras!C23</f>
        <v>8.5</v>
      </c>
      <c r="AJ7" s="156">
        <f>+AH7/AI7</f>
        <v>10.823529411764707</v>
      </c>
      <c r="AK7" s="156" t="e">
        <f>IF(Riostras!#REF!="no",5,(IF(OR((Riostras!$H$31/AH7)&gt;3,(Riostras!$H$31/AH7)&gt;(((260)/(AH7/AI7))^2)),5,(5+((5)/((Riostras!$H$31/AH7)^2))))))</f>
        <v>#REF!</v>
      </c>
      <c r="AL7" s="154" t="s">
        <v>1088</v>
      </c>
      <c r="AM7" s="154"/>
      <c r="AN7" s="154" t="e">
        <f>1.1*SQRT((AK7*Riostras!$D$8)/Riostras!$D$10)</f>
        <v>#REF!</v>
      </c>
      <c r="AO7" s="154" t="e">
        <f>IF(AJ7&lt;=AN7,"Cumple","No cumple")</f>
        <v>#REF!</v>
      </c>
      <c r="AP7" s="156">
        <v>1</v>
      </c>
      <c r="AQ7" s="154">
        <f>+AH7*AI7</f>
        <v>782</v>
      </c>
      <c r="AR7" s="203">
        <f>((0.6*Riostras!$D$10*AQ7*AP7)/1000)*2</f>
        <v>234.6</v>
      </c>
      <c r="AY7" s="209" t="str">
        <f>+IF(Riostras!H6="Columna","",IF(Riostras!H6="Viga","","Nodal-Torsional N"))</f>
        <v/>
      </c>
      <c r="BA7" t="s">
        <v>1192</v>
      </c>
      <c r="BB7" s="105">
        <f>+((0.024*Riostras!H10*Riostras!H14)/(Riostras!H15*Riostras!D15*Riostras!H13))</f>
        <v>0.96</v>
      </c>
      <c r="BC7">
        <f>+((AU3)/(1-(AU3/AU4)))</f>
        <v>4119508.2257632772</v>
      </c>
    </row>
    <row r="8" spans="1:55" ht="200.1" customHeight="1" x14ac:dyDescent="0.25">
      <c r="L8" s="83" t="s">
        <v>975</v>
      </c>
      <c r="M8" s="82"/>
      <c r="N8">
        <v>1</v>
      </c>
      <c r="O8">
        <v>1</v>
      </c>
      <c r="P8">
        <v>0</v>
      </c>
      <c r="R8" s="669" t="s">
        <v>1001</v>
      </c>
      <c r="S8" s="670"/>
      <c r="T8" s="670"/>
      <c r="U8" s="670"/>
      <c r="V8" s="670"/>
      <c r="AB8" s="159" t="s">
        <v>1069</v>
      </c>
      <c r="AC8" s="157">
        <v>25.4</v>
      </c>
      <c r="AD8" s="158">
        <v>510</v>
      </c>
      <c r="AG8" s="202"/>
      <c r="AH8" s="154"/>
      <c r="AI8" s="154"/>
      <c r="AJ8" s="154"/>
      <c r="AK8" s="154"/>
      <c r="AL8" s="154" t="s">
        <v>1089</v>
      </c>
      <c r="AM8" s="154" t="e">
        <f>1.1*SQRT((AK7*Riostras!$D$8)/Riostras!$D$10)</f>
        <v>#REF!</v>
      </c>
      <c r="AN8" s="154" t="e">
        <f>1.37*SQRT((AK7*Riostras!$D$8)/Riostras!$D$10)</f>
        <v>#REF!</v>
      </c>
      <c r="AO8" s="154" t="e">
        <f>IF(AND(AM8&lt;AJ7,AJ7&lt;=AN8),"Cumple","No cumple")</f>
        <v>#REF!</v>
      </c>
      <c r="AP8" s="156" t="e">
        <f>(1.1*(SQRT((AK7*Riostras!$D$8)/(Riostras!$D$10)))/(AH7/AI7))</f>
        <v>#REF!</v>
      </c>
      <c r="AQ8" s="154"/>
      <c r="AR8" s="203" t="e">
        <f>((0.6*Riostras!$D$10*AQ7*AP8)/1000)*2</f>
        <v>#REF!</v>
      </c>
      <c r="AY8" s="209" t="str">
        <f>+IF(Riostras!H6="Columna","",IF(Riostras!H6="Viga","","Relativo-Torsional C"))</f>
        <v/>
      </c>
      <c r="BA8" s="215" t="s">
        <v>1193</v>
      </c>
      <c r="BB8" s="105">
        <f>+((0.024*Riostras!H10)/(Riostras!D15*Riostras!H13))</f>
        <v>2.4</v>
      </c>
      <c r="BC8">
        <f>+((AU3)/(1-(AU3/AU5)))</f>
        <v>-112588.08205724478</v>
      </c>
    </row>
    <row r="9" spans="1:55" ht="200.1" customHeight="1" x14ac:dyDescent="0.25">
      <c r="L9" s="83" t="s">
        <v>976</v>
      </c>
      <c r="M9" s="82"/>
      <c r="N9">
        <v>1</v>
      </c>
      <c r="O9">
        <v>1</v>
      </c>
      <c r="P9">
        <v>0</v>
      </c>
      <c r="R9" s="663" t="s">
        <v>207</v>
      </c>
      <c r="S9" s="663"/>
      <c r="T9" s="188" t="s">
        <v>1016</v>
      </c>
      <c r="U9" s="188" t="s">
        <v>1004</v>
      </c>
      <c r="V9" s="188" t="s">
        <v>1002</v>
      </c>
      <c r="X9" s="26"/>
      <c r="Y9" s="100" t="s">
        <v>1010</v>
      </c>
      <c r="Z9" s="192" t="s">
        <v>1008</v>
      </c>
      <c r="AG9" s="202"/>
      <c r="AH9" s="154"/>
      <c r="AI9" s="154"/>
      <c r="AJ9" s="154"/>
      <c r="AK9" s="154"/>
      <c r="AL9" s="154" t="s">
        <v>1091</v>
      </c>
      <c r="AM9" s="154" t="e">
        <f>1.37*SQRT((AK7*Riostras!$D$8)/Riostras!$D$10)</f>
        <v>#REF!</v>
      </c>
      <c r="AN9" s="154"/>
      <c r="AO9" s="154" t="e">
        <f>IF(AJ7&gt;AM9,"Cumple","No cumple")</f>
        <v>#REF!</v>
      </c>
      <c r="AP9" s="156" t="e">
        <f>(1.51*AK7*Riostras!$D$8)/(((AH7/AI7)^2)*Riostras!$D$10)</f>
        <v>#REF!</v>
      </c>
      <c r="AQ9" s="154"/>
      <c r="AR9" s="203" t="e">
        <f>((0.6*Riostras!$D$10*AQ7*AP9)/1000)*2</f>
        <v>#REF!</v>
      </c>
      <c r="AY9" s="209" t="str">
        <f>+IF(Riostras!H6="Columna","",IF(Riostras!H6="Viga","","Nodal-Torsional C"))</f>
        <v/>
      </c>
      <c r="BA9" s="215" t="s">
        <v>1120</v>
      </c>
      <c r="BB9" s="105">
        <f>+BB3+BB5</f>
        <v>4.7904191616766463</v>
      </c>
      <c r="BC9" s="105">
        <f>+BC3+BC5</f>
        <v>6387.2255489021954</v>
      </c>
    </row>
    <row r="10" spans="1:55" ht="200.1" customHeight="1" x14ac:dyDescent="0.25">
      <c r="L10" s="83" t="s">
        <v>587</v>
      </c>
      <c r="M10" s="82"/>
      <c r="N10">
        <v>1</v>
      </c>
      <c r="O10">
        <v>1</v>
      </c>
      <c r="P10">
        <v>0</v>
      </c>
      <c r="R10" s="663" t="s">
        <v>200</v>
      </c>
      <c r="S10" s="663"/>
      <c r="T10" s="101" t="e">
        <f>(SQRT((Riostras!C28)*(Riostras!#REF!))/(Riostras!#REF!))/10000</f>
        <v>#REF!</v>
      </c>
      <c r="U10" s="101" t="e">
        <f>((VLOOKUP(Riostras!E3,'Tabla Perfiles laminados'!A402:AC453,29,FALSE))/2)*SQRT(Riostras!C28/Riostras!#REF!)</f>
        <v>#N/A</v>
      </c>
      <c r="V10" s="101" t="e">
        <f>1.95*SQRT(T10)*(Riostras!$D$8/(0.7*Riostras!$D$10))*SQRT((Riostras!$C$31*U10)/(Riostras!#REF!*(VLOOKUP(Riostras!$E$3,'Tabla Perfiles laminados'!$A$426:$AC$453,29,FALSE))))*(SQRT(1+SQRT(1+(6.76*(((0.7*Riostras!$D$10*Riostras!#REF!*(VLOOKUP(Riostras!$E$3,'Tabla Perfiles laminados'!$A$426:$AC$453,29,FALSE)))/(Riostras!$D$8*Riostras!$C$31*U10))^2)))))</f>
        <v>#REF!</v>
      </c>
      <c r="X10" s="131" t="s">
        <v>1011</v>
      </c>
      <c r="Y10" s="132" t="s">
        <v>1007</v>
      </c>
      <c r="Z10" s="132" t="e">
        <f>IF((Riostras!$D$13*Riostras!#REF!/1000000*Riostras!$D$10*1000)&lt;=(1.6*Riostras!$D$10*1000*Riostras!#REF!/1000000),(Riostras!$D$13*Riostras!#REF!/1000000*Riostras!$D$10*1000),(1.6*Riostras!$D$10*1000*Riostras!#REF!/1000000))</f>
        <v>#REF!</v>
      </c>
      <c r="AG10" s="202" t="s">
        <v>218</v>
      </c>
      <c r="AH10" s="154">
        <f>+Riostras!C22</f>
        <v>140</v>
      </c>
      <c r="AI10" s="154">
        <f>+Riostras!C23</f>
        <v>8.5</v>
      </c>
      <c r="AJ10" s="156">
        <f>+AH10/AI10</f>
        <v>16.470588235294116</v>
      </c>
      <c r="AK10" s="156" t="e">
        <f>IF(Riostras!#REF!="no",5,(IF(OR((Riostras!$H$31/AH10)&gt;3,(Riostras!$H$31/AH10)&gt;(((260)/(AH10/AI10))^2)),5,(5+((5)/((Riostras!$H$31/AH10)^2))))))</f>
        <v>#REF!</v>
      </c>
      <c r="AL10" s="154" t="s">
        <v>1088</v>
      </c>
      <c r="AM10" s="154"/>
      <c r="AN10" s="154" t="e">
        <f>1.1*SQRT((AK10*Riostras!$D$8)/Riostras!$D$10)</f>
        <v>#REF!</v>
      </c>
      <c r="AO10" s="154" t="e">
        <f>IF(AJ10&lt;=AN10,"Cumple","No cumple")</f>
        <v>#REF!</v>
      </c>
      <c r="AP10" s="156">
        <v>1</v>
      </c>
      <c r="AQ10" s="154">
        <f>+AH10*AI10</f>
        <v>1190</v>
      </c>
      <c r="AR10" s="203">
        <f>((0.6*Riostras!$D$10*AQ10*AP10)/1000)*2</f>
        <v>357</v>
      </c>
      <c r="BA10" s="215" t="s">
        <v>1121</v>
      </c>
      <c r="BB10" s="105">
        <f>+BB4+BB6</f>
        <v>11.976047904191615</v>
      </c>
      <c r="BC10" s="105">
        <f>+BC4+BC6</f>
        <v>15968.063872255489</v>
      </c>
    </row>
    <row r="11" spans="1:55" ht="200.1" customHeight="1" x14ac:dyDescent="0.25">
      <c r="L11" s="83" t="s">
        <v>588</v>
      </c>
      <c r="M11" s="82"/>
      <c r="N11">
        <v>1</v>
      </c>
      <c r="O11">
        <v>1</v>
      </c>
      <c r="P11">
        <v>0</v>
      </c>
      <c r="R11" s="663" t="s">
        <v>1006</v>
      </c>
      <c r="S11" s="663"/>
      <c r="T11" s="101" t="e">
        <f>(SQRT((Riostras!C28)*(Riostras!#REF!))/(Riostras!#REF!))/10000</f>
        <v>#REF!</v>
      </c>
      <c r="U11" s="101" t="e">
        <f>((VLOOKUP(Riostras!E3,'Tabla Perfiles laminados'!A402:AC453,29,FALSE))/2)*SQRT(Riostras!C28/Riostras!#REF!)</f>
        <v>#N/A</v>
      </c>
      <c r="V11" s="101" t="e">
        <f>1.95*SQRT(T11)*(Riostras!$D$8/(0.7*Riostras!$D$10))*SQRT((Riostras!$C$31*U11)/(Riostras!#REF!*(VLOOKUP(Riostras!$E$3,'Tabla Perfiles laminados'!$A$402:$AC$425,29,FALSE))))*(SQRT(1+SQRT(1+(6.76*(((0.7*Riostras!$D$10*Riostras!#REF!*(VLOOKUP(Riostras!$E$3,'Tabla Perfiles laminados'!$A$402:$AC$425,29,FALSE)))/(Riostras!$D$8*Riostras!$C$31*U11))^2)))))</f>
        <v>#REF!</v>
      </c>
      <c r="X11" s="132" t="s">
        <v>1012</v>
      </c>
      <c r="Y11" s="132" t="s">
        <v>1014</v>
      </c>
      <c r="Z11" s="132" t="e">
        <f>IF((Riostras!$D$13*Riostras!#REF!/1000000*Riostras!$D$10*1000)&lt;=(1.6*Riostras!$D$10*1000*Riostras!#REF!/1000000),(Riostras!$D$13*Riostras!#REF!/1000000*Riostras!$D$10*1000),(1.6*Riostras!$D$10*1000*Riostras!#REF!/1000000))</f>
        <v>#REF!</v>
      </c>
      <c r="AG11" s="202"/>
      <c r="AH11" s="154"/>
      <c r="AI11" s="154"/>
      <c r="AJ11" s="154"/>
      <c r="AK11" s="154"/>
      <c r="AL11" s="154" t="s">
        <v>1089</v>
      </c>
      <c r="AM11" s="154" t="e">
        <f>1.1*SQRT((AK10*Riostras!$D$8)/Riostras!$D$10)</f>
        <v>#REF!</v>
      </c>
      <c r="AN11" s="154" t="e">
        <f>1.37*SQRT((AK10*Riostras!$D$8)/Riostras!$D$10)</f>
        <v>#REF!</v>
      </c>
      <c r="AO11" s="154" t="e">
        <f>IF(AND(AM11&lt;AJ10,AJ10&lt;=AN11),"Cumple","No cumple")</f>
        <v>#REF!</v>
      </c>
      <c r="AP11" s="156" t="e">
        <f>(1.1*(SQRT((AK10*Riostras!$D$8)/(Riostras!$D$10)))/(AH10/AI10))</f>
        <v>#REF!</v>
      </c>
      <c r="AQ11" s="154"/>
      <c r="AR11" s="203" t="e">
        <f>((0.6*Riostras!$D$10*AQ10*AP11)/1000)*2</f>
        <v>#REF!</v>
      </c>
      <c r="BA11" s="215" t="s">
        <v>1124</v>
      </c>
      <c r="BB11" s="105">
        <f>+MAX(BB9,BB10,(BB3+BB6),(BB4+BB5))</f>
        <v>11.976047904191615</v>
      </c>
      <c r="BC11" s="105">
        <f>+MAX(BC9,BC10,(BC3+BC6),(BC4+BC5))</f>
        <v>15968.063872255489</v>
      </c>
    </row>
    <row r="12" spans="1:55" ht="200.1" customHeight="1" thickBot="1" x14ac:dyDescent="0.3">
      <c r="L12" s="83" t="s">
        <v>978</v>
      </c>
      <c r="M12" s="82"/>
      <c r="N12">
        <v>1</v>
      </c>
      <c r="O12">
        <v>1</v>
      </c>
      <c r="P12">
        <v>0</v>
      </c>
      <c r="R12" s="671" t="s">
        <v>1003</v>
      </c>
      <c r="S12" s="672"/>
      <c r="T12" s="103" t="e">
        <f>(SQRT((Riostras!C28)*(Riostras!#REF!))/(Riostras!#REF!))/10000</f>
        <v>#REF!</v>
      </c>
      <c r="U12" s="188">
        <v>1</v>
      </c>
      <c r="V12" s="101" t="e">
        <f>1.95*SQRT(T12)*(Riostras!$D$8/(0.7*Riostras!$D$10))*SQRT((Riostras!$C$31*U12)/(Riostras!#REF!*(VLOOKUP(Riostras!$E$3,'Tabla Perfiles laminados'!$A$4:$AC$401,29,FALSE))))*(SQRT(1+SQRT(1+(6.76*(((0.7*Riostras!$D$10*Riostras!#REF!*(VLOOKUP(Riostras!$E$3,'Tabla Perfiles laminados'!$A$4:$AC$401,29,FALSE)))/(Riostras!$D$8*Riostras!$C$31*U12))^2)))))</f>
        <v>#REF!</v>
      </c>
      <c r="X12" s="188" t="s">
        <v>1013</v>
      </c>
      <c r="Y12" s="188" t="s">
        <v>1015</v>
      </c>
      <c r="Z12" s="132" t="e">
        <f>IF((Riostras!$D$13*Riostras!#REF!/1000000*Riostras!$D$10*1000)&lt;=(1.6*Riostras!$D$10*1000*Riostras!#REF!/1000000),(Riostras!$D$13*Riostras!#REF!/1000000*Riostras!$D$10*1000),(1.6*Riostras!$D$10*1000*Riostras!#REF!/1000000))</f>
        <v>#REF!</v>
      </c>
      <c r="AG12" s="204"/>
      <c r="AH12" s="205"/>
      <c r="AI12" s="205"/>
      <c r="AJ12" s="205"/>
      <c r="AK12" s="205"/>
      <c r="AL12" s="205" t="s">
        <v>1091</v>
      </c>
      <c r="AM12" s="205" t="e">
        <f>1.37*SQRT((AK10*Riostras!$D$8)/Riostras!$D$10)</f>
        <v>#REF!</v>
      </c>
      <c r="AN12" s="205"/>
      <c r="AO12" s="205" t="e">
        <f>IF(AJ10&gt;AM12,"Cumple","No cumple")</f>
        <v>#REF!</v>
      </c>
      <c r="AP12" s="206" t="e">
        <f>(1.51*AK10*Riostras!$D$8)/(((AH10/AI10)^2)*Riostras!$D$10)</f>
        <v>#REF!</v>
      </c>
      <c r="AQ12" s="205"/>
      <c r="AR12" s="207" t="e">
        <f>((0.6*Riostras!$D$10*AQ10*AP12)/1000)*2</f>
        <v>#REF!</v>
      </c>
      <c r="BA12" s="215" t="s">
        <v>1197</v>
      </c>
      <c r="BB12" s="105">
        <f>+MAX(BB9,BB10,(BB3+BB6),(BB4+BB5))</f>
        <v>11.976047904191615</v>
      </c>
      <c r="BC12" s="105">
        <f>+MAX(BC9,BC10,(BC3+BC6),(BC4+BC5))</f>
        <v>15968.063872255489</v>
      </c>
    </row>
    <row r="13" spans="1:55" ht="200.1" customHeight="1" x14ac:dyDescent="0.25">
      <c r="L13" s="83" t="s">
        <v>979</v>
      </c>
      <c r="M13" s="82"/>
      <c r="N13">
        <v>1</v>
      </c>
      <c r="O13">
        <v>1</v>
      </c>
      <c r="P13">
        <v>0</v>
      </c>
      <c r="U13" s="189"/>
      <c r="BA13" s="215" t="s">
        <v>1198</v>
      </c>
      <c r="BB13" s="105">
        <f>+MAX((BB3+BB7),(BB3+BB8))</f>
        <v>2.4</v>
      </c>
      <c r="BC13" s="105">
        <f>+MAX((BC3+BC7),(BC3+BC8))</f>
        <v>4119508.2257632772</v>
      </c>
    </row>
    <row r="14" spans="1:55" ht="200.1" customHeight="1" x14ac:dyDescent="0.25">
      <c r="L14" s="83" t="s">
        <v>977</v>
      </c>
      <c r="M14" s="82"/>
      <c r="N14">
        <v>1</v>
      </c>
      <c r="O14">
        <v>1</v>
      </c>
      <c r="P14">
        <v>0</v>
      </c>
      <c r="BA14" s="215" t="s">
        <v>1125</v>
      </c>
      <c r="BB14" s="105">
        <f>+MAX((BB4+BB7),(BB4+BB8))</f>
        <v>2.4</v>
      </c>
      <c r="BC14" s="105">
        <f>+MAX((BC4+BC7),(BC4+BC8))</f>
        <v>4119508.2257632772</v>
      </c>
    </row>
    <row r="15" spans="1:55" ht="200.1" customHeight="1" x14ac:dyDescent="0.25">
      <c r="L15" s="83" t="s">
        <v>980</v>
      </c>
      <c r="M15" s="82"/>
      <c r="N15">
        <v>1</v>
      </c>
      <c r="O15">
        <v>1</v>
      </c>
      <c r="P15">
        <v>0</v>
      </c>
      <c r="BA15" s="215" t="s">
        <v>1126</v>
      </c>
      <c r="BB15" s="105">
        <f>+MAX((BB3+BB7),(BB3+BB8))</f>
        <v>2.4</v>
      </c>
      <c r="BC15" s="105">
        <f>+MAX((BC3+BC7),(BC3+BC8))</f>
        <v>4119508.2257632772</v>
      </c>
    </row>
    <row r="16" spans="1:55" ht="200.1" customHeight="1" x14ac:dyDescent="0.25">
      <c r="L16" s="83" t="s">
        <v>981</v>
      </c>
      <c r="M16" s="82"/>
      <c r="N16">
        <v>1</v>
      </c>
      <c r="O16">
        <v>0</v>
      </c>
      <c r="P16">
        <v>1</v>
      </c>
      <c r="BA16" s="215" t="s">
        <v>1127</v>
      </c>
      <c r="BB16" s="105">
        <f>+MAX((BB4+BB7),(BB4+BB8))</f>
        <v>2.4</v>
      </c>
      <c r="BC16" s="105">
        <f>+MAX((BC4+BC7),(BC4+BC8))</f>
        <v>4119508.2257632772</v>
      </c>
    </row>
    <row r="17" spans="12:16" ht="200.1" customHeight="1" x14ac:dyDescent="0.25">
      <c r="L17" s="83" t="s">
        <v>982</v>
      </c>
      <c r="M17" s="82"/>
      <c r="N17">
        <v>1</v>
      </c>
      <c r="O17">
        <v>0</v>
      </c>
      <c r="P17">
        <v>1</v>
      </c>
    </row>
    <row r="18" spans="12:16" ht="200.1" customHeight="1" x14ac:dyDescent="0.25">
      <c r="L18" s="83" t="s">
        <v>589</v>
      </c>
      <c r="M18" s="82"/>
      <c r="N18">
        <v>1</v>
      </c>
      <c r="O18">
        <v>0</v>
      </c>
      <c r="P18">
        <v>0</v>
      </c>
    </row>
    <row r="19" spans="12:16" ht="200.1" customHeight="1" x14ac:dyDescent="0.25">
      <c r="L19" s="83" t="s">
        <v>590</v>
      </c>
      <c r="M19" s="82"/>
      <c r="N19">
        <v>1</v>
      </c>
      <c r="O19">
        <v>0</v>
      </c>
      <c r="P19">
        <v>0</v>
      </c>
    </row>
    <row r="20" spans="12:16" ht="200.1" customHeight="1" x14ac:dyDescent="0.25">
      <c r="L20" s="83" t="s">
        <v>591</v>
      </c>
      <c r="M20" s="82"/>
      <c r="N20">
        <v>1</v>
      </c>
      <c r="O20">
        <v>0</v>
      </c>
      <c r="P20">
        <v>0</v>
      </c>
    </row>
  </sheetData>
  <mergeCells count="23">
    <mergeCell ref="R5:S5"/>
    <mergeCell ref="G1:J1"/>
    <mergeCell ref="R1:V1"/>
    <mergeCell ref="AG1:AR1"/>
    <mergeCell ref="R2:S2"/>
    <mergeCell ref="AG2:AG3"/>
    <mergeCell ref="AH2:AH3"/>
    <mergeCell ref="AI2:AI3"/>
    <mergeCell ref="AJ2:AJ3"/>
    <mergeCell ref="AK2:AK3"/>
    <mergeCell ref="AL2:AL3"/>
    <mergeCell ref="AP2:AP3"/>
    <mergeCell ref="AQ2:AQ3"/>
    <mergeCell ref="AR2:AR3"/>
    <mergeCell ref="R3:S3"/>
    <mergeCell ref="R4:S4"/>
    <mergeCell ref="R12:S12"/>
    <mergeCell ref="L6:M6"/>
    <mergeCell ref="N6:P6"/>
    <mergeCell ref="R8:V8"/>
    <mergeCell ref="R9:S9"/>
    <mergeCell ref="R10:S10"/>
    <mergeCell ref="R11:S11"/>
  </mergeCells>
  <pageMargins left="0.7" right="0.7" top="0.75" bottom="0.75" header="0.3" footer="0.3"/>
  <pageSetup orientation="portrait" horizontalDpi="4294967292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/>
  <dimension ref="A1:BG20"/>
  <sheetViews>
    <sheetView zoomScale="55" zoomScaleNormal="55" workbookViewId="0">
      <selection activeCell="M10" sqref="M10"/>
    </sheetView>
  </sheetViews>
  <sheetFormatPr baseColWidth="10" defaultColWidth="11.42578125" defaultRowHeight="15" x14ac:dyDescent="0.25"/>
  <cols>
    <col min="1" max="1" width="5.5703125" bestFit="1" customWidth="1"/>
    <col min="3" max="3" width="14.42578125" bestFit="1" customWidth="1"/>
    <col min="5" max="5" width="23.140625" bestFit="1" customWidth="1"/>
    <col min="7" max="7" width="27.140625" bestFit="1" customWidth="1"/>
    <col min="8" max="8" width="22.5703125" customWidth="1"/>
    <col min="12" max="12" width="27.85546875" bestFit="1" customWidth="1"/>
    <col min="13" max="13" width="35.28515625" customWidth="1"/>
    <col min="14" max="14" width="14.5703125" customWidth="1"/>
    <col min="16" max="16" width="14.28515625" customWidth="1"/>
    <col min="17" max="17" width="16.28515625" bestFit="1" customWidth="1"/>
    <col min="20" max="20" width="11.42578125" customWidth="1"/>
    <col min="24" max="24" width="15.42578125" customWidth="1"/>
    <col min="25" max="25" width="21.7109375" customWidth="1"/>
    <col min="28" max="28" width="17.5703125" bestFit="1" customWidth="1"/>
    <col min="35" max="35" width="27.85546875" bestFit="1" customWidth="1"/>
    <col min="36" max="37" width="7.85546875" customWidth="1"/>
  </cols>
  <sheetData>
    <row r="1" spans="1:59" ht="26.25" customHeight="1" thickBot="1" x14ac:dyDescent="0.3">
      <c r="A1" s="270" t="s">
        <v>73</v>
      </c>
      <c r="B1" s="270"/>
      <c r="C1" s="270" t="s">
        <v>74</v>
      </c>
      <c r="D1" s="270"/>
      <c r="E1" s="270" t="s">
        <v>75</v>
      </c>
      <c r="F1" s="270"/>
      <c r="G1" s="675" t="s">
        <v>231</v>
      </c>
      <c r="H1" s="676"/>
      <c r="I1" s="676"/>
      <c r="J1" s="677"/>
      <c r="L1" s="79"/>
      <c r="M1" s="79"/>
      <c r="N1" s="79"/>
      <c r="R1" s="669" t="s">
        <v>1001</v>
      </c>
      <c r="S1" s="670"/>
      <c r="T1" s="670"/>
      <c r="U1" s="670"/>
      <c r="V1" s="670"/>
      <c r="X1" t="s">
        <v>1009</v>
      </c>
      <c r="AD1" s="674" t="s">
        <v>1020</v>
      </c>
      <c r="AE1" s="674"/>
      <c r="AF1" s="674"/>
      <c r="AG1" s="674"/>
      <c r="AI1" s="674" t="s">
        <v>1097</v>
      </c>
      <c r="AJ1" s="674"/>
      <c r="AK1" s="674"/>
      <c r="AL1" s="674"/>
      <c r="AM1" s="674"/>
      <c r="AN1" s="674"/>
      <c r="AO1" s="674"/>
      <c r="AP1" s="674"/>
      <c r="AQ1" s="674"/>
      <c r="AR1" s="674"/>
      <c r="AS1" s="674"/>
      <c r="AT1" s="674"/>
      <c r="AV1" s="674" t="s">
        <v>1102</v>
      </c>
      <c r="AW1" s="674"/>
      <c r="AX1" s="674"/>
      <c r="AY1" s="674"/>
      <c r="AZ1" s="674"/>
      <c r="BA1" s="674"/>
      <c r="BB1" s="674"/>
      <c r="BC1" s="674"/>
      <c r="BD1" s="674"/>
      <c r="BE1" s="674"/>
      <c r="BF1" s="674"/>
      <c r="BG1" s="674"/>
    </row>
    <row r="2" spans="1:59" ht="45" x14ac:dyDescent="0.25">
      <c r="A2" s="270">
        <v>250</v>
      </c>
      <c r="B2" s="270"/>
      <c r="C2" s="270" t="s">
        <v>76</v>
      </c>
      <c r="D2" s="270"/>
      <c r="E2" s="270" t="s">
        <v>77</v>
      </c>
      <c r="F2" s="270"/>
      <c r="G2" s="52" t="s">
        <v>225</v>
      </c>
      <c r="H2" s="53"/>
      <c r="I2" s="54" t="s">
        <v>228</v>
      </c>
      <c r="J2" s="55" t="s">
        <v>229</v>
      </c>
      <c r="R2" s="663" t="s">
        <v>207</v>
      </c>
      <c r="S2" s="663"/>
      <c r="T2" s="269" t="s">
        <v>1016</v>
      </c>
      <c r="U2" s="269" t="s">
        <v>1004</v>
      </c>
      <c r="V2" s="269" t="s">
        <v>1002</v>
      </c>
      <c r="X2" s="26"/>
      <c r="Y2" s="100" t="s">
        <v>1010</v>
      </c>
      <c r="Z2" s="275" t="s">
        <v>1008</v>
      </c>
      <c r="AB2" s="271" t="str">
        <f>IF('Riostras Fcr'!H14='Riostras Fcr'!H15,"Pórtico no arriostrado","Pórtico arriostrado")</f>
        <v>Pórtico no arriostrado</v>
      </c>
      <c r="AD2" s="673" t="s">
        <v>1026</v>
      </c>
      <c r="AE2" s="673"/>
      <c r="AF2" s="673" t="s">
        <v>1027</v>
      </c>
      <c r="AG2" s="673"/>
      <c r="AI2" s="674" t="s">
        <v>207</v>
      </c>
      <c r="AJ2" s="674" t="s">
        <v>195</v>
      </c>
      <c r="AK2" s="674" t="s">
        <v>96</v>
      </c>
      <c r="AL2" s="674" t="s">
        <v>1082</v>
      </c>
      <c r="AM2" s="674" t="s">
        <v>1078</v>
      </c>
      <c r="AN2" s="674" t="s">
        <v>1083</v>
      </c>
      <c r="AO2" t="s">
        <v>1084</v>
      </c>
      <c r="AQ2" s="271" t="s">
        <v>1087</v>
      </c>
      <c r="AR2" s="674" t="s">
        <v>1079</v>
      </c>
      <c r="AS2" s="674" t="s">
        <v>1092</v>
      </c>
      <c r="AT2" s="674" t="s">
        <v>1093</v>
      </c>
      <c r="AV2" s="674" t="s">
        <v>207</v>
      </c>
      <c r="AW2" s="674" t="s">
        <v>1103</v>
      </c>
      <c r="AX2" s="674" t="s">
        <v>94</v>
      </c>
      <c r="AY2" s="674" t="s">
        <v>1104</v>
      </c>
      <c r="AZ2" s="674" t="s">
        <v>1078</v>
      </c>
      <c r="BA2" s="674" t="s">
        <v>1083</v>
      </c>
      <c r="BB2" t="s">
        <v>1084</v>
      </c>
      <c r="BD2" s="271" t="s">
        <v>1087</v>
      </c>
      <c r="BE2" s="674" t="s">
        <v>1079</v>
      </c>
      <c r="BF2" s="674" t="s">
        <v>1092</v>
      </c>
      <c r="BG2" s="674" t="s">
        <v>1093</v>
      </c>
    </row>
    <row r="3" spans="1:59" x14ac:dyDescent="0.25">
      <c r="A3" s="270">
        <v>350</v>
      </c>
      <c r="B3" s="270"/>
      <c r="C3" s="270" t="s">
        <v>78</v>
      </c>
      <c r="D3" s="270"/>
      <c r="E3" s="270" t="s">
        <v>220</v>
      </c>
      <c r="F3" s="270"/>
      <c r="G3" s="56" t="s">
        <v>77</v>
      </c>
      <c r="H3" s="57" t="s">
        <v>232</v>
      </c>
      <c r="I3" s="58">
        <f>0.38*SQRT('Riostras Fcr'!D6/'Riostras Fcr'!D8)</f>
        <v>10.748023074035522</v>
      </c>
      <c r="J3" s="59">
        <f>0.3*SQRT('Riostras Fcr'!D6/'Riostras Fcr'!D8)</f>
        <v>8.4852813742385695</v>
      </c>
      <c r="R3" s="663" t="s">
        <v>200</v>
      </c>
      <c r="S3" s="663"/>
      <c r="T3" s="101">
        <f>(SQRT(('Riostras Fcr'!C24)*('Riostras Fcr'!C29))/('Riostras Fcr'!C25))/10000</f>
        <v>1.561548898875602E-3</v>
      </c>
      <c r="U3" s="101" t="e">
        <f>((VLOOKUP('Riostras Fcr'!E3,'Tabla Perfiles laminados'!A402:AC453,29,FALSE))/2)*SQRT('Riostras Fcr'!C23/'Riostras Fcr'!C29)</f>
        <v>#N/A</v>
      </c>
      <c r="V3" s="101" t="e">
        <f>1.95*SQRT(T3)*('Riostras Fcr'!$D$6/(0.7*'Riostras Fcr'!$D$8))*SQRT(('Riostras Fcr'!$C$30*U3)/('Riostras Fcr'!$C$25*(VLOOKUP('Riostras Fcr'!$E$3,'Tabla Perfiles laminados'!$A$426:$AC$453,29,FALSE))))*(SQRT(1+SQRT(1+(6.76*(((0.7*'Riostras Fcr'!$D$8*'Riostras Fcr'!$C$25*(VLOOKUP('Riostras Fcr'!$E$3,'Tabla Perfiles laminados'!$A$426:$AC$453,29,FALSE)))/('Riostras Fcr'!$D$6*'Riostras Fcr'!$C$30*U3))^2)))))</f>
        <v>#N/A</v>
      </c>
      <c r="X3" s="100" t="s">
        <v>1011</v>
      </c>
      <c r="Y3" s="26" t="s">
        <v>1007</v>
      </c>
      <c r="Z3" s="26">
        <f>'Riostras Fcr'!$D$10*'Riostras Fcr'!$C$27/1000000*'Riostras Fcr'!$D$8*1000</f>
        <v>38.925000000000004</v>
      </c>
      <c r="AD3" t="s">
        <v>215</v>
      </c>
      <c r="AE3">
        <v>1</v>
      </c>
      <c r="AF3" t="s">
        <v>215</v>
      </c>
      <c r="AG3">
        <v>1</v>
      </c>
      <c r="AI3" s="674"/>
      <c r="AJ3" s="674"/>
      <c r="AK3" s="674"/>
      <c r="AL3" s="674"/>
      <c r="AM3" s="674"/>
      <c r="AN3" s="674"/>
      <c r="AO3" t="s">
        <v>1085</v>
      </c>
      <c r="AP3" t="s">
        <v>1086</v>
      </c>
      <c r="AQ3" s="271"/>
      <c r="AR3" s="674"/>
      <c r="AS3" s="674"/>
      <c r="AT3" s="674"/>
      <c r="AV3" s="674"/>
      <c r="AW3" s="674"/>
      <c r="AX3" s="674"/>
      <c r="AY3" s="674"/>
      <c r="AZ3" s="674"/>
      <c r="BA3" s="674"/>
      <c r="BB3" t="s">
        <v>1085</v>
      </c>
      <c r="BC3" t="s">
        <v>1086</v>
      </c>
      <c r="BD3" s="271"/>
      <c r="BE3" s="674"/>
      <c r="BF3" s="674"/>
      <c r="BG3" s="674"/>
    </row>
    <row r="4" spans="1:59" x14ac:dyDescent="0.25">
      <c r="A4" s="270"/>
      <c r="B4" s="270"/>
      <c r="C4" s="270" t="s">
        <v>79</v>
      </c>
      <c r="D4" s="270"/>
      <c r="E4" s="270" t="s">
        <v>218</v>
      </c>
      <c r="F4" s="270"/>
      <c r="G4" s="56"/>
      <c r="H4" s="57" t="s">
        <v>233</v>
      </c>
      <c r="I4" s="58">
        <f>IF('Riostras Fcr'!D11&lt;=0.125,(3.76*SQRT('Riostras Fcr'!D6/'Riostras Fcr'!D8)*(1-(2.75*'Riostras Fcr'!D11))),(IF((1.12*SQRT('Riostras Fcr'!D6/'Riostras Fcr'!D8)*(2.33-'Riostras Fcr'!D11))&gt;=(1.49*SQRT('Riostras Fcr'!D6/'Riostras Fcr'!D8)),(1.12*SQRT('Riostras Fcr'!D6/'Riostras Fcr'!D8)*(2.33-'Riostras Fcr'!D11)),(1.49*SQRT('Riostras Fcr'!D6/'Riostras Fcr'!D8)))))</f>
        <v>105.95146287685336</v>
      </c>
      <c r="J4" s="59">
        <f>IF('Riostras Fcr'!D11&lt;=0.125,(2.45*SQRT('Riostras Fcr'!D6/'Riostras Fcr'!D8)*(1-(0.95*'Riostras Fcr'!D11))),(IF((0.77*SQRT('Riostras Fcr'!D6/'Riostras Fcr'!D8)*(2.93-'Riostras Fcr'!D11))&gt;=(1.49*SQRT('Riostras Fcr'!D6/'Riostras Fcr'!D8)),(0.77*SQRT('Riostras Fcr'!D6/'Riostras Fcr'!D8)*(2.93-'Riostras Fcr'!D11)),(1.49*SQRT('Riostras Fcr'!D6/'Riostras Fcr'!D8)))))</f>
        <v>69.207011795240859</v>
      </c>
      <c r="R4" s="663" t="s">
        <v>1006</v>
      </c>
      <c r="S4" s="663"/>
      <c r="T4" s="101">
        <f>(SQRT('Riostras Fcr'!C24*'Riostras Fcr'!C29)/'Riostras Fcr'!C25)/10000</f>
        <v>1.561548898875602E-3</v>
      </c>
      <c r="U4" s="101" t="e">
        <f>((VLOOKUP('Riostras Fcr'!E3,'Tabla Perfiles laminados'!A402:AC453,29,FALSE))/2)*SQRT('Riostras Fcr'!C23/'Riostras Fcr'!C29)</f>
        <v>#N/A</v>
      </c>
      <c r="V4" s="101" t="e">
        <f>1.95*SQRT(T4)*('Riostras Fcr'!$D$6/(0.7*'Riostras Fcr'!$D$8))*SQRT(('Riostras Fcr'!$C$30*U4)/('Riostras Fcr'!$C$25*(VLOOKUP('Riostras Fcr'!$E$3,'Tabla Perfiles laminados'!$A$402:$AC$425,29,FALSE))))*(SQRT(1+SQRT(1+(6.76*(((0.7*'Riostras Fcr'!$D$8*'Riostras Fcr'!$C$25*(VLOOKUP('Riostras Fcr'!$E$3,'Tabla Perfiles laminados'!$A$402:$AC$425,29,FALSE)))/('Riostras Fcr'!$D$6*'Riostras Fcr'!$C$30*U4))^2)))))</f>
        <v>#N/A</v>
      </c>
      <c r="X4" s="102" t="s">
        <v>1012</v>
      </c>
      <c r="Y4" s="26" t="s">
        <v>1014</v>
      </c>
      <c r="Z4" s="29" t="e">
        <f>'Riostras Fcr'!$D$10*(Z3-((Z3-(0.7*'Riostras Fcr'!$D$8*1000*'Riostras Fcr'!$C$25/1000000))*(('Riostras Fcr'!H14-('Riostras Fcr'!H17/100))/(('Riostras Fcr'!H18-'Riostras Fcr'!H17))/100)))</f>
        <v>#DIV/0!</v>
      </c>
      <c r="AD4" t="s">
        <v>1024</v>
      </c>
      <c r="AE4">
        <f>((PI()^2)*'Riostras Fcr'!D6*1000*('Riostras Fcr'!C23/100^4))/(('Riostras Fcr'!D37*'Riostras Fcr'!H14)^2)</f>
        <v>5082.8462665610195</v>
      </c>
      <c r="AF4" t="s">
        <v>1025</v>
      </c>
      <c r="AG4">
        <f>((PI()^2)*'Riostras Fcr'!D6*1000*('Riostras Fcr'!C24/100^4))/(('Riostras Fcr'!D37*'Riostras Fcr'!H15)^2)</f>
        <v>1919.6380560118803</v>
      </c>
      <c r="AI4" t="s">
        <v>77</v>
      </c>
      <c r="AJ4">
        <f>+'Riostras Fcr'!C15</f>
        <v>92</v>
      </c>
      <c r="AK4">
        <f>+'Riostras Fcr'!C18</f>
        <v>5.5</v>
      </c>
      <c r="AL4" s="105">
        <f>+AJ4/AK4</f>
        <v>16.727272727272727</v>
      </c>
      <c r="AM4" s="105" t="e">
        <f>IF('Riostras Fcr'!#REF!="no",5,(IF(OR(('Riostras Fcr'!#REF!/AJ4)&gt;3,('Riostras Fcr'!#REF!/AJ4)&gt;(((260)/(AJ4/AK4))^2)),5,(5+((5)/(('Riostras Fcr'!#REF!/AJ4)^2))))))</f>
        <v>#REF!</v>
      </c>
      <c r="AN4" t="s">
        <v>1088</v>
      </c>
      <c r="AP4" t="e">
        <f>1.1*SQRT((AM4*'Riostras Fcr'!$D$6)/'Riostras Fcr'!$D$8)</f>
        <v>#REF!</v>
      </c>
      <c r="AQ4" t="e">
        <f>IF(AL4&lt;=AP4,"Cumple","No cumple")</f>
        <v>#REF!</v>
      </c>
      <c r="AR4" s="105">
        <v>1</v>
      </c>
      <c r="AS4">
        <f>+AJ4*AK4</f>
        <v>506</v>
      </c>
      <c r="AT4">
        <f>(0.6*'Riostras Fcr'!$D$8*AS4*AR4)/1000</f>
        <v>75.900000000000006</v>
      </c>
      <c r="AV4" t="s">
        <v>77</v>
      </c>
      <c r="AW4">
        <f>+'Riostras Fcr'!C16/2</f>
        <v>70</v>
      </c>
      <c r="AX4">
        <f>+'Riostras Fcr'!C17</f>
        <v>8.5</v>
      </c>
      <c r="AY4" s="105">
        <f>+AW4/AX4</f>
        <v>8.235294117647058</v>
      </c>
      <c r="AZ4" s="105">
        <v>1.2</v>
      </c>
      <c r="BA4" t="s">
        <v>1088</v>
      </c>
      <c r="BC4">
        <f>1.1*SQRT((AZ4*'Riostras Fcr'!$D$6)/'Riostras Fcr'!$D$8)</f>
        <v>34.082253446625273</v>
      </c>
      <c r="BD4" t="str">
        <f>IF(AY4&lt;=BC4,"Cumple","No cumple")</f>
        <v>Cumple</v>
      </c>
      <c r="BE4" s="105">
        <v>1</v>
      </c>
      <c r="BF4">
        <f>+AW4*AX4</f>
        <v>595</v>
      </c>
      <c r="BG4">
        <f>((0.6*'Riostras Fcr'!$D$8*BF4*BE4)/1000)*2</f>
        <v>178.5</v>
      </c>
    </row>
    <row r="5" spans="1:59" x14ac:dyDescent="0.25">
      <c r="A5" s="270"/>
      <c r="B5" s="270"/>
      <c r="C5" s="270"/>
      <c r="D5" s="270"/>
      <c r="E5" s="270" t="s">
        <v>219</v>
      </c>
      <c r="F5" s="270"/>
      <c r="G5" s="56" t="s">
        <v>226</v>
      </c>
      <c r="H5" s="57" t="s">
        <v>99</v>
      </c>
      <c r="I5" s="58">
        <f>1.12*SQRT('Riostras Fcr'!D6/'Riostras Fcr'!D8)</f>
        <v>31.678383797157334</v>
      </c>
      <c r="J5" s="59">
        <f>0.55*SQRT('Riostras Fcr'!D6/'Riostras Fcr'!D8)</f>
        <v>15.556349186104047</v>
      </c>
      <c r="R5" s="671" t="s">
        <v>1003</v>
      </c>
      <c r="S5" s="672"/>
      <c r="T5" s="103">
        <f>(SQRT(('Riostras Fcr'!C24/100^4)*('Riostras Fcr'!C29/100^6))/('Riostras Fcr'!C25/100^3))</f>
        <v>1.5615488988756018E-3</v>
      </c>
      <c r="U5" s="269">
        <v>1</v>
      </c>
      <c r="V5" s="101">
        <f>1.95*SQRT(T5)*('Riostras Fcr'!$D$6/(0.7*'Riostras Fcr'!$D$8))*SQRT(('Riostras Fcr'!$C$30*U5)/('Riostras Fcr'!$C$25*(VLOOKUP('Riostras Fcr'!$E$3,'Tabla Perfiles laminados'!$A$4:$AC$401,29,FALSE))))*(SQRT(1+SQRT(1+(6.76*(((0.7*'Riostras Fcr'!$D$8*'Riostras Fcr'!$C$25*(VLOOKUP('Riostras Fcr'!$E$3,'Tabla Perfiles laminados'!$A$4:$AC$401,29,FALSE)))/('Riostras Fcr'!$D$6*'Riostras Fcr'!$C$30*U5))^2)))))</f>
        <v>7.5342699084225009</v>
      </c>
      <c r="X5" s="102" t="s">
        <v>1013</v>
      </c>
      <c r="Y5" s="26" t="s">
        <v>1015</v>
      </c>
      <c r="Z5" s="29">
        <f>'Riostras Fcr'!D10*('Riostras Fcr'!C25/100^3)*(((PI()^2)*('Riostras Fcr'!D6*1000))/(('Riostras Fcr'!H14)/SQRT('Datos genericos RIOSTRAS AXIAL'!T5))^2)*SQRT(1+(0.078*(('Riostras Fcr'!C30)/('Riostras Fcr'!C25*74.59))*((('Riostras Fcr'!H14)/(SQRT('Datos genericos RIOSTRAS AXIAL'!T5))))^2))</f>
        <v>113.26907808201777</v>
      </c>
      <c r="AD5" t="s">
        <v>1028</v>
      </c>
      <c r="AE5" s="116">
        <f>IF(($AE$3/(1-('Riostras Fcr'!$H$6/AE4)))&lt;1,1,($AE$3/(1-('Riostras Fcr'!$H$6/AE4))))</f>
        <v>1.0001889062347413</v>
      </c>
      <c r="AF5" t="s">
        <v>1029</v>
      </c>
      <c r="AG5">
        <f>IF(($AG$3/(1-('Riostras Fcr'!$H$6/AG4)))&lt;1,1,($AG$3/(1-('Riostras Fcr'!$H$6/AG4))))</f>
        <v>1.0005003444934351</v>
      </c>
      <c r="AN5" t="s">
        <v>1089</v>
      </c>
      <c r="AO5" t="e">
        <f>1.1*SQRT((AM4*'Riostras Fcr'!$D$6)/'Riostras Fcr'!$D$8)</f>
        <v>#REF!</v>
      </c>
      <c r="AP5" t="e">
        <f>1.37*SQRT((AM4*'Riostras Fcr'!$D$6)/'Riostras Fcr'!$D$8)</f>
        <v>#REF!</v>
      </c>
      <c r="AQ5" t="e">
        <f>IF(AND(AO5&lt;AL4,AL4&lt;=AP5),"Cumple","No cumple")</f>
        <v>#REF!</v>
      </c>
      <c r="AR5" s="105" t="e">
        <f>(1.1*(SQRT((AM4*'Riostras Fcr'!$D$6)/('Riostras Fcr'!$D$8)))/(AJ4/AK4))</f>
        <v>#REF!</v>
      </c>
      <c r="AT5" t="e">
        <f>(0.6*'Riostras Fcr'!$D$8*AS4*AR5)/1000</f>
        <v>#REF!</v>
      </c>
      <c r="BA5" t="s">
        <v>1089</v>
      </c>
      <c r="BB5">
        <f>1.1*SQRT((AZ4*'Riostras Fcr'!$D$6)/'Riostras Fcr'!$D$8)</f>
        <v>34.082253446625273</v>
      </c>
      <c r="BC5">
        <f>1.37*SQRT((AZ4*'Riostras Fcr'!$D$6)/'Riostras Fcr'!$D$8)</f>
        <v>42.447897474433297</v>
      </c>
      <c r="BD5" t="str">
        <f>IF(AND(BB5&lt;AY4,AY4&lt;=BC5),"Cumple","No cumple")</f>
        <v>No cumple</v>
      </c>
      <c r="BE5" s="105">
        <v>1</v>
      </c>
      <c r="BG5">
        <f>((0.6*'Riostras Fcr'!$D$8*BF4*BE5)/1000)*2</f>
        <v>178.5</v>
      </c>
    </row>
    <row r="6" spans="1:59" ht="15.75" thickBot="1" x14ac:dyDescent="0.3">
      <c r="G6" s="60" t="s">
        <v>227</v>
      </c>
      <c r="H6" s="61" t="s">
        <v>98</v>
      </c>
      <c r="I6" s="62">
        <f>0.07*('Riostras Fcr'!D6/'Riostras Fcr'!D8)</f>
        <v>56.000000000000007</v>
      </c>
      <c r="J6" s="63">
        <f>0.038*('Riostras Fcr'!D6/'Riostras Fcr'!D8)</f>
        <v>30.4</v>
      </c>
      <c r="L6" s="678" t="str">
        <f>IF('Riostras Fcr'!B3="LAMINADO",MID('Riostras Fcr'!E3,1,4),(IF('Riostras Fcr'!B3="TUBULAR_CIRCULAR","T. CIRCULAR",(IF('Riostras Fcr'!B3="TUBULAR_CUADRADO","T. CUADRADO","T. RECTANGULAR")))))</f>
        <v>IPBI</v>
      </c>
      <c r="M6" s="678"/>
      <c r="N6" s="674" t="s">
        <v>983</v>
      </c>
      <c r="O6" s="674"/>
      <c r="P6" s="674"/>
      <c r="U6" s="270"/>
      <c r="AD6" t="s">
        <v>1030</v>
      </c>
      <c r="AE6">
        <f>+IF(AB2="Pórtico arriostrado",1,0.85)</f>
        <v>0.85</v>
      </c>
      <c r="AF6" t="s">
        <v>1030</v>
      </c>
      <c r="AG6">
        <f>+IF(AB2="Pórtico arriostrado",1,0.85)</f>
        <v>0.85</v>
      </c>
      <c r="AN6" t="s">
        <v>1089</v>
      </c>
      <c r="AO6" t="e">
        <f>1.37*SQRT((AM4*'Riostras Fcr'!$D$6)/'Riostras Fcr'!$D$8)</f>
        <v>#REF!</v>
      </c>
      <c r="AQ6" t="e">
        <f>IF(AL4&gt;AO6,"Cumple","No cumple")</f>
        <v>#REF!</v>
      </c>
      <c r="AR6" s="105" t="e">
        <f>(1.51*AM4*'Riostras Fcr'!$D$6)/(((AJ4/AK4)^2)*'Riostras Fcr'!$D$8)</f>
        <v>#REF!</v>
      </c>
      <c r="AT6" t="e">
        <f>(0.6*'Riostras Fcr'!$D$8*AS4*AR6)/1000</f>
        <v>#REF!</v>
      </c>
      <c r="BA6" t="s">
        <v>1089</v>
      </c>
      <c r="BB6">
        <f>1.37*SQRT((AZ4*'Riostras Fcr'!$D$6)/'Riostras Fcr'!$D$8)</f>
        <v>42.447897474433297</v>
      </c>
      <c r="BD6" t="str">
        <f>IF(AY4&gt;BB6,"Cumple","No cumple")</f>
        <v>No cumple</v>
      </c>
      <c r="BE6" s="105">
        <v>1</v>
      </c>
      <c r="BG6">
        <f>((0.6*'Riostras Fcr'!$D$8*BF4*BE6)/1000)*2</f>
        <v>178.5</v>
      </c>
    </row>
    <row r="7" spans="1:59" x14ac:dyDescent="0.25">
      <c r="L7" s="82" t="s">
        <v>225</v>
      </c>
      <c r="M7" s="82" t="s">
        <v>586</v>
      </c>
      <c r="N7" t="s">
        <v>984</v>
      </c>
      <c r="O7" t="s">
        <v>985</v>
      </c>
      <c r="P7" t="s">
        <v>986</v>
      </c>
      <c r="AA7" s="105"/>
      <c r="AB7" s="105"/>
      <c r="AC7" s="105"/>
      <c r="AD7" t="s">
        <v>1034</v>
      </c>
      <c r="AE7">
        <f>+AE6*(('Riostras Fcr'!$H$11)/(0.01*'Riostras Fcr'!$H$14))</f>
        <v>0</v>
      </c>
      <c r="AF7" t="s">
        <v>1035</v>
      </c>
      <c r="AG7">
        <f>+AG6*(('Riostras Fcr'!$H$11)/(0.01*'Riostras Fcr'!$H$15))</f>
        <v>0</v>
      </c>
      <c r="AI7" t="s">
        <v>219</v>
      </c>
      <c r="AJ7">
        <f>+'Riostras Fcr'!C15</f>
        <v>92</v>
      </c>
      <c r="AK7">
        <f>+'Riostras Fcr'!C17</f>
        <v>8.5</v>
      </c>
      <c r="AL7" s="105">
        <f>+AJ7/AK7</f>
        <v>10.823529411764707</v>
      </c>
      <c r="AM7" s="105" t="e">
        <f>IF('Riostras Fcr'!#REF!="no",5,(IF(OR(('Riostras Fcr'!#REF!/AJ7)&gt;3,('Riostras Fcr'!#REF!/AJ7)&gt;(((260)/(AJ7/AK7))^2)),5,(5+((5)/(('Riostras Fcr'!#REF!/AJ7)^2))))))</f>
        <v>#REF!</v>
      </c>
      <c r="AN7" t="s">
        <v>1088</v>
      </c>
      <c r="AP7" t="e">
        <f>1.1*SQRT((AM7*'Riostras Fcr'!$D$6)/'Riostras Fcr'!$D$8)</f>
        <v>#REF!</v>
      </c>
      <c r="AQ7" t="e">
        <f>IF(AL7&lt;=AP7,"Cumple","No cumple")</f>
        <v>#REF!</v>
      </c>
      <c r="AR7" s="105">
        <v>1</v>
      </c>
      <c r="AS7">
        <f>+AJ7*AK7</f>
        <v>782</v>
      </c>
      <c r="AT7">
        <f>((0.6*'Riostras Fcr'!$D$8*AS7*AR7)/1000)*2</f>
        <v>234.6</v>
      </c>
      <c r="AV7" t="s">
        <v>219</v>
      </c>
      <c r="AW7">
        <f>+'Riostras Fcr'!C16</f>
        <v>140</v>
      </c>
      <c r="AX7">
        <f>+'Riostras Fcr'!C17</f>
        <v>8.5</v>
      </c>
      <c r="AY7" s="105">
        <f>+AW7/AX7</f>
        <v>16.470588235294116</v>
      </c>
      <c r="AZ7" s="105">
        <v>1.2</v>
      </c>
      <c r="BA7" t="s">
        <v>1088</v>
      </c>
      <c r="BC7">
        <f>1.1*SQRT((AZ7*'Riostras Fcr'!$D$6)/'Riostras Fcr'!$D$8)</f>
        <v>34.082253446625273</v>
      </c>
      <c r="BD7" t="str">
        <f>IF(AY7&lt;=BC7,"Cumple","No cumple")</f>
        <v>Cumple</v>
      </c>
      <c r="BE7" s="105">
        <v>1</v>
      </c>
      <c r="BF7">
        <f>+AW7*AX7</f>
        <v>1190</v>
      </c>
      <c r="BG7">
        <f>((0.6*'Riostras Fcr'!$D$8*BF7*BE7)/1000)*2</f>
        <v>357</v>
      </c>
    </row>
    <row r="8" spans="1:59" ht="200.1" customHeight="1" x14ac:dyDescent="0.25">
      <c r="L8" s="83" t="s">
        <v>975</v>
      </c>
      <c r="M8" s="82"/>
      <c r="N8">
        <v>1</v>
      </c>
      <c r="O8">
        <v>1</v>
      </c>
      <c r="P8">
        <v>0</v>
      </c>
      <c r="R8" s="669" t="s">
        <v>1001</v>
      </c>
      <c r="S8" s="670"/>
      <c r="T8" s="670"/>
      <c r="U8" s="670"/>
      <c r="V8" s="670"/>
      <c r="AD8" s="123" t="s">
        <v>1032</v>
      </c>
      <c r="AE8" s="123" t="e">
        <f>1/(1-(('Riostras Fcr'!$H$6)/(AE7)))</f>
        <v>#DIV/0!</v>
      </c>
      <c r="AF8" s="123" t="s">
        <v>1033</v>
      </c>
      <c r="AG8" s="123" t="e">
        <f>1/(1-(('Riostras Fcr'!$H$6)/(AG7)))</f>
        <v>#DIV/0!</v>
      </c>
      <c r="AN8" t="s">
        <v>1089</v>
      </c>
      <c r="AO8" t="e">
        <f>1.1*SQRT((AM7*'Riostras Fcr'!$D$6)/'Riostras Fcr'!$D$8)</f>
        <v>#REF!</v>
      </c>
      <c r="AP8" t="e">
        <f>1.37*SQRT((AM7*'Riostras Fcr'!$D$6)/'Riostras Fcr'!$D$8)</f>
        <v>#REF!</v>
      </c>
      <c r="AQ8" t="e">
        <f>IF(AND(AO8&lt;AL7,AL7&lt;=AP8),"Cumple","No cumple")</f>
        <v>#REF!</v>
      </c>
      <c r="AR8" s="105" t="e">
        <f>(1.1*(SQRT((AM7*'Riostras Fcr'!$D$6)/('Riostras Fcr'!$D$8)))/(AJ7/AK7))</f>
        <v>#REF!</v>
      </c>
      <c r="AT8" t="e">
        <f>((0.6*'Riostras Fcr'!$D$8*AS7*AR8)/1000)*2</f>
        <v>#REF!</v>
      </c>
      <c r="BA8" t="s">
        <v>1089</v>
      </c>
      <c r="BB8">
        <f>1.1*SQRT((AZ7*'Riostras Fcr'!$D$6)/'Riostras Fcr'!$D$8)</f>
        <v>34.082253446625273</v>
      </c>
      <c r="BC8">
        <f>1.37*SQRT((AZ7*'Riostras Fcr'!$D$6)/'Riostras Fcr'!$D$8)</f>
        <v>42.447897474433297</v>
      </c>
      <c r="BD8" t="str">
        <f>IF(AND(BB8&lt;AY7,AY7&lt;=BC8),"Cumple","No cumple")</f>
        <v>No cumple</v>
      </c>
      <c r="BE8" s="105">
        <f>(1.1*(SQRT((AZ7*'Riostras Fcr'!$D$6)/('Riostras Fcr'!$D$8)))/(AW7/AX7))</f>
        <v>2.0692796735451062</v>
      </c>
      <c r="BG8">
        <f>((0.6*'Riostras Fcr'!$D$8*BF7*BE8)/1000)*2</f>
        <v>738.73284345560285</v>
      </c>
    </row>
    <row r="9" spans="1:59" ht="200.1" customHeight="1" x14ac:dyDescent="0.25">
      <c r="L9" s="83" t="s">
        <v>976</v>
      </c>
      <c r="M9" s="82"/>
      <c r="N9">
        <v>1</v>
      </c>
      <c r="O9">
        <v>1</v>
      </c>
      <c r="P9">
        <v>0</v>
      </c>
      <c r="R9" s="663" t="s">
        <v>207</v>
      </c>
      <c r="S9" s="663"/>
      <c r="T9" s="269" t="s">
        <v>1016</v>
      </c>
      <c r="U9" s="269" t="s">
        <v>1004</v>
      </c>
      <c r="V9" s="269" t="s">
        <v>1002</v>
      </c>
      <c r="X9" s="26"/>
      <c r="Y9" s="100" t="s">
        <v>1010</v>
      </c>
      <c r="Z9" s="275" t="s">
        <v>1008</v>
      </c>
      <c r="AD9" s="123" t="s">
        <v>1038</v>
      </c>
      <c r="AE9" s="123">
        <f>+MAX('Riostras Fcr'!H7,'Riostras Fcr'!H9)</f>
        <v>0</v>
      </c>
      <c r="AF9" s="123" t="s">
        <v>1039</v>
      </c>
      <c r="AG9" s="123">
        <f>+MAX('Riostras Fcr'!H8,'Riostras Fcr'!H10)</f>
        <v>0</v>
      </c>
      <c r="AN9" t="s">
        <v>1091</v>
      </c>
      <c r="AO9" t="e">
        <f>1.37*SQRT((AM7*'Riostras Fcr'!$D$6)/'Riostras Fcr'!$D$8)</f>
        <v>#REF!</v>
      </c>
      <c r="AQ9" t="e">
        <f>IF(AL7&gt;AO9,"Cumple","No cumple")</f>
        <v>#REF!</v>
      </c>
      <c r="AR9" s="105" t="e">
        <f>(1.51*AM7*'Riostras Fcr'!$D$6)/(((AJ7/AK7)^2)*'Riostras Fcr'!$D$8)</f>
        <v>#REF!</v>
      </c>
      <c r="AT9" t="e">
        <f>((0.6*'Riostras Fcr'!$D$6*AS7*AR9)/1000)*2</f>
        <v>#REF!</v>
      </c>
      <c r="BA9" t="s">
        <v>1091</v>
      </c>
      <c r="BB9">
        <f>1.37*SQRT((AZ7*'Riostras Fcr'!$D$6)/'Riostras Fcr'!$D$8)</f>
        <v>42.447897474433297</v>
      </c>
      <c r="BD9" t="str">
        <f>IF(AY7&gt;BB9,"Cumple","No cumple")</f>
        <v>No cumple</v>
      </c>
      <c r="BE9" s="105">
        <f>(1.51*AZ7*'Riostras Fcr'!$D$6)/(((AW7/AX7)^2)*'Riostras Fcr'!$D$8)</f>
        <v>5.3435510204081638</v>
      </c>
      <c r="BG9">
        <f>((0.6*'Riostras Fcr'!$D$6*BF7*BE9)/1000)*2</f>
        <v>1526118.1714285715</v>
      </c>
    </row>
    <row r="10" spans="1:59" ht="200.1" customHeight="1" x14ac:dyDescent="0.25">
      <c r="L10" s="83" t="s">
        <v>587</v>
      </c>
      <c r="M10" s="82"/>
      <c r="N10">
        <v>1</v>
      </c>
      <c r="O10">
        <v>1</v>
      </c>
      <c r="P10">
        <v>0</v>
      </c>
      <c r="R10" s="663" t="s">
        <v>200</v>
      </c>
      <c r="S10" s="663"/>
      <c r="T10" s="101">
        <f>(SQRT(('Riostras Fcr'!C24)*('Riostras Fcr'!C29))/('Riostras Fcr'!C26))/10000</f>
        <v>4.3532388367934953E-3</v>
      </c>
      <c r="U10" s="101" t="e">
        <f>((VLOOKUP('Riostras Fcr'!E3,'Tabla Perfiles laminados'!A402:AC453,29,FALSE))/2)*SQRT('Riostras Fcr'!C24/'Riostras Fcr'!C29)</f>
        <v>#N/A</v>
      </c>
      <c r="V10" s="101" t="e">
        <f>1.95*SQRT(T10)*('Riostras Fcr'!$D$6/(0.7*'Riostras Fcr'!$D$8))*SQRT(('Riostras Fcr'!$C$30*U10)/('Riostras Fcr'!$C$26*(VLOOKUP('Riostras Fcr'!$E$3,'Tabla Perfiles laminados'!$A$426:$AC$453,29,FALSE))))*(SQRT(1+SQRT(1+(6.76*(((0.7*'Riostras Fcr'!$D$8*'Riostras Fcr'!$C$26*(VLOOKUP('Riostras Fcr'!$E$3,'Tabla Perfiles laminados'!$A$426:$AC$453,29,FALSE)))/('Riostras Fcr'!$D$6*'Riostras Fcr'!$C$30*U10))^2)))))</f>
        <v>#N/A</v>
      </c>
      <c r="X10" s="131" t="s">
        <v>1011</v>
      </c>
      <c r="Y10" s="132" t="s">
        <v>1007</v>
      </c>
      <c r="Z10" s="132">
        <f>IF(('Riostras Fcr'!$D$10*'Riostras Fcr'!$C$28/1000000*'Riostras Fcr'!$D$8*1000)&lt;=(1.6*'Riostras Fcr'!$D$8*1000*'Riostras Fcr'!$C$26/1000000),('Riostras Fcr'!$D$10*'Riostras Fcr'!$C$28/1000000*'Riostras Fcr'!$D$8*1000),(1.6*'Riostras Fcr'!$D$8*1000*'Riostras Fcr'!$C$26/1000000))</f>
        <v>18.945</v>
      </c>
      <c r="AD10" t="s">
        <v>1040</v>
      </c>
      <c r="AE10" s="124">
        <v>0</v>
      </c>
      <c r="AF10" t="s">
        <v>1041</v>
      </c>
      <c r="AG10" s="124">
        <v>0</v>
      </c>
      <c r="AI10" t="s">
        <v>218</v>
      </c>
      <c r="AJ10">
        <f>+'Riostras Fcr'!C16</f>
        <v>140</v>
      </c>
      <c r="AK10">
        <f>+'Riostras Fcr'!C17</f>
        <v>8.5</v>
      </c>
      <c r="AL10" s="105">
        <f>+AJ10/AK10</f>
        <v>16.470588235294116</v>
      </c>
      <c r="AM10" s="105" t="e">
        <f>IF('Riostras Fcr'!#REF!="no",5,(IF(OR(('Riostras Fcr'!#REF!/AJ10)&gt;3,('Riostras Fcr'!#REF!/AJ10)&gt;(((260)/(AJ10/AK10))^2)),5,(5+((5)/(('Riostras Fcr'!#REF!/AJ10)^2))))))</f>
        <v>#REF!</v>
      </c>
      <c r="AN10" t="s">
        <v>1088</v>
      </c>
      <c r="AP10" t="e">
        <f>1.1*SQRT((AM10*'Riostras Fcr'!$D$6)/'Riostras Fcr'!$D$8)</f>
        <v>#REF!</v>
      </c>
      <c r="AQ10" t="e">
        <f>IF(AL10&lt;=AP10,"Cumple","No cumple")</f>
        <v>#REF!</v>
      </c>
      <c r="AR10" s="105">
        <v>1</v>
      </c>
      <c r="AS10">
        <f>+AJ10*AK10</f>
        <v>1190</v>
      </c>
      <c r="AT10">
        <f>((0.6*'Riostras Fcr'!$D$8*AS10*AR10)/1000)*2</f>
        <v>357</v>
      </c>
      <c r="AY10" s="105"/>
      <c r="AZ10" s="105"/>
      <c r="BE10" s="105"/>
    </row>
    <row r="11" spans="1:59" ht="200.1" customHeight="1" x14ac:dyDescent="0.25">
      <c r="L11" s="83" t="s">
        <v>588</v>
      </c>
      <c r="M11" s="82"/>
      <c r="N11">
        <v>1</v>
      </c>
      <c r="O11">
        <v>1</v>
      </c>
      <c r="P11">
        <v>0</v>
      </c>
      <c r="R11" s="663" t="s">
        <v>1006</v>
      </c>
      <c r="S11" s="663"/>
      <c r="T11" s="101">
        <f>(SQRT(('Riostras Fcr'!C24)*('Riostras Fcr'!C29))/('Riostras Fcr'!C26))/10000</f>
        <v>4.3532388367934953E-3</v>
      </c>
      <c r="U11" s="101" t="e">
        <f>((VLOOKUP('Riostras Fcr'!E3,'Tabla Perfiles laminados'!A402:AC453,29,FALSE))/2)*SQRT('Riostras Fcr'!C24/'Riostras Fcr'!C29)</f>
        <v>#N/A</v>
      </c>
      <c r="V11" s="101" t="e">
        <f>1.95*SQRT(T11)*('Riostras Fcr'!$D$6/(0.7*'Riostras Fcr'!$D$8))*SQRT(('Riostras Fcr'!$C$30*U11)/('Riostras Fcr'!$C$26*(VLOOKUP('Riostras Fcr'!$E$3,'Tabla Perfiles laminados'!$A$402:$AC$425,29,FALSE))))*(SQRT(1+SQRT(1+(6.76*(((0.7*'Riostras Fcr'!$D$8*'Riostras Fcr'!$C$26*(VLOOKUP('Riostras Fcr'!$E$3,'Tabla Perfiles laminados'!$A$402:$AC$425,29,FALSE)))/('Riostras Fcr'!$D$6*'Riostras Fcr'!$C$30*U11))^2)))))</f>
        <v>#N/A</v>
      </c>
      <c r="X11" s="132" t="s">
        <v>1012</v>
      </c>
      <c r="Y11" s="132" t="s">
        <v>1014</v>
      </c>
      <c r="Z11" s="132">
        <f>IF(('Riostras Fcr'!$D$10*'Riostras Fcr'!$C$28/1000000*'Riostras Fcr'!$D$8*1000)&lt;=(1.6*'Riostras Fcr'!$D$8*1000*'Riostras Fcr'!$C$26/1000000),('Riostras Fcr'!$D$10*'Riostras Fcr'!$C$28/1000000*'Riostras Fcr'!$D$8*1000),(1.6*'Riostras Fcr'!$D$8*1000*'Riostras Fcr'!$C$26/1000000))</f>
        <v>18.945</v>
      </c>
      <c r="AN11" t="s">
        <v>1089</v>
      </c>
      <c r="AO11" t="e">
        <f>1.1*SQRT((AM10*'Riostras Fcr'!$D$6)/'Riostras Fcr'!$D$8)</f>
        <v>#REF!</v>
      </c>
      <c r="AP11" t="e">
        <f>1.37*SQRT((AM10*'Riostras Fcr'!$D$6)/'Riostras Fcr'!$D$8)</f>
        <v>#REF!</v>
      </c>
      <c r="AQ11" t="e">
        <f>IF(AND(AO11&lt;AL10,AL10&lt;=AP11),"Cumple","No cumple")</f>
        <v>#REF!</v>
      </c>
      <c r="AR11" s="105" t="e">
        <f>(1.1*(SQRT((AM10*'Riostras Fcr'!$D$6)/('Riostras Fcr'!$D$8)))/(AJ10/AK10))</f>
        <v>#REF!</v>
      </c>
      <c r="AT11" t="e">
        <f>((0.6*'Riostras Fcr'!$D$8*AS10*AR11)/1000)*2</f>
        <v>#REF!</v>
      </c>
      <c r="BE11" s="105"/>
    </row>
    <row r="12" spans="1:59" ht="200.1" customHeight="1" x14ac:dyDescent="0.25">
      <c r="L12" s="83" t="s">
        <v>978</v>
      </c>
      <c r="M12" s="82"/>
      <c r="N12">
        <v>1</v>
      </c>
      <c r="O12">
        <v>1</v>
      </c>
      <c r="P12">
        <v>0</v>
      </c>
      <c r="R12" s="671" t="s">
        <v>1003</v>
      </c>
      <c r="S12" s="672"/>
      <c r="T12" s="103">
        <f>(SQRT(('Riostras Fcr'!C24)*('Riostras Fcr'!C29))/('Riostras Fcr'!C26))/10000</f>
        <v>4.3532388367934953E-3</v>
      </c>
      <c r="U12" s="269">
        <v>1</v>
      </c>
      <c r="V12" s="101">
        <f>1.95*SQRT(T12)*('Riostras Fcr'!$D$6/(0.7*'Riostras Fcr'!$D$8))*SQRT(('Riostras Fcr'!$C$30*U12)/('Riostras Fcr'!$C$26*(VLOOKUP('Riostras Fcr'!$E$3,'Tabla Perfiles laminados'!$A$4:$AC$401,29,FALSE))))*(SQRT(1+SQRT(1+(6.76*(((0.7*'Riostras Fcr'!$D$8*'Riostras Fcr'!$C$26*(VLOOKUP('Riostras Fcr'!$E$3,'Tabla Perfiles laminados'!$A$4:$AC$401,29,FALSE)))/('Riostras Fcr'!$D$6*'Riostras Fcr'!$C$30*U12))^2)))))</f>
        <v>20.11270548617529</v>
      </c>
      <c r="X12" s="269" t="s">
        <v>1013</v>
      </c>
      <c r="Y12" s="269" t="s">
        <v>1015</v>
      </c>
      <c r="Z12" s="132">
        <f>IF(('Riostras Fcr'!$D$10*'Riostras Fcr'!$C$28/1000000*'Riostras Fcr'!$D$8*1000)&lt;=(1.6*'Riostras Fcr'!$D$8*1000*'Riostras Fcr'!$C$26/1000000),('Riostras Fcr'!$D$10*'Riostras Fcr'!$C$28/1000000*'Riostras Fcr'!$D$8*1000),(1.6*'Riostras Fcr'!$D$8*1000*'Riostras Fcr'!$C$26/1000000))</f>
        <v>18.945</v>
      </c>
      <c r="AN12" t="s">
        <v>1091</v>
      </c>
      <c r="AO12" t="e">
        <f>1.37*SQRT((AM10*'Riostras Fcr'!$D$6)/'Riostras Fcr'!$D$8)</f>
        <v>#REF!</v>
      </c>
      <c r="AQ12" t="e">
        <f>IF(AL10&gt;AO12,"Cumple","No cumple")</f>
        <v>#REF!</v>
      </c>
      <c r="AR12" s="105" t="e">
        <f>(1.51*AM10*'Riostras Fcr'!$D$6)/(((AJ10/AK10)^2)*'Riostras Fcr'!$D$8)</f>
        <v>#REF!</v>
      </c>
      <c r="AT12" t="e">
        <f>((0.6*'Riostras Fcr'!$D$8*AS10*AR12)/1000)*2</f>
        <v>#REF!</v>
      </c>
      <c r="BE12" s="105"/>
    </row>
    <row r="13" spans="1:59" ht="200.1" customHeight="1" x14ac:dyDescent="0.25">
      <c r="L13" s="83" t="s">
        <v>979</v>
      </c>
      <c r="M13" s="82"/>
      <c r="N13">
        <v>1</v>
      </c>
      <c r="O13">
        <v>1</v>
      </c>
      <c r="P13">
        <v>0</v>
      </c>
      <c r="U13" s="270"/>
    </row>
    <row r="14" spans="1:59" ht="200.1" customHeight="1" x14ac:dyDescent="0.25">
      <c r="L14" s="83" t="s">
        <v>977</v>
      </c>
      <c r="M14" s="82"/>
      <c r="N14">
        <v>1</v>
      </c>
      <c r="O14">
        <v>1</v>
      </c>
      <c r="P14">
        <v>0</v>
      </c>
    </row>
    <row r="15" spans="1:59" ht="200.1" customHeight="1" x14ac:dyDescent="0.25">
      <c r="L15" s="83" t="s">
        <v>980</v>
      </c>
      <c r="M15" s="82"/>
      <c r="N15">
        <v>1</v>
      </c>
      <c r="O15">
        <v>1</v>
      </c>
      <c r="P15">
        <v>0</v>
      </c>
    </row>
    <row r="16" spans="1:59" ht="200.1" customHeight="1" x14ac:dyDescent="0.25">
      <c r="L16" s="83" t="s">
        <v>981</v>
      </c>
      <c r="M16" s="82"/>
      <c r="N16">
        <v>1</v>
      </c>
      <c r="O16">
        <v>0</v>
      </c>
      <c r="P16">
        <v>1</v>
      </c>
    </row>
    <row r="17" spans="12:16" ht="200.1" customHeight="1" x14ac:dyDescent="0.25">
      <c r="L17" s="83" t="s">
        <v>982</v>
      </c>
      <c r="M17" s="82"/>
      <c r="N17">
        <v>1</v>
      </c>
      <c r="O17">
        <v>0</v>
      </c>
      <c r="P17">
        <v>1</v>
      </c>
    </row>
    <row r="18" spans="12:16" ht="200.1" customHeight="1" x14ac:dyDescent="0.25">
      <c r="L18" s="83" t="s">
        <v>589</v>
      </c>
      <c r="M18" s="82"/>
      <c r="N18">
        <v>1</v>
      </c>
      <c r="O18">
        <v>0</v>
      </c>
      <c r="P18">
        <v>0</v>
      </c>
    </row>
    <row r="19" spans="12:16" ht="200.1" customHeight="1" x14ac:dyDescent="0.25">
      <c r="L19" s="83" t="s">
        <v>590</v>
      </c>
      <c r="M19" s="82"/>
      <c r="N19">
        <v>1</v>
      </c>
      <c r="O19">
        <v>0</v>
      </c>
      <c r="P19">
        <v>0</v>
      </c>
    </row>
    <row r="20" spans="12:16" ht="200.1" customHeight="1" x14ac:dyDescent="0.25">
      <c r="L20" s="83" t="s">
        <v>591</v>
      </c>
      <c r="M20" s="82"/>
      <c r="N20">
        <v>1</v>
      </c>
      <c r="O20">
        <v>0</v>
      </c>
      <c r="P20">
        <v>0</v>
      </c>
    </row>
  </sheetData>
  <mergeCells count="36">
    <mergeCell ref="G1:J1"/>
    <mergeCell ref="R1:V1"/>
    <mergeCell ref="AD1:AG1"/>
    <mergeCell ref="AI1:AT1"/>
    <mergeCell ref="AV1:BG1"/>
    <mergeCell ref="R4:S4"/>
    <mergeCell ref="AT2:AT3"/>
    <mergeCell ref="AV2:AV3"/>
    <mergeCell ref="AW2:AW3"/>
    <mergeCell ref="AX2:AX3"/>
    <mergeCell ref="AK2:AK3"/>
    <mergeCell ref="AL2:AL3"/>
    <mergeCell ref="AM2:AM3"/>
    <mergeCell ref="AN2:AN3"/>
    <mergeCell ref="AR2:AR3"/>
    <mergeCell ref="AS2:AS3"/>
    <mergeCell ref="R2:S2"/>
    <mergeCell ref="AD2:AE2"/>
    <mergeCell ref="AF2:AG2"/>
    <mergeCell ref="AI2:AI3"/>
    <mergeCell ref="AJ2:AJ3"/>
    <mergeCell ref="BA2:BA3"/>
    <mergeCell ref="BE2:BE3"/>
    <mergeCell ref="BF2:BF3"/>
    <mergeCell ref="BG2:BG3"/>
    <mergeCell ref="R3:S3"/>
    <mergeCell ref="AY2:AY3"/>
    <mergeCell ref="AZ2:AZ3"/>
    <mergeCell ref="R11:S11"/>
    <mergeCell ref="R12:S12"/>
    <mergeCell ref="R5:S5"/>
    <mergeCell ref="L6:M6"/>
    <mergeCell ref="N6:P6"/>
    <mergeCell ref="R8:V8"/>
    <mergeCell ref="R9:S9"/>
    <mergeCell ref="R10:S10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3857F0"/>
    <pageSetUpPr fitToPage="1"/>
  </sheetPr>
  <dimension ref="B1:AO504"/>
  <sheetViews>
    <sheetView view="pageBreakPreview" zoomScale="70" zoomScaleNormal="55" zoomScaleSheetLayoutView="70" workbookViewId="0">
      <selection activeCell="S29" sqref="S29"/>
    </sheetView>
  </sheetViews>
  <sheetFormatPr baseColWidth="10" defaultColWidth="11.42578125" defaultRowHeight="12.75" x14ac:dyDescent="0.2"/>
  <cols>
    <col min="1" max="1" width="9.42578125" style="287" customWidth="1"/>
    <col min="2" max="2" width="3.7109375" style="286" customWidth="1"/>
    <col min="3" max="3" width="13.7109375" style="287" bestFit="1" customWidth="1"/>
    <col min="4" max="4" width="22.7109375" style="287" bestFit="1" customWidth="1"/>
    <col min="5" max="5" width="3.140625" style="287" customWidth="1"/>
    <col min="6" max="6" width="2.85546875" style="287" customWidth="1"/>
    <col min="7" max="7" width="13.28515625" style="287" bestFit="1" customWidth="1"/>
    <col min="8" max="8" width="5.7109375" style="287" customWidth="1"/>
    <col min="9" max="9" width="5.28515625" style="287" customWidth="1"/>
    <col min="10" max="10" width="3.140625" style="287" customWidth="1"/>
    <col min="11" max="11" width="10.28515625" style="287" bestFit="1" customWidth="1"/>
    <col min="12" max="12" width="4.5703125" style="287" bestFit="1" customWidth="1"/>
    <col min="13" max="13" width="7.140625" style="287" customWidth="1"/>
    <col min="14" max="14" width="3.7109375" style="286" customWidth="1"/>
    <col min="15" max="15" width="11.42578125" style="287"/>
    <col min="16" max="16" width="8.7109375" style="287" bestFit="1" customWidth="1"/>
    <col min="17" max="17" width="10.5703125" style="288" bestFit="1" customWidth="1"/>
    <col min="18" max="19" width="10.5703125" style="288" customWidth="1"/>
    <col min="20" max="20" width="11.42578125" style="287"/>
    <col min="21" max="21" width="10.85546875" style="287" bestFit="1" customWidth="1"/>
    <col min="22" max="22" width="4.7109375" style="287" bestFit="1" customWidth="1"/>
    <col min="23" max="25" width="11.42578125" style="287"/>
    <col min="26" max="26" width="12.140625" style="287" customWidth="1"/>
    <col min="27" max="27" width="11.85546875" style="287" bestFit="1" customWidth="1"/>
    <col min="28" max="28" width="8.140625" style="287" bestFit="1" customWidth="1"/>
    <col min="29" max="31" width="7.28515625" style="287" bestFit="1" customWidth="1"/>
    <col min="32" max="32" width="8.140625" style="287" bestFit="1" customWidth="1"/>
    <col min="33" max="33" width="12.140625" style="287" customWidth="1"/>
    <col min="34" max="34" width="10.28515625" style="287" customWidth="1"/>
    <col min="35" max="35" width="17.42578125" style="287" customWidth="1"/>
    <col min="36" max="41" width="10.28515625" style="287" customWidth="1"/>
    <col min="42" max="16384" width="11.42578125" style="287"/>
  </cols>
  <sheetData>
    <row r="1" spans="2:41" ht="13.5" thickBot="1" x14ac:dyDescent="0.25"/>
    <row r="2" spans="2:41" ht="16.5" customHeight="1" x14ac:dyDescent="0.2">
      <c r="B2" s="686" t="str">
        <f>IF(D6="Bogotá","ESPECTRO MICROZONIFICACIÓN SÍSMICA DE BOGOTÁ - Decreto 523 de 2010 &amp; ESTUDIO DE SUELOS","ESPECTRO NSR-10")</f>
        <v>ESPECTRO MICROZONIFICACIÓN SÍSMICA DE BOGOTÁ - Decreto 523 de 2010 &amp; ESTUDIO DE SUELOS</v>
      </c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8"/>
      <c r="Z2" s="479" t="s">
        <v>1217</v>
      </c>
      <c r="AA2" s="480"/>
      <c r="AB2" s="480"/>
      <c r="AC2" s="480"/>
      <c r="AD2" s="480"/>
      <c r="AE2" s="480"/>
      <c r="AF2" s="480"/>
      <c r="AG2" s="481"/>
      <c r="AH2" s="479" t="s">
        <v>1218</v>
      </c>
      <c r="AI2" s="480"/>
      <c r="AJ2" s="480"/>
      <c r="AK2" s="480"/>
      <c r="AL2" s="480"/>
      <c r="AM2" s="480"/>
      <c r="AN2" s="480"/>
      <c r="AO2" s="481"/>
    </row>
    <row r="3" spans="2:41" ht="16.5" customHeight="1" thickBot="1" x14ac:dyDescent="0.25">
      <c r="B3" s="689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1"/>
      <c r="P3" s="289" t="s">
        <v>1219</v>
      </c>
      <c r="Q3" s="290" t="s">
        <v>1220</v>
      </c>
      <c r="R3" s="290"/>
      <c r="S3" s="290"/>
      <c r="V3" s="4"/>
      <c r="Z3" s="482"/>
      <c r="AA3" s="483"/>
      <c r="AB3" s="483"/>
      <c r="AC3" s="483"/>
      <c r="AD3" s="483"/>
      <c r="AE3" s="483"/>
      <c r="AF3" s="483"/>
      <c r="AG3" s="484"/>
      <c r="AH3" s="482"/>
      <c r="AI3" s="483"/>
      <c r="AJ3" s="483"/>
      <c r="AK3" s="483"/>
      <c r="AL3" s="483"/>
      <c r="AM3" s="483"/>
      <c r="AN3" s="483"/>
      <c r="AO3" s="484"/>
    </row>
    <row r="4" spans="2:41" ht="13.5" thickBot="1" x14ac:dyDescent="0.25">
      <c r="B4" s="291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292"/>
      <c r="P4" s="333">
        <v>0</v>
      </c>
      <c r="Q4" s="293">
        <f>(IF(P4&lt;=$D$13,2.5*$D$9*$L$7*$H$7,IF(AND(P4&lt;=$D$14,P4&gt;$D$13),1.2*$D$10*$L$8*$H$7/P4,1.2*$D$10*$L$8*$D$14*$H$7/(P4^2))))</f>
        <v>0.41250000000000003</v>
      </c>
      <c r="R4" s="293"/>
      <c r="S4" s="293"/>
      <c r="U4" s="485" t="s">
        <v>1221</v>
      </c>
      <c r="V4" s="486"/>
      <c r="Z4" s="294"/>
      <c r="AA4" s="295"/>
      <c r="AB4" s="295"/>
      <c r="AC4" s="295"/>
      <c r="AD4" s="295"/>
      <c r="AE4" s="295"/>
      <c r="AF4" s="295"/>
      <c r="AG4" s="296"/>
      <c r="AH4" s="294"/>
      <c r="AI4" s="295"/>
      <c r="AJ4" s="295"/>
      <c r="AK4" s="295"/>
      <c r="AL4" s="295"/>
      <c r="AM4" s="295"/>
      <c r="AN4" s="295"/>
      <c r="AO4" s="296"/>
    </row>
    <row r="5" spans="2:41" x14ac:dyDescent="0.2">
      <c r="B5" s="291"/>
      <c r="C5" s="474" t="s">
        <v>1225</v>
      </c>
      <c r="D5" s="474"/>
      <c r="E5" s="412"/>
      <c r="F5" s="475" t="s">
        <v>1226</v>
      </c>
      <c r="G5" s="474"/>
      <c r="H5" s="474"/>
      <c r="I5" s="476"/>
      <c r="J5" s="475" t="s">
        <v>1227</v>
      </c>
      <c r="K5" s="474"/>
      <c r="L5" s="474"/>
      <c r="M5" s="412"/>
      <c r="N5" s="292"/>
      <c r="P5" s="333">
        <v>0.02</v>
      </c>
      <c r="Q5" s="293">
        <f t="shared" ref="Q5:Q68" si="0">(IF(P5&lt;=$D$13,2.5*$D$9*$L$7*$H$7,IF(AND(P5&lt;=$D$14,P5&gt;$D$13),1.2*$D$10*$L$8*$H$7/P5,1.2*$D$10*$L$8*$D$14*$H$7/(P5^2))))</f>
        <v>0.41250000000000003</v>
      </c>
      <c r="R5" s="293"/>
      <c r="S5" s="293"/>
      <c r="U5" s="297" t="s">
        <v>1003</v>
      </c>
      <c r="V5" s="297">
        <v>1</v>
      </c>
      <c r="Z5" s="294"/>
      <c r="AA5" s="295"/>
      <c r="AB5" s="295"/>
      <c r="AC5" s="295"/>
      <c r="AD5" s="295"/>
      <c r="AE5" s="295"/>
      <c r="AF5" s="295"/>
      <c r="AG5" s="296"/>
      <c r="AH5" s="294"/>
      <c r="AI5" s="295"/>
      <c r="AJ5" s="295"/>
      <c r="AK5" s="295"/>
      <c r="AL5" s="295"/>
      <c r="AM5" s="295"/>
      <c r="AN5" s="295"/>
      <c r="AO5" s="296"/>
    </row>
    <row r="6" spans="2:41" x14ac:dyDescent="0.2">
      <c r="B6" s="291"/>
      <c r="C6" s="341" t="s">
        <v>1228</v>
      </c>
      <c r="D6" s="337" t="s">
        <v>2416</v>
      </c>
      <c r="E6" s="299"/>
      <c r="F6" s="300"/>
      <c r="G6" s="342" t="s">
        <v>1230</v>
      </c>
      <c r="H6" s="337" t="s">
        <v>1003</v>
      </c>
      <c r="I6" s="301"/>
      <c r="J6" s="298"/>
      <c r="K6" s="342" t="str">
        <f>+IF(D6="Bogotá","","Perfil Tipo :")</f>
        <v/>
      </c>
      <c r="L6" s="345"/>
      <c r="M6" s="302"/>
      <c r="N6" s="292"/>
      <c r="P6" s="333">
        <v>0.04</v>
      </c>
      <c r="Q6" s="293">
        <f t="shared" si="0"/>
        <v>0.41250000000000003</v>
      </c>
      <c r="R6" s="293"/>
      <c r="S6" s="293"/>
      <c r="U6" s="297" t="s">
        <v>1222</v>
      </c>
      <c r="V6" s="297">
        <v>1.1000000000000001</v>
      </c>
      <c r="Z6" s="294"/>
      <c r="AA6" s="295"/>
      <c r="AB6" s="295"/>
      <c r="AC6" s="295"/>
      <c r="AD6" s="295"/>
      <c r="AE6" s="295"/>
      <c r="AF6" s="295"/>
      <c r="AG6" s="296"/>
      <c r="AH6" s="294"/>
      <c r="AI6" s="295"/>
      <c r="AJ6" s="295"/>
      <c r="AK6" s="295"/>
      <c r="AL6" s="295"/>
      <c r="AM6" s="295"/>
      <c r="AN6" s="295"/>
      <c r="AO6" s="296"/>
    </row>
    <row r="7" spans="2:41" x14ac:dyDescent="0.2">
      <c r="B7" s="291"/>
      <c r="C7" s="341" t="s">
        <v>1233</v>
      </c>
      <c r="D7" s="337" t="s">
        <v>2416</v>
      </c>
      <c r="E7" s="299"/>
      <c r="F7" s="300"/>
      <c r="G7" s="343" t="s">
        <v>1235</v>
      </c>
      <c r="H7" s="344">
        <f>+VLOOKUP(H6,U5:V8,2,FALSE)</f>
        <v>1</v>
      </c>
      <c r="I7" s="303"/>
      <c r="J7" s="298"/>
      <c r="K7" s="346" t="s">
        <v>1236</v>
      </c>
      <c r="L7" s="347">
        <f>+IF(D7="Bogotá",VLOOKUP(D8,AI27:AK42,2,FALSE),(INDEX(Fa!B2:K7,MATCH(L6,Fa!A2:A7,0),MATCH(D9,Fa!B1:K1,0))))</f>
        <v>1.1000000000000001</v>
      </c>
      <c r="M7" s="304"/>
      <c r="N7" s="292"/>
      <c r="P7" s="333">
        <v>0.06</v>
      </c>
      <c r="Q7" s="293">
        <f t="shared" si="0"/>
        <v>0.41250000000000003</v>
      </c>
      <c r="R7" s="293"/>
      <c r="S7" s="293"/>
      <c r="U7" s="297" t="s">
        <v>1223</v>
      </c>
      <c r="V7" s="297">
        <v>1.25</v>
      </c>
      <c r="Z7" s="294"/>
      <c r="AA7" s="295"/>
      <c r="AB7" s="295"/>
      <c r="AC7" s="295"/>
      <c r="AD7" s="295"/>
      <c r="AE7" s="295"/>
      <c r="AF7" s="295"/>
      <c r="AG7" s="296"/>
      <c r="AH7" s="294"/>
      <c r="AI7" s="295"/>
      <c r="AJ7" s="295"/>
      <c r="AK7" s="295"/>
      <c r="AL7" s="295"/>
      <c r="AM7" s="295"/>
      <c r="AN7" s="295"/>
      <c r="AO7" s="296"/>
    </row>
    <row r="8" spans="2:41" x14ac:dyDescent="0.2">
      <c r="B8" s="291"/>
      <c r="C8" s="338" t="str">
        <f>IF($D$6="Bogotá","Zona :"," ")</f>
        <v>Zona :</v>
      </c>
      <c r="D8" s="340" t="s">
        <v>1256</v>
      </c>
      <c r="E8" s="299"/>
      <c r="F8" s="300"/>
      <c r="G8" s="477" t="s">
        <v>1239</v>
      </c>
      <c r="H8" s="477"/>
      <c r="I8" s="305"/>
      <c r="J8" s="298"/>
      <c r="K8" s="346" t="s">
        <v>1240</v>
      </c>
      <c r="L8" s="347">
        <f>+IF(D7="Bogotá",VLOOKUP(D8,AI27:AK42,3,FALSE),(INDEX(Fv!B2:K7,MATCH(L6,Fv!A2:A7,0),MATCH(D9,Fv!B1:K1,0))))</f>
        <v>2.8</v>
      </c>
      <c r="M8" s="304"/>
      <c r="N8" s="292"/>
      <c r="P8" s="333">
        <v>0.08</v>
      </c>
      <c r="Q8" s="293">
        <f t="shared" si="0"/>
        <v>0.41250000000000003</v>
      </c>
      <c r="R8" s="293"/>
      <c r="S8" s="293"/>
      <c r="U8" s="297" t="s">
        <v>1224</v>
      </c>
      <c r="V8" s="297">
        <v>1.5</v>
      </c>
      <c r="Z8" s="294"/>
      <c r="AA8" s="295"/>
      <c r="AB8" s="295"/>
      <c r="AC8" s="295"/>
      <c r="AD8" s="295"/>
      <c r="AE8" s="295"/>
      <c r="AF8" s="295"/>
      <c r="AG8" s="296"/>
      <c r="AH8" s="294"/>
      <c r="AI8" s="295"/>
      <c r="AJ8" s="295"/>
      <c r="AK8" s="295"/>
      <c r="AL8" s="295"/>
      <c r="AM8" s="295"/>
      <c r="AN8" s="295"/>
      <c r="AO8" s="296"/>
    </row>
    <row r="9" spans="2:41" ht="15" x14ac:dyDescent="0.2">
      <c r="B9" s="291"/>
      <c r="C9" s="338" t="s">
        <v>2402</v>
      </c>
      <c r="D9" s="339">
        <f>VLOOKUP(D7,'coef sismicos'!A1:F1118,2,FALSE)</f>
        <v>0.15</v>
      </c>
      <c r="E9" s="306"/>
      <c r="F9" s="300"/>
      <c r="G9" s="478" t="str">
        <f>INDEX('coef sismicos'!A2:F1118,MATCH(D7,'coef sismicos'!A2:A1118,0),4)</f>
        <v>Intermedia</v>
      </c>
      <c r="H9" s="478"/>
      <c r="I9" s="307"/>
      <c r="J9" s="298"/>
      <c r="K9" s="5"/>
      <c r="L9" s="5"/>
      <c r="M9" s="5"/>
      <c r="N9" s="292"/>
      <c r="P9" s="333">
        <v>0.1</v>
      </c>
      <c r="Q9" s="293">
        <f t="shared" si="0"/>
        <v>0.41250000000000003</v>
      </c>
      <c r="R9" s="293"/>
      <c r="S9" s="293"/>
      <c r="Z9" s="294"/>
      <c r="AA9" s="295"/>
      <c r="AB9" s="295"/>
      <c r="AC9" s="295"/>
      <c r="AD9" s="295"/>
      <c r="AE9" s="295"/>
      <c r="AF9" s="295"/>
      <c r="AG9" s="296"/>
      <c r="AH9" s="294"/>
      <c r="AI9" s="295"/>
      <c r="AJ9" s="295"/>
      <c r="AK9" s="295"/>
      <c r="AL9" s="295"/>
      <c r="AM9" s="295"/>
      <c r="AN9" s="295"/>
      <c r="AO9" s="296"/>
    </row>
    <row r="10" spans="2:41" ht="15" x14ac:dyDescent="0.2">
      <c r="B10" s="291"/>
      <c r="C10" s="338" t="s">
        <v>2403</v>
      </c>
      <c r="D10" s="339">
        <f>VLOOKUP(D7,'coef sismicos'!A1:F1118,3,FALSE)</f>
        <v>0.2</v>
      </c>
      <c r="E10" s="306"/>
      <c r="F10" s="300"/>
      <c r="G10" s="298"/>
      <c r="H10" s="298"/>
      <c r="I10" s="308"/>
      <c r="J10" s="298"/>
      <c r="K10" s="5"/>
      <c r="L10" s="5"/>
      <c r="M10" s="5"/>
      <c r="N10" s="292"/>
      <c r="P10" s="333">
        <v>0.12</v>
      </c>
      <c r="Q10" s="293">
        <f t="shared" si="0"/>
        <v>0.41250000000000003</v>
      </c>
      <c r="R10" s="293"/>
      <c r="S10" s="293"/>
      <c r="U10" s="297" t="s">
        <v>1232</v>
      </c>
      <c r="Z10" s="294"/>
      <c r="AA10" s="295"/>
      <c r="AB10" s="295"/>
      <c r="AC10" s="295"/>
      <c r="AD10" s="295"/>
      <c r="AE10" s="295"/>
      <c r="AF10" s="295"/>
      <c r="AG10" s="296"/>
      <c r="AH10" s="294"/>
      <c r="AI10" s="295"/>
      <c r="AJ10" s="295"/>
      <c r="AK10" s="295"/>
      <c r="AL10" s="295"/>
      <c r="AM10" s="295"/>
      <c r="AN10" s="295"/>
      <c r="AO10" s="296"/>
    </row>
    <row r="11" spans="2:41" ht="15" thickBot="1" x14ac:dyDescent="0.25">
      <c r="B11" s="291"/>
      <c r="C11" s="309"/>
      <c r="D11" s="310"/>
      <c r="E11" s="309"/>
      <c r="F11" s="311"/>
      <c r="G11" s="309"/>
      <c r="H11" s="309"/>
      <c r="I11" s="312"/>
      <c r="J11" s="309"/>
      <c r="K11" s="309"/>
      <c r="L11" s="313"/>
      <c r="M11" s="313"/>
      <c r="N11" s="292"/>
      <c r="P11" s="333">
        <v>0.14000000000000001</v>
      </c>
      <c r="Q11" s="293">
        <f t="shared" si="0"/>
        <v>0.41250000000000003</v>
      </c>
      <c r="R11" s="293"/>
      <c r="S11" s="293"/>
      <c r="U11" s="297" t="s">
        <v>1237</v>
      </c>
      <c r="Z11" s="294"/>
      <c r="AA11" s="295"/>
      <c r="AB11" s="295"/>
      <c r="AC11" s="295"/>
      <c r="AD11" s="295"/>
      <c r="AE11" s="295"/>
      <c r="AF11" s="295"/>
      <c r="AG11" s="296"/>
      <c r="AH11" s="294"/>
      <c r="AI11" s="295"/>
      <c r="AJ11" s="295"/>
      <c r="AK11" s="295"/>
      <c r="AL11" s="295"/>
      <c r="AM11" s="295"/>
      <c r="AN11" s="295"/>
      <c r="AO11" s="296"/>
    </row>
    <row r="12" spans="2:41" ht="14.25" x14ac:dyDescent="0.2">
      <c r="B12" s="291"/>
      <c r="C12" s="298"/>
      <c r="D12" s="314"/>
      <c r="E12" s="298"/>
      <c r="F12" s="298"/>
      <c r="G12" s="298"/>
      <c r="H12" s="298"/>
      <c r="I12" s="298"/>
      <c r="J12" s="298"/>
      <c r="K12" s="298"/>
      <c r="L12" s="5"/>
      <c r="M12" s="5"/>
      <c r="N12" s="292"/>
      <c r="P12" s="333">
        <v>0.16</v>
      </c>
      <c r="Q12" s="293">
        <f t="shared" si="0"/>
        <v>0.41250000000000003</v>
      </c>
      <c r="R12" s="293"/>
      <c r="S12" s="293"/>
      <c r="U12" s="297" t="s">
        <v>1241</v>
      </c>
      <c r="Z12" s="294"/>
      <c r="AA12" s="295"/>
      <c r="AB12" s="295"/>
      <c r="AC12" s="295"/>
      <c r="AD12" s="295"/>
      <c r="AE12" s="295"/>
      <c r="AF12" s="295"/>
      <c r="AG12" s="296"/>
      <c r="AH12" s="294"/>
      <c r="AI12" s="295"/>
      <c r="AJ12" s="295"/>
      <c r="AK12" s="295"/>
      <c r="AL12" s="295"/>
      <c r="AM12" s="295"/>
      <c r="AN12" s="295"/>
      <c r="AO12" s="296"/>
    </row>
    <row r="13" spans="2:41" ht="15" x14ac:dyDescent="0.2">
      <c r="B13" s="291"/>
      <c r="C13" s="298" t="s">
        <v>2404</v>
      </c>
      <c r="D13" s="315">
        <f>0.48*L8*D10/(L7*D9)</f>
        <v>1.6290909090909089</v>
      </c>
      <c r="E13" s="5"/>
      <c r="F13" s="5"/>
      <c r="G13" s="298"/>
      <c r="H13" s="298"/>
      <c r="I13" s="5"/>
      <c r="J13" s="5"/>
      <c r="K13" s="5"/>
      <c r="L13" s="5"/>
      <c r="M13" s="5"/>
      <c r="N13" s="292"/>
      <c r="P13" s="333">
        <v>0.18</v>
      </c>
      <c r="Q13" s="293">
        <f t="shared" si="0"/>
        <v>0.41250000000000003</v>
      </c>
      <c r="R13" s="293"/>
      <c r="S13" s="293"/>
      <c r="U13" s="297" t="s">
        <v>200</v>
      </c>
      <c r="Z13" s="294"/>
      <c r="AA13" s="295"/>
      <c r="AB13" s="295"/>
      <c r="AC13" s="295"/>
      <c r="AD13" s="295"/>
      <c r="AE13" s="295"/>
      <c r="AF13" s="295"/>
      <c r="AG13" s="296"/>
      <c r="AH13" s="294"/>
      <c r="AI13" s="295"/>
      <c r="AJ13" s="295"/>
      <c r="AK13" s="295"/>
      <c r="AL13" s="295"/>
      <c r="AM13" s="295"/>
      <c r="AN13" s="295"/>
      <c r="AO13" s="296"/>
    </row>
    <row r="14" spans="2:41" ht="15" x14ac:dyDescent="0.2">
      <c r="B14" s="291"/>
      <c r="C14" s="298" t="s">
        <v>2405</v>
      </c>
      <c r="D14" s="315">
        <f>IF(D7="Bogotá",(INDEX(AJ27:AN42,MATCH(D8,AI27:AI42,0),MATCH(AM26,AJ26:AN26,0))),(2.4*L8))</f>
        <v>4</v>
      </c>
      <c r="E14" s="5"/>
      <c r="F14" s="5"/>
      <c r="G14" s="298"/>
      <c r="H14" s="298"/>
      <c r="I14" s="5"/>
      <c r="J14" s="5"/>
      <c r="K14" s="5"/>
      <c r="L14" s="316"/>
      <c r="M14" s="316"/>
      <c r="N14" s="292"/>
      <c r="P14" s="333">
        <v>0.2</v>
      </c>
      <c r="Q14" s="293">
        <f t="shared" si="0"/>
        <v>0.41250000000000003</v>
      </c>
      <c r="R14" s="293"/>
      <c r="S14" s="293"/>
      <c r="U14" s="297" t="s">
        <v>1231</v>
      </c>
      <c r="Z14" s="294"/>
      <c r="AA14" s="295"/>
      <c r="AB14" s="295"/>
      <c r="AC14" s="295"/>
      <c r="AD14" s="295"/>
      <c r="AE14" s="295"/>
      <c r="AF14" s="295"/>
      <c r="AG14" s="296"/>
      <c r="AH14" s="294"/>
      <c r="AI14" s="295"/>
      <c r="AJ14" s="295"/>
      <c r="AK14" s="295"/>
      <c r="AL14" s="295"/>
      <c r="AM14" s="295"/>
      <c r="AN14" s="295"/>
      <c r="AO14" s="296"/>
    </row>
    <row r="15" spans="2:41" ht="14.25" x14ac:dyDescent="0.2">
      <c r="B15" s="291"/>
      <c r="C15" s="298"/>
      <c r="D15" s="298"/>
      <c r="E15" s="298"/>
      <c r="F15" s="298"/>
      <c r="G15" s="298"/>
      <c r="H15" s="298"/>
      <c r="I15" s="298"/>
      <c r="J15" s="298"/>
      <c r="K15" s="298"/>
      <c r="L15" s="5"/>
      <c r="M15" s="5"/>
      <c r="N15" s="292"/>
      <c r="P15" s="333">
        <v>0.22</v>
      </c>
      <c r="Q15" s="293">
        <f t="shared" si="0"/>
        <v>0.41250000000000003</v>
      </c>
      <c r="R15" s="293"/>
      <c r="S15" s="293"/>
      <c r="U15" s="297" t="s">
        <v>1242</v>
      </c>
      <c r="Z15" s="294"/>
      <c r="AA15" s="295"/>
      <c r="AB15" s="295"/>
      <c r="AC15" s="295"/>
      <c r="AD15" s="295"/>
      <c r="AE15" s="295"/>
      <c r="AF15" s="295"/>
      <c r="AG15" s="296"/>
      <c r="AH15" s="294"/>
      <c r="AI15" s="295"/>
      <c r="AJ15" s="295"/>
      <c r="AK15" s="295"/>
      <c r="AL15" s="295"/>
      <c r="AM15" s="295"/>
      <c r="AN15" s="295"/>
      <c r="AO15" s="296"/>
    </row>
    <row r="16" spans="2:41" ht="14.25" x14ac:dyDescent="0.2">
      <c r="B16" s="291"/>
      <c r="C16" s="298"/>
      <c r="D16" s="298"/>
      <c r="E16" s="298"/>
      <c r="F16" s="298"/>
      <c r="G16" s="298"/>
      <c r="H16" s="298"/>
      <c r="I16" s="298"/>
      <c r="J16" s="298"/>
      <c r="K16" s="298"/>
      <c r="L16" s="5"/>
      <c r="M16" s="5"/>
      <c r="N16" s="292"/>
      <c r="P16" s="333">
        <v>0.24</v>
      </c>
      <c r="Q16" s="293">
        <f t="shared" si="0"/>
        <v>0.41250000000000003</v>
      </c>
      <c r="R16" s="293"/>
      <c r="S16" s="293"/>
      <c r="U16" s="297" t="s">
        <v>1243</v>
      </c>
      <c r="Z16" s="294"/>
      <c r="AA16" s="295"/>
      <c r="AB16" s="295"/>
      <c r="AC16" s="295"/>
      <c r="AD16" s="295"/>
      <c r="AE16" s="295"/>
      <c r="AF16" s="295"/>
      <c r="AG16" s="296"/>
      <c r="AH16" s="294"/>
      <c r="AI16" s="295"/>
      <c r="AJ16" s="295"/>
      <c r="AK16" s="295"/>
      <c r="AL16" s="295"/>
      <c r="AM16" s="295"/>
      <c r="AN16" s="295"/>
      <c r="AO16" s="296"/>
    </row>
    <row r="17" spans="2:41" ht="14.25" x14ac:dyDescent="0.2">
      <c r="B17" s="291"/>
      <c r="C17" s="298"/>
      <c r="D17" s="298"/>
      <c r="E17" s="298"/>
      <c r="F17" s="298"/>
      <c r="G17" s="298"/>
      <c r="H17" s="298"/>
      <c r="I17" s="298"/>
      <c r="J17" s="298"/>
      <c r="K17" s="298"/>
      <c r="L17" s="5"/>
      <c r="M17" s="5"/>
      <c r="N17" s="292"/>
      <c r="P17" s="333">
        <v>0.26</v>
      </c>
      <c r="Q17" s="293">
        <f t="shared" si="0"/>
        <v>0.41250000000000003</v>
      </c>
      <c r="R17" s="293"/>
      <c r="S17" s="293"/>
      <c r="Z17" s="294"/>
      <c r="AA17" s="295"/>
      <c r="AB17" s="295"/>
      <c r="AC17" s="295"/>
      <c r="AD17" s="295"/>
      <c r="AE17" s="295"/>
      <c r="AF17" s="295"/>
      <c r="AG17" s="296"/>
      <c r="AH17" s="294"/>
      <c r="AI17" s="295"/>
      <c r="AJ17" s="295"/>
      <c r="AK17" s="295"/>
      <c r="AL17" s="295"/>
      <c r="AM17" s="295"/>
      <c r="AN17" s="295"/>
      <c r="AO17" s="296"/>
    </row>
    <row r="18" spans="2:41" ht="14.25" x14ac:dyDescent="0.2">
      <c r="B18" s="291"/>
      <c r="C18" s="298"/>
      <c r="D18" s="298"/>
      <c r="E18" s="298"/>
      <c r="F18" s="298"/>
      <c r="G18" s="298"/>
      <c r="H18" s="298"/>
      <c r="I18" s="298"/>
      <c r="J18" s="298"/>
      <c r="K18" s="298"/>
      <c r="L18" s="5"/>
      <c r="M18" s="5"/>
      <c r="N18" s="292"/>
      <c r="P18" s="333">
        <v>0.28000000000000003</v>
      </c>
      <c r="Q18" s="293">
        <f t="shared" si="0"/>
        <v>0.41250000000000003</v>
      </c>
      <c r="R18" s="293"/>
      <c r="S18" s="293"/>
      <c r="U18" s="317">
        <f>D13</f>
        <v>1.6290909090909089</v>
      </c>
      <c r="V18" s="318">
        <f>IF(U18&lt;$D$13,2.5*$D$9*$L$7*$H$7,IF(U18&lt;$D$14,1.2*$D$10*$L$8*$H$7/U18,1.2*$D$10*$L$8*$D$14*$H$7/(U18^2)))</f>
        <v>0.41249999999999998</v>
      </c>
      <c r="Z18" s="294"/>
      <c r="AA18" s="469" t="s">
        <v>1244</v>
      </c>
      <c r="AB18" s="471" t="s">
        <v>2510</v>
      </c>
      <c r="AC18" s="472"/>
      <c r="AD18" s="472"/>
      <c r="AE18" s="472"/>
      <c r="AF18" s="473"/>
      <c r="AG18" s="296"/>
      <c r="AH18" s="294"/>
      <c r="AI18" s="295"/>
      <c r="AJ18" s="295"/>
      <c r="AK18" s="295"/>
      <c r="AL18" s="295"/>
      <c r="AM18" s="295"/>
      <c r="AN18" s="295"/>
      <c r="AO18" s="296"/>
    </row>
    <row r="19" spans="2:41" ht="15" x14ac:dyDescent="0.25">
      <c r="B19" s="291"/>
      <c r="C19" s="298"/>
      <c r="D19" s="298"/>
      <c r="E19" s="298"/>
      <c r="F19" s="298"/>
      <c r="G19" s="298"/>
      <c r="H19" s="298"/>
      <c r="I19" s="298"/>
      <c r="J19" s="298"/>
      <c r="K19" s="298"/>
      <c r="L19" s="5"/>
      <c r="M19" s="5"/>
      <c r="N19" s="292"/>
      <c r="P19" s="333">
        <v>0.3</v>
      </c>
      <c r="Q19" s="293">
        <f t="shared" si="0"/>
        <v>0.41250000000000003</v>
      </c>
      <c r="R19" s="293"/>
      <c r="S19" s="293"/>
      <c r="U19" s="317">
        <f>U18</f>
        <v>1.6290909090909089</v>
      </c>
      <c r="V19" s="297">
        <v>0</v>
      </c>
      <c r="Z19" s="294"/>
      <c r="AA19" s="470"/>
      <c r="AB19" s="319" t="s">
        <v>2406</v>
      </c>
      <c r="AC19" s="319" t="s">
        <v>2407</v>
      </c>
      <c r="AD19" s="319" t="s">
        <v>2408</v>
      </c>
      <c r="AE19" s="319" t="s">
        <v>2409</v>
      </c>
      <c r="AF19" s="319" t="s">
        <v>2410</v>
      </c>
      <c r="AG19" s="296"/>
      <c r="AH19" s="294"/>
      <c r="AI19" s="295"/>
      <c r="AJ19" s="295"/>
      <c r="AK19" s="295"/>
      <c r="AL19" s="295"/>
      <c r="AM19" s="295"/>
      <c r="AN19" s="295"/>
      <c r="AO19" s="296"/>
    </row>
    <row r="20" spans="2:41" ht="14.25" x14ac:dyDescent="0.2">
      <c r="B20" s="291"/>
      <c r="C20" s="298"/>
      <c r="D20" s="298"/>
      <c r="E20" s="298"/>
      <c r="F20" s="298"/>
      <c r="G20" s="298"/>
      <c r="H20" s="298"/>
      <c r="I20" s="298"/>
      <c r="J20" s="298"/>
      <c r="K20" s="298"/>
      <c r="L20" s="5"/>
      <c r="M20" s="5"/>
      <c r="N20" s="292"/>
      <c r="P20" s="333">
        <v>0.32</v>
      </c>
      <c r="Q20" s="293">
        <f t="shared" si="0"/>
        <v>0.41250000000000003</v>
      </c>
      <c r="R20" s="293"/>
      <c r="S20" s="293"/>
      <c r="U20" s="317">
        <f>D14</f>
        <v>4</v>
      </c>
      <c r="V20" s="318">
        <f>IF(U20&lt;$D$13,2.5*$D$9*$L$7*$H$7,IF(U20&lt;$D$14,1.2*$D$10*$L$8*$H$7/U20,1.2*$D$10*$L$8*$D$14*$H$7/(U20^2)))</f>
        <v>0.16799999999999998</v>
      </c>
      <c r="Z20" s="294"/>
      <c r="AA20" s="319" t="s">
        <v>1237</v>
      </c>
      <c r="AB20" s="320">
        <v>0.8</v>
      </c>
      <c r="AC20" s="320">
        <v>0.8</v>
      </c>
      <c r="AD20" s="320">
        <v>0.8</v>
      </c>
      <c r="AE20" s="320">
        <v>0.8</v>
      </c>
      <c r="AF20" s="320">
        <v>0.8</v>
      </c>
      <c r="AG20" s="296"/>
      <c r="AH20" s="294"/>
      <c r="AI20" s="295"/>
      <c r="AJ20" s="295"/>
      <c r="AK20" s="295"/>
      <c r="AL20" s="295"/>
      <c r="AM20" s="295"/>
      <c r="AN20" s="295"/>
      <c r="AO20" s="296"/>
    </row>
    <row r="21" spans="2:41" ht="14.25" x14ac:dyDescent="0.2">
      <c r="B21" s="291"/>
      <c r="C21" s="298"/>
      <c r="D21" s="298"/>
      <c r="E21" s="298"/>
      <c r="F21" s="298"/>
      <c r="G21" s="298"/>
      <c r="H21" s="298"/>
      <c r="I21" s="298"/>
      <c r="J21" s="298"/>
      <c r="K21" s="298"/>
      <c r="L21" s="5"/>
      <c r="M21" s="5"/>
      <c r="N21" s="292"/>
      <c r="P21" s="333">
        <v>0.34</v>
      </c>
      <c r="Q21" s="293">
        <f t="shared" si="0"/>
        <v>0.41250000000000003</v>
      </c>
      <c r="R21" s="293"/>
      <c r="S21" s="293"/>
      <c r="U21" s="317">
        <f>U20</f>
        <v>4</v>
      </c>
      <c r="V21" s="297">
        <v>0</v>
      </c>
      <c r="Z21" s="294"/>
      <c r="AA21" s="319" t="s">
        <v>1241</v>
      </c>
      <c r="AB21" s="320">
        <v>1</v>
      </c>
      <c r="AC21" s="320">
        <v>1</v>
      </c>
      <c r="AD21" s="320">
        <v>1</v>
      </c>
      <c r="AE21" s="320">
        <v>1</v>
      </c>
      <c r="AF21" s="320">
        <v>1</v>
      </c>
      <c r="AG21" s="296"/>
      <c r="AH21" s="294"/>
      <c r="AI21" s="295"/>
      <c r="AJ21" s="295"/>
      <c r="AK21" s="295"/>
      <c r="AL21" s="295"/>
      <c r="AM21" s="295"/>
      <c r="AN21" s="295"/>
      <c r="AO21" s="296"/>
    </row>
    <row r="22" spans="2:41" ht="14.25" x14ac:dyDescent="0.2">
      <c r="B22" s="291"/>
      <c r="C22" s="298"/>
      <c r="D22" s="298"/>
      <c r="E22" s="298"/>
      <c r="F22" s="298"/>
      <c r="G22" s="298"/>
      <c r="H22" s="298"/>
      <c r="I22" s="298"/>
      <c r="J22" s="298"/>
      <c r="K22" s="298"/>
      <c r="L22" s="5"/>
      <c r="M22" s="5"/>
      <c r="N22" s="292"/>
      <c r="P22" s="333">
        <v>0.36</v>
      </c>
      <c r="Q22" s="293">
        <f t="shared" si="0"/>
        <v>0.41250000000000003</v>
      </c>
      <c r="R22" s="293"/>
      <c r="S22" s="293"/>
      <c r="U22" s="4"/>
      <c r="V22" s="4"/>
      <c r="Z22" s="294"/>
      <c r="AA22" s="319" t="s">
        <v>200</v>
      </c>
      <c r="AB22" s="320">
        <v>1.2</v>
      </c>
      <c r="AC22" s="320">
        <v>1.2</v>
      </c>
      <c r="AD22" s="320">
        <v>1.1000000000000001</v>
      </c>
      <c r="AE22" s="320">
        <v>1</v>
      </c>
      <c r="AF22" s="320">
        <v>1</v>
      </c>
      <c r="AG22" s="296"/>
      <c r="AH22" s="294"/>
      <c r="AI22" s="295"/>
      <c r="AJ22" s="295"/>
      <c r="AK22" s="295"/>
      <c r="AL22" s="295"/>
      <c r="AM22" s="295"/>
      <c r="AN22" s="295"/>
      <c r="AO22" s="296"/>
    </row>
    <row r="23" spans="2:41" ht="14.25" x14ac:dyDescent="0.2">
      <c r="B23" s="291"/>
      <c r="C23" s="298"/>
      <c r="D23" s="298"/>
      <c r="E23" s="298"/>
      <c r="F23" s="298"/>
      <c r="G23" s="298"/>
      <c r="H23" s="298"/>
      <c r="I23" s="298"/>
      <c r="J23" s="298"/>
      <c r="K23" s="298"/>
      <c r="L23" s="5"/>
      <c r="M23" s="5"/>
      <c r="N23" s="292"/>
      <c r="P23" s="333">
        <v>0.38</v>
      </c>
      <c r="Q23" s="293">
        <f t="shared" si="0"/>
        <v>0.41250000000000003</v>
      </c>
      <c r="R23" s="293"/>
      <c r="S23" s="293"/>
      <c r="U23" s="4"/>
      <c r="V23" s="4"/>
      <c r="Z23" s="294"/>
      <c r="AA23" s="319" t="s">
        <v>1231</v>
      </c>
      <c r="AB23" s="320">
        <v>1.6</v>
      </c>
      <c r="AC23" s="320">
        <v>1.4</v>
      </c>
      <c r="AD23" s="320">
        <v>1.2</v>
      </c>
      <c r="AE23" s="320">
        <v>1.1000000000000001</v>
      </c>
      <c r="AF23" s="320">
        <v>1</v>
      </c>
      <c r="AG23" s="296"/>
      <c r="AH23" s="294"/>
      <c r="AI23" s="295"/>
      <c r="AJ23" s="295"/>
      <c r="AK23" s="295"/>
      <c r="AL23" s="295"/>
      <c r="AM23" s="295"/>
      <c r="AN23" s="295"/>
      <c r="AO23" s="296"/>
    </row>
    <row r="24" spans="2:41" ht="14.25" x14ac:dyDescent="0.2">
      <c r="B24" s="291"/>
      <c r="C24" s="298"/>
      <c r="D24" s="298"/>
      <c r="E24" s="298"/>
      <c r="F24" s="298"/>
      <c r="G24" s="298"/>
      <c r="H24" s="298"/>
      <c r="I24" s="298"/>
      <c r="J24" s="298"/>
      <c r="K24" s="298"/>
      <c r="L24" s="5"/>
      <c r="M24" s="5"/>
      <c r="N24" s="292"/>
      <c r="P24" s="333">
        <v>0.4</v>
      </c>
      <c r="Q24" s="293">
        <f t="shared" si="0"/>
        <v>0.41250000000000003</v>
      </c>
      <c r="R24" s="293"/>
      <c r="S24" s="293"/>
      <c r="Z24" s="294"/>
      <c r="AA24" s="319" t="s">
        <v>1242</v>
      </c>
      <c r="AB24" s="320">
        <v>2.5</v>
      </c>
      <c r="AC24" s="320">
        <v>1.7</v>
      </c>
      <c r="AD24" s="320">
        <v>1.2</v>
      </c>
      <c r="AE24" s="320">
        <v>0.9</v>
      </c>
      <c r="AF24" s="320">
        <v>0.9</v>
      </c>
      <c r="AG24" s="296"/>
      <c r="AH24" s="294"/>
      <c r="AI24" s="295"/>
      <c r="AJ24" s="295"/>
      <c r="AK24" s="295"/>
      <c r="AL24" s="295"/>
      <c r="AM24" s="295"/>
      <c r="AN24" s="295"/>
      <c r="AO24" s="296"/>
    </row>
    <row r="25" spans="2:41" ht="14.25" x14ac:dyDescent="0.2">
      <c r="B25" s="291"/>
      <c r="C25" s="298"/>
      <c r="D25" s="298"/>
      <c r="E25" s="298"/>
      <c r="F25" s="298"/>
      <c r="G25" s="298"/>
      <c r="H25" s="298"/>
      <c r="I25" s="298"/>
      <c r="J25" s="298"/>
      <c r="K25" s="298"/>
      <c r="L25" s="5"/>
      <c r="M25" s="5"/>
      <c r="N25" s="292"/>
      <c r="P25" s="333">
        <v>0.42</v>
      </c>
      <c r="Q25" s="293">
        <f t="shared" si="0"/>
        <v>0.41250000000000003</v>
      </c>
      <c r="R25" s="293"/>
      <c r="S25" s="293"/>
      <c r="Z25" s="294"/>
      <c r="AA25" s="319" t="s">
        <v>1243</v>
      </c>
      <c r="AB25" s="321" t="s">
        <v>1245</v>
      </c>
      <c r="AC25" s="321" t="s">
        <v>1245</v>
      </c>
      <c r="AD25" s="321" t="s">
        <v>1245</v>
      </c>
      <c r="AE25" s="321" t="s">
        <v>1245</v>
      </c>
      <c r="AF25" s="321" t="s">
        <v>1245</v>
      </c>
      <c r="AG25" s="296"/>
      <c r="AH25" s="294"/>
      <c r="AI25" s="295"/>
      <c r="AJ25" s="295"/>
      <c r="AK25" s="295"/>
      <c r="AL25" s="295"/>
      <c r="AM25" s="295"/>
      <c r="AN25" s="295"/>
      <c r="AO25" s="296"/>
    </row>
    <row r="26" spans="2:41" ht="15.75" x14ac:dyDescent="0.25">
      <c r="B26" s="291"/>
      <c r="C26" s="298"/>
      <c r="D26" s="298"/>
      <c r="E26" s="298"/>
      <c r="F26" s="298"/>
      <c r="G26" s="298"/>
      <c r="H26" s="298"/>
      <c r="I26" s="298"/>
      <c r="J26" s="298"/>
      <c r="K26" s="298"/>
      <c r="L26" s="5"/>
      <c r="M26" s="5"/>
      <c r="N26" s="292"/>
      <c r="P26" s="333">
        <v>0.44</v>
      </c>
      <c r="Q26" s="293">
        <f t="shared" si="0"/>
        <v>0.41250000000000003</v>
      </c>
      <c r="R26" s="293"/>
      <c r="S26" s="293"/>
      <c r="Z26" s="294"/>
      <c r="AA26" s="295"/>
      <c r="AB26" s="295"/>
      <c r="AC26" s="295"/>
      <c r="AD26" s="295"/>
      <c r="AE26" s="295"/>
      <c r="AF26" s="295"/>
      <c r="AG26" s="296"/>
      <c r="AH26" s="294"/>
      <c r="AI26" s="322" t="s">
        <v>1246</v>
      </c>
      <c r="AJ26" s="323" t="s">
        <v>2411</v>
      </c>
      <c r="AK26" s="323" t="s">
        <v>2412</v>
      </c>
      <c r="AL26" s="324" t="s">
        <v>2413</v>
      </c>
      <c r="AM26" s="324" t="s">
        <v>2414</v>
      </c>
      <c r="AN26" s="324" t="s">
        <v>2415</v>
      </c>
      <c r="AO26" s="296"/>
    </row>
    <row r="27" spans="2:41" ht="15" x14ac:dyDescent="0.25">
      <c r="B27" s="291"/>
      <c r="C27" s="298"/>
      <c r="D27" s="298"/>
      <c r="E27" s="298"/>
      <c r="F27" s="298"/>
      <c r="G27" s="298"/>
      <c r="H27" s="298"/>
      <c r="I27" s="298"/>
      <c r="J27" s="298"/>
      <c r="K27" s="298"/>
      <c r="L27" s="5"/>
      <c r="M27" s="5"/>
      <c r="N27" s="292"/>
      <c r="P27" s="333">
        <v>0.46</v>
      </c>
      <c r="Q27" s="293">
        <f t="shared" si="0"/>
        <v>0.41250000000000003</v>
      </c>
      <c r="R27" s="293"/>
      <c r="S27" s="293"/>
      <c r="Z27" s="294"/>
      <c r="AA27" s="295"/>
      <c r="AB27" s="295"/>
      <c r="AC27" s="295"/>
      <c r="AD27" s="295"/>
      <c r="AE27" s="295"/>
      <c r="AF27" s="295"/>
      <c r="AG27" s="296"/>
      <c r="AH27" s="294"/>
      <c r="AI27" s="322" t="s">
        <v>1247</v>
      </c>
      <c r="AJ27" s="284">
        <v>1.35</v>
      </c>
      <c r="AK27" s="284">
        <v>1.3</v>
      </c>
      <c r="AL27" s="284">
        <v>0.62</v>
      </c>
      <c r="AM27" s="325">
        <v>3</v>
      </c>
      <c r="AN27" s="284">
        <v>0.18</v>
      </c>
      <c r="AO27" s="296"/>
    </row>
    <row r="28" spans="2:41" ht="15" x14ac:dyDescent="0.25">
      <c r="B28" s="291"/>
      <c r="C28" s="298"/>
      <c r="D28" s="298"/>
      <c r="E28" s="298"/>
      <c r="F28" s="298"/>
      <c r="G28" s="298"/>
      <c r="H28" s="298"/>
      <c r="I28" s="298"/>
      <c r="J28" s="298"/>
      <c r="K28" s="298"/>
      <c r="L28" s="5"/>
      <c r="M28" s="5"/>
      <c r="N28" s="292"/>
      <c r="P28" s="333">
        <v>0.48</v>
      </c>
      <c r="Q28" s="293">
        <f t="shared" si="0"/>
        <v>0.41250000000000003</v>
      </c>
      <c r="R28" s="293"/>
      <c r="S28" s="293"/>
      <c r="Z28" s="294"/>
      <c r="AA28" s="295"/>
      <c r="AB28" s="295"/>
      <c r="AC28" s="295"/>
      <c r="AD28" s="295"/>
      <c r="AE28" s="295"/>
      <c r="AF28" s="295"/>
      <c r="AG28" s="296"/>
      <c r="AH28" s="294"/>
      <c r="AI28" s="322" t="s">
        <v>1248</v>
      </c>
      <c r="AJ28" s="284">
        <v>1.65</v>
      </c>
      <c r="AK28" s="284">
        <v>2</v>
      </c>
      <c r="AL28" s="284">
        <v>0.78</v>
      </c>
      <c r="AM28" s="325">
        <v>3</v>
      </c>
      <c r="AN28" s="284">
        <v>0.22</v>
      </c>
      <c r="AO28" s="296"/>
    </row>
    <row r="29" spans="2:41" ht="15" x14ac:dyDescent="0.25">
      <c r="B29" s="291"/>
      <c r="C29" s="298"/>
      <c r="D29" s="298"/>
      <c r="E29" s="298"/>
      <c r="F29" s="298"/>
      <c r="G29" s="298"/>
      <c r="H29" s="298"/>
      <c r="I29" s="298"/>
      <c r="J29" s="298"/>
      <c r="K29" s="298"/>
      <c r="L29" s="5"/>
      <c r="M29" s="5"/>
      <c r="N29" s="292"/>
      <c r="P29" s="333">
        <v>0.5</v>
      </c>
      <c r="Q29" s="293">
        <f t="shared" si="0"/>
        <v>0.41250000000000003</v>
      </c>
      <c r="R29" s="293"/>
      <c r="S29" s="293"/>
      <c r="Z29" s="294"/>
      <c r="AA29" s="295"/>
      <c r="AB29" s="295"/>
      <c r="AC29" s="295"/>
      <c r="AD29" s="295"/>
      <c r="AE29" s="295"/>
      <c r="AF29" s="295"/>
      <c r="AG29" s="296"/>
      <c r="AH29" s="294"/>
      <c r="AI29" s="322" t="s">
        <v>1249</v>
      </c>
      <c r="AJ29" s="284">
        <v>1.95</v>
      </c>
      <c r="AK29" s="284">
        <v>1.7</v>
      </c>
      <c r="AL29" s="284">
        <v>0.56000000000000005</v>
      </c>
      <c r="AM29" s="325">
        <v>3</v>
      </c>
      <c r="AN29" s="284">
        <v>0.26</v>
      </c>
      <c r="AO29" s="296"/>
    </row>
    <row r="30" spans="2:41" ht="15" x14ac:dyDescent="0.25">
      <c r="B30" s="291"/>
      <c r="C30" s="298"/>
      <c r="D30" s="298"/>
      <c r="E30" s="298"/>
      <c r="F30" s="298"/>
      <c r="G30" s="298"/>
      <c r="H30" s="298"/>
      <c r="I30" s="298"/>
      <c r="J30" s="298"/>
      <c r="K30" s="298"/>
      <c r="L30" s="5"/>
      <c r="M30" s="5"/>
      <c r="N30" s="292"/>
      <c r="P30" s="333">
        <v>0.52</v>
      </c>
      <c r="Q30" s="293">
        <f t="shared" si="0"/>
        <v>0.41250000000000003</v>
      </c>
      <c r="R30" s="293"/>
      <c r="S30" s="293"/>
      <c r="Z30" s="294"/>
      <c r="AA30" s="295"/>
      <c r="AB30" s="295"/>
      <c r="AC30" s="295"/>
      <c r="AD30" s="295"/>
      <c r="AE30" s="295"/>
      <c r="AF30" s="295"/>
      <c r="AG30" s="296"/>
      <c r="AH30" s="294"/>
      <c r="AI30" s="322" t="s">
        <v>1250</v>
      </c>
      <c r="AJ30" s="284">
        <v>1.8</v>
      </c>
      <c r="AK30" s="284">
        <v>1.7</v>
      </c>
      <c r="AL30" s="284">
        <v>0.6</v>
      </c>
      <c r="AM30" s="325">
        <v>3</v>
      </c>
      <c r="AN30" s="284">
        <v>0.24</v>
      </c>
      <c r="AO30" s="296"/>
    </row>
    <row r="31" spans="2:41" ht="15" x14ac:dyDescent="0.25">
      <c r="B31" s="291"/>
      <c r="C31" s="298"/>
      <c r="D31" s="298"/>
      <c r="E31" s="298"/>
      <c r="F31" s="298"/>
      <c r="G31" s="298"/>
      <c r="H31" s="298"/>
      <c r="I31" s="298"/>
      <c r="J31" s="298"/>
      <c r="K31" s="298"/>
      <c r="L31" s="5"/>
      <c r="M31" s="5"/>
      <c r="N31" s="292"/>
      <c r="P31" s="333">
        <v>0.54</v>
      </c>
      <c r="Q31" s="293">
        <f t="shared" si="0"/>
        <v>0.41250000000000003</v>
      </c>
      <c r="R31" s="293"/>
      <c r="S31" s="293"/>
      <c r="Z31" s="294"/>
      <c r="AA31" s="295"/>
      <c r="AB31" s="295"/>
      <c r="AC31" s="295"/>
      <c r="AD31" s="295"/>
      <c r="AE31" s="295"/>
      <c r="AF31" s="295"/>
      <c r="AG31" s="296"/>
      <c r="AH31" s="294"/>
      <c r="AI31" s="322" t="s">
        <v>1251</v>
      </c>
      <c r="AJ31" s="284">
        <v>1.4</v>
      </c>
      <c r="AK31" s="284">
        <v>2.9</v>
      </c>
      <c r="AL31" s="284">
        <v>1.33</v>
      </c>
      <c r="AM31" s="325">
        <v>4</v>
      </c>
      <c r="AN31" s="284">
        <v>0.21</v>
      </c>
      <c r="AO31" s="296"/>
    </row>
    <row r="32" spans="2:41" ht="15" x14ac:dyDescent="0.25">
      <c r="B32" s="291"/>
      <c r="C32" s="298"/>
      <c r="D32" s="298"/>
      <c r="E32" s="298"/>
      <c r="F32" s="298"/>
      <c r="G32" s="298"/>
      <c r="H32" s="298"/>
      <c r="I32" s="298"/>
      <c r="J32" s="298"/>
      <c r="K32" s="298"/>
      <c r="L32" s="5"/>
      <c r="M32" s="5"/>
      <c r="N32" s="292"/>
      <c r="P32" s="333">
        <v>0.56000000000000005</v>
      </c>
      <c r="Q32" s="293">
        <f t="shared" si="0"/>
        <v>0.41250000000000003</v>
      </c>
      <c r="R32" s="293"/>
      <c r="S32" s="293"/>
      <c r="Z32" s="294"/>
      <c r="AA32" s="295"/>
      <c r="AB32" s="295"/>
      <c r="AC32" s="295"/>
      <c r="AD32" s="295"/>
      <c r="AE32" s="295"/>
      <c r="AF32" s="295"/>
      <c r="AG32" s="296"/>
      <c r="AH32" s="294"/>
      <c r="AI32" s="322" t="s">
        <v>1252</v>
      </c>
      <c r="AJ32" s="284">
        <v>1.3</v>
      </c>
      <c r="AK32" s="284">
        <v>3.2</v>
      </c>
      <c r="AL32" s="284">
        <v>1.58</v>
      </c>
      <c r="AM32" s="325">
        <v>4</v>
      </c>
      <c r="AN32" s="284">
        <v>0.2</v>
      </c>
      <c r="AO32" s="296"/>
    </row>
    <row r="33" spans="2:41" ht="15" x14ac:dyDescent="0.25">
      <c r="B33" s="291"/>
      <c r="C33" s="298"/>
      <c r="D33" s="298"/>
      <c r="E33" s="298"/>
      <c r="F33" s="298"/>
      <c r="G33" s="298"/>
      <c r="H33" s="298"/>
      <c r="I33" s="298"/>
      <c r="J33" s="298"/>
      <c r="K33" s="298"/>
      <c r="L33" s="5"/>
      <c r="M33" s="5"/>
      <c r="N33" s="292"/>
      <c r="P33" s="333">
        <v>0.57999999999999996</v>
      </c>
      <c r="Q33" s="293">
        <f t="shared" si="0"/>
        <v>0.41250000000000003</v>
      </c>
      <c r="R33" s="293"/>
      <c r="S33" s="293"/>
      <c r="Z33" s="294"/>
      <c r="AA33" s="295"/>
      <c r="AB33" s="295"/>
      <c r="AC33" s="295"/>
      <c r="AD33" s="295"/>
      <c r="AE33" s="295"/>
      <c r="AF33" s="295"/>
      <c r="AG33" s="296"/>
      <c r="AH33" s="294"/>
      <c r="AI33" s="322" t="s">
        <v>1253</v>
      </c>
      <c r="AJ33" s="284">
        <v>1.2</v>
      </c>
      <c r="AK33" s="284">
        <v>3.5</v>
      </c>
      <c r="AL33" s="284">
        <v>1.87</v>
      </c>
      <c r="AM33" s="325">
        <v>4</v>
      </c>
      <c r="AN33" s="284">
        <v>0.18</v>
      </c>
      <c r="AO33" s="296"/>
    </row>
    <row r="34" spans="2:41" ht="15" x14ac:dyDescent="0.25">
      <c r="B34" s="291"/>
      <c r="C34" s="298"/>
      <c r="D34" s="298"/>
      <c r="E34" s="298"/>
      <c r="F34" s="298"/>
      <c r="G34" s="298"/>
      <c r="H34" s="298"/>
      <c r="I34" s="298"/>
      <c r="J34" s="298"/>
      <c r="K34" s="298"/>
      <c r="L34" s="5"/>
      <c r="M34" s="5"/>
      <c r="N34" s="292"/>
      <c r="P34" s="333">
        <v>0.6</v>
      </c>
      <c r="Q34" s="293">
        <f t="shared" si="0"/>
        <v>0.41250000000000003</v>
      </c>
      <c r="R34" s="293"/>
      <c r="S34" s="293"/>
      <c r="Z34" s="294"/>
      <c r="AA34" s="295"/>
      <c r="AB34" s="295"/>
      <c r="AC34" s="295"/>
      <c r="AD34" s="295"/>
      <c r="AE34" s="295"/>
      <c r="AF34" s="295"/>
      <c r="AG34" s="296"/>
      <c r="AH34" s="294"/>
      <c r="AI34" s="322" t="s">
        <v>1254</v>
      </c>
      <c r="AJ34" s="284">
        <v>1.05</v>
      </c>
      <c r="AK34" s="284">
        <v>2.9</v>
      </c>
      <c r="AL34" s="284">
        <v>1.77</v>
      </c>
      <c r="AM34" s="325">
        <v>5</v>
      </c>
      <c r="AN34" s="284">
        <v>0.16</v>
      </c>
      <c r="AO34" s="296"/>
    </row>
    <row r="35" spans="2:41" ht="15" x14ac:dyDescent="0.25">
      <c r="B35" s="291"/>
      <c r="C35" s="298"/>
      <c r="D35" s="298"/>
      <c r="E35" s="298"/>
      <c r="F35" s="298"/>
      <c r="G35" s="298"/>
      <c r="H35" s="298"/>
      <c r="I35" s="298"/>
      <c r="J35" s="298"/>
      <c r="K35" s="298"/>
      <c r="L35" s="5"/>
      <c r="M35" s="5"/>
      <c r="N35" s="292"/>
      <c r="P35" s="333">
        <v>0.62</v>
      </c>
      <c r="Q35" s="293">
        <f t="shared" si="0"/>
        <v>0.41250000000000003</v>
      </c>
      <c r="R35" s="293"/>
      <c r="S35" s="293"/>
      <c r="Z35" s="294"/>
      <c r="AA35" s="295"/>
      <c r="AB35" s="295"/>
      <c r="AC35" s="295"/>
      <c r="AD35" s="295"/>
      <c r="AE35" s="295"/>
      <c r="AF35" s="295"/>
      <c r="AG35" s="296"/>
      <c r="AH35" s="294"/>
      <c r="AI35" s="322" t="s">
        <v>1255</v>
      </c>
      <c r="AJ35" s="284">
        <v>0.95</v>
      </c>
      <c r="AK35" s="284">
        <v>2.7</v>
      </c>
      <c r="AL35" s="284">
        <v>1.82</v>
      </c>
      <c r="AM35" s="325">
        <v>5</v>
      </c>
      <c r="AN35" s="284">
        <v>0.14000000000000001</v>
      </c>
      <c r="AO35" s="296"/>
    </row>
    <row r="36" spans="2:41" ht="15" x14ac:dyDescent="0.25">
      <c r="B36" s="291"/>
      <c r="C36" s="298"/>
      <c r="D36" s="298"/>
      <c r="E36" s="298"/>
      <c r="F36" s="298"/>
      <c r="G36" s="298"/>
      <c r="H36" s="298"/>
      <c r="I36" s="298"/>
      <c r="J36" s="298"/>
      <c r="K36" s="298"/>
      <c r="L36" s="5"/>
      <c r="M36" s="5"/>
      <c r="N36" s="292"/>
      <c r="P36" s="333">
        <v>0.64</v>
      </c>
      <c r="Q36" s="293">
        <f t="shared" si="0"/>
        <v>0.41250000000000003</v>
      </c>
      <c r="R36" s="293"/>
      <c r="S36" s="293"/>
      <c r="Z36" s="294"/>
      <c r="AA36" s="295"/>
      <c r="AB36" s="295"/>
      <c r="AC36" s="295"/>
      <c r="AD36" s="295"/>
      <c r="AE36" s="295"/>
      <c r="AF36" s="295"/>
      <c r="AG36" s="296"/>
      <c r="AH36" s="294"/>
      <c r="AI36" s="322" t="s">
        <v>1256</v>
      </c>
      <c r="AJ36" s="284">
        <v>1.1000000000000001</v>
      </c>
      <c r="AK36" s="284">
        <v>2.8</v>
      </c>
      <c r="AL36" s="284">
        <v>1.63</v>
      </c>
      <c r="AM36" s="325">
        <v>4</v>
      </c>
      <c r="AN36" s="284">
        <v>0.17</v>
      </c>
      <c r="AO36" s="296"/>
    </row>
    <row r="37" spans="2:41" ht="15.75" thickBot="1" x14ac:dyDescent="0.3">
      <c r="B37" s="326"/>
      <c r="C37" s="327"/>
      <c r="D37" s="327"/>
      <c r="E37" s="327"/>
      <c r="F37" s="327"/>
      <c r="G37" s="327"/>
      <c r="H37" s="327"/>
      <c r="I37" s="327"/>
      <c r="J37" s="327"/>
      <c r="K37" s="327"/>
      <c r="L37" s="328"/>
      <c r="M37" s="328"/>
      <c r="N37" s="329"/>
      <c r="P37" s="333">
        <v>0.66</v>
      </c>
      <c r="Q37" s="293">
        <f t="shared" si="0"/>
        <v>0.41250000000000003</v>
      </c>
      <c r="R37" s="293"/>
      <c r="S37" s="293"/>
      <c r="Z37" s="294"/>
      <c r="AG37" s="296"/>
      <c r="AH37" s="294"/>
      <c r="AI37" s="322" t="s">
        <v>1257</v>
      </c>
      <c r="AJ37" s="284">
        <v>1</v>
      </c>
      <c r="AK37" s="284">
        <v>2.5</v>
      </c>
      <c r="AL37" s="284">
        <v>1.6</v>
      </c>
      <c r="AM37" s="325">
        <v>5</v>
      </c>
      <c r="AN37" s="284">
        <v>0.15</v>
      </c>
      <c r="AO37" s="296"/>
    </row>
    <row r="38" spans="2:41" ht="15" x14ac:dyDescent="0.25"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P38" s="333">
        <v>0.68</v>
      </c>
      <c r="Q38" s="293">
        <f t="shared" si="0"/>
        <v>0.41250000000000003</v>
      </c>
      <c r="R38" s="293"/>
      <c r="S38" s="293"/>
      <c r="Z38" s="294"/>
      <c r="AG38" s="296"/>
      <c r="AH38" s="294"/>
      <c r="AI38" s="322" t="s">
        <v>1258</v>
      </c>
      <c r="AJ38" s="284">
        <v>1.35</v>
      </c>
      <c r="AK38" s="284">
        <v>1.8</v>
      </c>
      <c r="AL38" s="284">
        <v>0.85</v>
      </c>
      <c r="AM38" s="325">
        <v>3.5</v>
      </c>
      <c r="AN38" s="284">
        <v>0.2</v>
      </c>
      <c r="AO38" s="296"/>
    </row>
    <row r="39" spans="2:41" ht="15" x14ac:dyDescent="0.25"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P39" s="333">
        <v>0.7</v>
      </c>
      <c r="Q39" s="293">
        <f t="shared" si="0"/>
        <v>0.41250000000000003</v>
      </c>
      <c r="R39" s="293"/>
      <c r="S39" s="293"/>
      <c r="Z39" s="294"/>
      <c r="AG39" s="296"/>
      <c r="AH39" s="294"/>
      <c r="AI39" s="322" t="s">
        <v>1238</v>
      </c>
      <c r="AJ39" s="284">
        <v>1.2</v>
      </c>
      <c r="AK39" s="284">
        <v>2.1</v>
      </c>
      <c r="AL39" s="284">
        <v>1.1200000000000001</v>
      </c>
      <c r="AM39" s="325">
        <v>3.5</v>
      </c>
      <c r="AN39" s="284">
        <v>0.18</v>
      </c>
      <c r="AO39" s="296"/>
    </row>
    <row r="40" spans="2:41" ht="15" x14ac:dyDescent="0.25"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P40" s="333">
        <v>0.72</v>
      </c>
      <c r="Q40" s="293">
        <f t="shared" si="0"/>
        <v>0.41250000000000003</v>
      </c>
      <c r="R40" s="293"/>
      <c r="S40" s="293"/>
      <c r="Z40" s="294"/>
      <c r="AG40" s="296"/>
      <c r="AH40" s="294"/>
      <c r="AI40" s="322" t="s">
        <v>1259</v>
      </c>
      <c r="AJ40" s="284">
        <v>1.05</v>
      </c>
      <c r="AK40" s="284">
        <v>2.1</v>
      </c>
      <c r="AL40" s="284">
        <v>1.28</v>
      </c>
      <c r="AM40" s="325">
        <v>3.5</v>
      </c>
      <c r="AN40" s="284">
        <v>0.16</v>
      </c>
      <c r="AO40" s="296"/>
    </row>
    <row r="41" spans="2:41" ht="15" x14ac:dyDescent="0.25"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P41" s="333">
        <v>0.74</v>
      </c>
      <c r="Q41" s="293">
        <f t="shared" si="0"/>
        <v>0.41250000000000003</v>
      </c>
      <c r="R41" s="293"/>
      <c r="S41" s="293"/>
      <c r="Z41" s="294"/>
      <c r="AG41" s="296"/>
      <c r="AH41" s="294"/>
      <c r="AI41" s="322" t="s">
        <v>1260</v>
      </c>
      <c r="AJ41" s="284">
        <v>0.95</v>
      </c>
      <c r="AK41" s="284">
        <v>2.1</v>
      </c>
      <c r="AL41" s="284">
        <v>1.41</v>
      </c>
      <c r="AM41" s="325">
        <v>3.5</v>
      </c>
      <c r="AN41" s="284">
        <v>0.14000000000000001</v>
      </c>
      <c r="AO41" s="296"/>
    </row>
    <row r="42" spans="2:41" ht="15" x14ac:dyDescent="0.25"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P42" s="333">
        <v>0.76</v>
      </c>
      <c r="Q42" s="293">
        <f t="shared" si="0"/>
        <v>0.41250000000000003</v>
      </c>
      <c r="R42" s="293"/>
      <c r="S42" s="293"/>
      <c r="Z42" s="294"/>
      <c r="AA42" s="469" t="s">
        <v>1244</v>
      </c>
      <c r="AB42" s="471" t="s">
        <v>2510</v>
      </c>
      <c r="AC42" s="472"/>
      <c r="AD42" s="472"/>
      <c r="AE42" s="472"/>
      <c r="AF42" s="473"/>
      <c r="AG42" s="296"/>
      <c r="AH42" s="294"/>
      <c r="AI42" s="322" t="s">
        <v>1261</v>
      </c>
      <c r="AJ42" s="284">
        <v>1.65</v>
      </c>
      <c r="AK42" s="284">
        <v>1.7</v>
      </c>
      <c r="AL42" s="284">
        <v>0.66</v>
      </c>
      <c r="AM42" s="325">
        <v>3</v>
      </c>
      <c r="AN42" s="284">
        <v>0.22</v>
      </c>
      <c r="AO42" s="296"/>
    </row>
    <row r="43" spans="2:41" ht="14.25" x14ac:dyDescent="0.2"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P43" s="333">
        <v>0.78</v>
      </c>
      <c r="Q43" s="293">
        <f t="shared" si="0"/>
        <v>0.41250000000000003</v>
      </c>
      <c r="R43" s="293"/>
      <c r="S43" s="293"/>
      <c r="Z43" s="294"/>
      <c r="AA43" s="470"/>
      <c r="AB43" s="319" t="s">
        <v>1262</v>
      </c>
      <c r="AC43" s="319" t="s">
        <v>1263</v>
      </c>
      <c r="AD43" s="319" t="s">
        <v>1264</v>
      </c>
      <c r="AE43" s="319" t="s">
        <v>1265</v>
      </c>
      <c r="AF43" s="319" t="s">
        <v>1266</v>
      </c>
      <c r="AG43" s="296"/>
      <c r="AH43" s="294"/>
      <c r="AI43" s="295"/>
      <c r="AJ43" s="295"/>
      <c r="AK43" s="144"/>
      <c r="AL43" s="295"/>
      <c r="AM43" s="295"/>
      <c r="AN43" s="295"/>
      <c r="AO43" s="296"/>
    </row>
    <row r="44" spans="2:41" x14ac:dyDescent="0.2"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P44" s="333">
        <v>0.8</v>
      </c>
      <c r="Q44" s="293">
        <f t="shared" si="0"/>
        <v>0.41250000000000003</v>
      </c>
      <c r="R44" s="293"/>
      <c r="S44" s="293"/>
      <c r="Z44" s="294"/>
      <c r="AA44" s="319" t="s">
        <v>1237</v>
      </c>
      <c r="AB44" s="320">
        <v>0.8</v>
      </c>
      <c r="AC44" s="320">
        <v>0.8</v>
      </c>
      <c r="AD44" s="320">
        <v>0.8</v>
      </c>
      <c r="AE44" s="320">
        <v>0.8</v>
      </c>
      <c r="AF44" s="320">
        <v>0.8</v>
      </c>
      <c r="AG44" s="296"/>
      <c r="AH44" s="294"/>
      <c r="AI44" s="295"/>
      <c r="AJ44" s="295"/>
      <c r="AK44" s="295"/>
      <c r="AL44" s="295"/>
      <c r="AM44" s="295"/>
      <c r="AN44" s="295"/>
      <c r="AO44" s="296"/>
    </row>
    <row r="45" spans="2:41" x14ac:dyDescent="0.2"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P45" s="333">
        <v>0.82</v>
      </c>
      <c r="Q45" s="293">
        <f t="shared" si="0"/>
        <v>0.41250000000000003</v>
      </c>
      <c r="R45" s="293"/>
      <c r="S45" s="293"/>
      <c r="Z45" s="294"/>
      <c r="AA45" s="319" t="s">
        <v>1241</v>
      </c>
      <c r="AB45" s="320">
        <v>1</v>
      </c>
      <c r="AC45" s="320">
        <v>1</v>
      </c>
      <c r="AD45" s="320">
        <v>1</v>
      </c>
      <c r="AE45" s="320">
        <v>1</v>
      </c>
      <c r="AF45" s="320">
        <v>1</v>
      </c>
      <c r="AG45" s="296"/>
      <c r="AH45" s="294"/>
      <c r="AI45" s="295"/>
      <c r="AJ45" s="295"/>
      <c r="AK45" s="295"/>
      <c r="AL45" s="295"/>
      <c r="AM45" s="295"/>
      <c r="AN45" s="295"/>
      <c r="AO45" s="296"/>
    </row>
    <row r="46" spans="2:41" x14ac:dyDescent="0.2"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P46" s="333">
        <v>0.84</v>
      </c>
      <c r="Q46" s="293">
        <f t="shared" si="0"/>
        <v>0.41250000000000003</v>
      </c>
      <c r="R46" s="293"/>
      <c r="S46" s="293"/>
      <c r="Z46" s="294"/>
      <c r="AA46" s="319" t="s">
        <v>200</v>
      </c>
      <c r="AB46" s="320">
        <v>1.7</v>
      </c>
      <c r="AC46" s="320">
        <v>1.6</v>
      </c>
      <c r="AD46" s="320">
        <v>1.5</v>
      </c>
      <c r="AE46" s="320">
        <v>1.4</v>
      </c>
      <c r="AF46" s="320">
        <v>1.3</v>
      </c>
      <c r="AG46" s="296"/>
      <c r="AH46" s="294"/>
      <c r="AI46" s="295"/>
      <c r="AJ46" s="295"/>
      <c r="AK46" s="295"/>
      <c r="AL46" s="295"/>
      <c r="AM46" s="295"/>
      <c r="AN46" s="295"/>
      <c r="AO46" s="296"/>
    </row>
    <row r="47" spans="2:41" x14ac:dyDescent="0.2"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P47" s="333">
        <v>0.86</v>
      </c>
      <c r="Q47" s="293">
        <f t="shared" si="0"/>
        <v>0.41250000000000003</v>
      </c>
      <c r="R47" s="293"/>
      <c r="S47" s="293"/>
      <c r="Z47" s="294"/>
      <c r="AA47" s="319" t="s">
        <v>1231</v>
      </c>
      <c r="AB47" s="320">
        <v>2.4</v>
      </c>
      <c r="AC47" s="320">
        <v>2</v>
      </c>
      <c r="AD47" s="320">
        <v>1.8</v>
      </c>
      <c r="AE47" s="320">
        <v>1.6</v>
      </c>
      <c r="AF47" s="320">
        <v>1.5</v>
      </c>
      <c r="AG47" s="296"/>
      <c r="AH47" s="294"/>
      <c r="AI47" s="295"/>
      <c r="AJ47" s="295"/>
      <c r="AK47" s="295"/>
      <c r="AL47" s="295"/>
      <c r="AM47" s="295"/>
      <c r="AN47" s="295"/>
      <c r="AO47" s="296"/>
    </row>
    <row r="48" spans="2:41" x14ac:dyDescent="0.2"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P48" s="333">
        <v>0.88</v>
      </c>
      <c r="Q48" s="293">
        <f t="shared" si="0"/>
        <v>0.41250000000000003</v>
      </c>
      <c r="R48" s="293"/>
      <c r="S48" s="293"/>
      <c r="Z48" s="294"/>
      <c r="AA48" s="319" t="s">
        <v>1242</v>
      </c>
      <c r="AB48" s="320">
        <v>3.5</v>
      </c>
      <c r="AC48" s="320">
        <v>3.2</v>
      </c>
      <c r="AD48" s="320">
        <v>2.8</v>
      </c>
      <c r="AE48" s="320">
        <v>2.4</v>
      </c>
      <c r="AF48" s="320">
        <v>2.4</v>
      </c>
      <c r="AG48" s="296"/>
      <c r="AH48" s="294"/>
      <c r="AI48" s="295"/>
      <c r="AJ48" s="295"/>
      <c r="AK48" s="295"/>
      <c r="AL48" s="295"/>
      <c r="AM48" s="295"/>
      <c r="AN48" s="295"/>
      <c r="AO48" s="296"/>
    </row>
    <row r="49" spans="3:41" x14ac:dyDescent="0.2"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P49" s="333">
        <v>0.9</v>
      </c>
      <c r="Q49" s="293">
        <f t="shared" si="0"/>
        <v>0.41250000000000003</v>
      </c>
      <c r="R49" s="293"/>
      <c r="S49" s="293"/>
      <c r="Z49" s="294"/>
      <c r="AA49" s="319" t="s">
        <v>1243</v>
      </c>
      <c r="AB49" s="321" t="s">
        <v>1245</v>
      </c>
      <c r="AC49" s="321" t="s">
        <v>1245</v>
      </c>
      <c r="AD49" s="321" t="s">
        <v>1245</v>
      </c>
      <c r="AE49" s="321" t="s">
        <v>1245</v>
      </c>
      <c r="AF49" s="321" t="s">
        <v>1245</v>
      </c>
      <c r="AG49" s="296"/>
      <c r="AH49" s="294"/>
      <c r="AI49" s="295"/>
      <c r="AJ49" s="295"/>
      <c r="AK49" s="295"/>
      <c r="AL49" s="295"/>
      <c r="AM49" s="295"/>
      <c r="AN49" s="295"/>
      <c r="AO49" s="296"/>
    </row>
    <row r="50" spans="3:41" x14ac:dyDescent="0.2"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P50" s="333">
        <v>0.92</v>
      </c>
      <c r="Q50" s="293">
        <f t="shared" si="0"/>
        <v>0.41250000000000003</v>
      </c>
      <c r="R50" s="293"/>
      <c r="S50" s="293"/>
      <c r="Z50" s="294"/>
      <c r="AA50" s="295"/>
      <c r="AB50" s="295"/>
      <c r="AC50" s="295"/>
      <c r="AD50" s="295"/>
      <c r="AE50" s="295"/>
      <c r="AF50" s="295"/>
      <c r="AG50" s="296"/>
      <c r="AH50" s="294"/>
      <c r="AI50" s="295"/>
      <c r="AJ50" s="295"/>
      <c r="AK50" s="295"/>
      <c r="AL50" s="295"/>
      <c r="AM50" s="295"/>
      <c r="AN50" s="295"/>
      <c r="AO50" s="296"/>
    </row>
    <row r="51" spans="3:41" x14ac:dyDescent="0.2"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P51" s="333">
        <v>0.94</v>
      </c>
      <c r="Q51" s="293">
        <f t="shared" si="0"/>
        <v>0.41250000000000003</v>
      </c>
      <c r="R51" s="293"/>
      <c r="S51" s="293"/>
      <c r="Z51" s="294"/>
      <c r="AA51" s="295"/>
      <c r="AB51" s="295"/>
      <c r="AC51" s="295"/>
      <c r="AD51" s="295"/>
      <c r="AE51" s="295"/>
      <c r="AF51" s="295"/>
      <c r="AG51" s="296"/>
      <c r="AH51" s="294"/>
      <c r="AI51" s="295"/>
      <c r="AJ51" s="295"/>
      <c r="AK51" s="295"/>
      <c r="AL51" s="295"/>
      <c r="AM51" s="295"/>
      <c r="AN51" s="295"/>
      <c r="AO51" s="296"/>
    </row>
    <row r="52" spans="3:41" x14ac:dyDescent="0.2"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P52" s="333">
        <v>0.96</v>
      </c>
      <c r="Q52" s="293">
        <f t="shared" si="0"/>
        <v>0.41250000000000003</v>
      </c>
      <c r="R52" s="293"/>
      <c r="S52" s="293"/>
      <c r="Z52" s="294"/>
      <c r="AA52" s="295"/>
      <c r="AB52" s="295"/>
      <c r="AC52" s="295"/>
      <c r="AD52" s="295"/>
      <c r="AE52" s="295"/>
      <c r="AF52" s="295"/>
      <c r="AG52" s="296"/>
      <c r="AH52" s="294"/>
      <c r="AI52" s="295"/>
      <c r="AJ52" s="295"/>
      <c r="AK52" s="295"/>
      <c r="AL52" s="295"/>
      <c r="AM52" s="295"/>
      <c r="AN52" s="295"/>
      <c r="AO52" s="296"/>
    </row>
    <row r="53" spans="3:41" x14ac:dyDescent="0.2"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P53" s="333">
        <v>0.98</v>
      </c>
      <c r="Q53" s="293">
        <f t="shared" si="0"/>
        <v>0.41250000000000003</v>
      </c>
      <c r="R53" s="293"/>
      <c r="S53" s="293"/>
      <c r="Z53" s="294"/>
      <c r="AA53" s="295"/>
      <c r="AB53" s="295"/>
      <c r="AC53" s="295"/>
      <c r="AD53" s="295"/>
      <c r="AE53" s="295"/>
      <c r="AF53" s="295"/>
      <c r="AG53" s="296"/>
      <c r="AH53" s="294"/>
      <c r="AI53" s="295"/>
      <c r="AJ53" s="295"/>
      <c r="AK53" s="295"/>
      <c r="AL53" s="295"/>
      <c r="AM53" s="295"/>
      <c r="AN53" s="295"/>
      <c r="AO53" s="296"/>
    </row>
    <row r="54" spans="3:41" x14ac:dyDescent="0.2"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P54" s="333">
        <v>1</v>
      </c>
      <c r="Q54" s="293">
        <f t="shared" si="0"/>
        <v>0.41250000000000003</v>
      </c>
      <c r="R54" s="293"/>
      <c r="S54" s="293"/>
      <c r="Z54" s="294"/>
      <c r="AA54" s="295"/>
      <c r="AB54" s="295"/>
      <c r="AC54" s="295"/>
      <c r="AD54" s="295"/>
      <c r="AE54" s="295"/>
      <c r="AF54" s="295"/>
      <c r="AG54" s="296"/>
      <c r="AH54" s="294"/>
      <c r="AI54" s="295"/>
      <c r="AJ54" s="295"/>
      <c r="AK54" s="295"/>
      <c r="AL54" s="295"/>
      <c r="AM54" s="295"/>
      <c r="AN54" s="295"/>
      <c r="AO54" s="296"/>
    </row>
    <row r="55" spans="3:41" x14ac:dyDescent="0.2"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P55" s="333">
        <v>1.02</v>
      </c>
      <c r="Q55" s="293">
        <f t="shared" si="0"/>
        <v>0.41250000000000003</v>
      </c>
      <c r="R55" s="293"/>
      <c r="S55" s="293"/>
      <c r="Z55" s="294"/>
      <c r="AA55" s="295"/>
      <c r="AB55" s="295"/>
      <c r="AC55" s="295"/>
      <c r="AD55" s="295"/>
      <c r="AE55" s="295"/>
      <c r="AF55" s="295"/>
      <c r="AG55" s="296"/>
      <c r="AH55" s="294"/>
      <c r="AI55" s="295"/>
      <c r="AJ55" s="295"/>
      <c r="AK55" s="295"/>
      <c r="AL55" s="295"/>
      <c r="AM55" s="295"/>
      <c r="AN55" s="295"/>
      <c r="AO55" s="296"/>
    </row>
    <row r="56" spans="3:41" x14ac:dyDescent="0.2"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P56" s="333">
        <v>1.04</v>
      </c>
      <c r="Q56" s="293">
        <f t="shared" si="0"/>
        <v>0.41250000000000003</v>
      </c>
      <c r="R56" s="293"/>
      <c r="S56" s="293"/>
      <c r="Z56" s="294"/>
      <c r="AA56" s="295"/>
      <c r="AB56" s="295"/>
      <c r="AC56" s="295"/>
      <c r="AD56" s="295"/>
      <c r="AE56" s="295"/>
      <c r="AF56" s="295"/>
      <c r="AG56" s="296"/>
      <c r="AH56" s="294"/>
      <c r="AI56" s="295"/>
      <c r="AJ56" s="295"/>
      <c r="AK56" s="295"/>
      <c r="AL56" s="295"/>
      <c r="AM56" s="295"/>
      <c r="AN56" s="295"/>
      <c r="AO56" s="296"/>
    </row>
    <row r="57" spans="3:41" x14ac:dyDescent="0.2"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P57" s="333">
        <v>1.06</v>
      </c>
      <c r="Q57" s="293">
        <f t="shared" si="0"/>
        <v>0.41250000000000003</v>
      </c>
      <c r="R57" s="293"/>
      <c r="S57" s="293"/>
      <c r="Z57" s="294"/>
      <c r="AA57" s="295"/>
      <c r="AB57" s="295"/>
      <c r="AC57" s="295"/>
      <c r="AD57" s="295"/>
      <c r="AE57" s="295"/>
      <c r="AF57" s="295"/>
      <c r="AG57" s="296"/>
      <c r="AH57" s="294"/>
      <c r="AI57" s="295"/>
      <c r="AJ57" s="295"/>
      <c r="AK57" s="295"/>
      <c r="AL57" s="295"/>
      <c r="AM57" s="295"/>
      <c r="AN57" s="295"/>
      <c r="AO57" s="296"/>
    </row>
    <row r="58" spans="3:41" x14ac:dyDescent="0.2"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P58" s="333">
        <v>1.08</v>
      </c>
      <c r="Q58" s="293">
        <f t="shared" si="0"/>
        <v>0.41250000000000003</v>
      </c>
      <c r="R58" s="293"/>
      <c r="S58" s="293"/>
      <c r="Z58" s="294"/>
      <c r="AA58" s="295"/>
      <c r="AB58" s="295"/>
      <c r="AC58" s="295"/>
      <c r="AD58" s="295"/>
      <c r="AE58" s="295"/>
      <c r="AF58" s="295"/>
      <c r="AG58" s="296"/>
      <c r="AH58" s="294"/>
      <c r="AI58" s="295"/>
      <c r="AJ58" s="295"/>
      <c r="AK58" s="295"/>
      <c r="AL58" s="295"/>
      <c r="AM58" s="295"/>
      <c r="AN58" s="295"/>
      <c r="AO58" s="296"/>
    </row>
    <row r="59" spans="3:41" x14ac:dyDescent="0.2"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P59" s="333">
        <v>1.1000000000000001</v>
      </c>
      <c r="Q59" s="293">
        <f t="shared" si="0"/>
        <v>0.41250000000000003</v>
      </c>
      <c r="R59" s="293"/>
      <c r="S59" s="293"/>
      <c r="Z59" s="294"/>
      <c r="AA59" s="295"/>
      <c r="AB59" s="295"/>
      <c r="AC59" s="295"/>
      <c r="AD59" s="295"/>
      <c r="AE59" s="295"/>
      <c r="AF59" s="295"/>
      <c r="AG59" s="296"/>
      <c r="AH59" s="294"/>
      <c r="AI59" s="295"/>
      <c r="AJ59" s="295"/>
      <c r="AK59" s="295"/>
      <c r="AL59" s="295"/>
      <c r="AM59" s="295"/>
      <c r="AN59" s="295"/>
      <c r="AO59" s="296"/>
    </row>
    <row r="60" spans="3:41" x14ac:dyDescent="0.2"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P60" s="333">
        <v>1.1200000000000001</v>
      </c>
      <c r="Q60" s="293">
        <f t="shared" si="0"/>
        <v>0.41250000000000003</v>
      </c>
      <c r="R60" s="293"/>
      <c r="S60" s="293"/>
      <c r="Z60" s="294"/>
      <c r="AA60" s="295"/>
      <c r="AB60" s="295"/>
      <c r="AC60" s="295"/>
      <c r="AD60" s="295"/>
      <c r="AE60" s="295"/>
      <c r="AF60" s="295"/>
      <c r="AG60" s="296"/>
      <c r="AH60" s="294"/>
      <c r="AI60" s="295"/>
      <c r="AJ60" s="295"/>
      <c r="AK60" s="295"/>
      <c r="AL60" s="295"/>
      <c r="AM60" s="295"/>
      <c r="AN60" s="295"/>
      <c r="AO60" s="296"/>
    </row>
    <row r="61" spans="3:41" x14ac:dyDescent="0.2"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P61" s="333">
        <v>1.1399999999999999</v>
      </c>
      <c r="Q61" s="293">
        <f t="shared" si="0"/>
        <v>0.41250000000000003</v>
      </c>
      <c r="R61" s="293"/>
      <c r="S61" s="293"/>
      <c r="Z61" s="294"/>
      <c r="AA61" s="295"/>
      <c r="AB61" s="295"/>
      <c r="AC61" s="295"/>
      <c r="AD61" s="295"/>
      <c r="AE61" s="295"/>
      <c r="AF61" s="295"/>
      <c r="AG61" s="296"/>
      <c r="AH61" s="294"/>
      <c r="AI61" s="295"/>
      <c r="AJ61" s="295"/>
      <c r="AK61" s="295"/>
      <c r="AL61" s="295"/>
      <c r="AM61" s="295"/>
      <c r="AN61" s="295"/>
      <c r="AO61" s="296"/>
    </row>
    <row r="62" spans="3:41" x14ac:dyDescent="0.2"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P62" s="333">
        <v>1.1599999999999999</v>
      </c>
      <c r="Q62" s="293">
        <f t="shared" si="0"/>
        <v>0.41250000000000003</v>
      </c>
      <c r="R62" s="293"/>
      <c r="S62" s="293"/>
      <c r="Z62" s="294"/>
      <c r="AA62" s="295"/>
      <c r="AB62" s="295"/>
      <c r="AC62" s="295"/>
      <c r="AD62" s="295"/>
      <c r="AE62" s="295"/>
      <c r="AF62" s="295"/>
      <c r="AG62" s="296"/>
      <c r="AH62" s="294"/>
      <c r="AI62" s="295"/>
      <c r="AJ62" s="295"/>
      <c r="AK62" s="295"/>
      <c r="AL62" s="295"/>
      <c r="AM62" s="295"/>
      <c r="AN62" s="295"/>
      <c r="AO62" s="296"/>
    </row>
    <row r="63" spans="3:41" x14ac:dyDescent="0.2"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P63" s="333">
        <v>1.18</v>
      </c>
      <c r="Q63" s="293">
        <f t="shared" si="0"/>
        <v>0.41250000000000003</v>
      </c>
      <c r="R63" s="293"/>
      <c r="S63" s="293"/>
      <c r="Z63" s="294"/>
      <c r="AA63" s="295"/>
      <c r="AB63" s="295"/>
      <c r="AC63" s="295"/>
      <c r="AD63" s="295"/>
      <c r="AE63" s="295"/>
      <c r="AF63" s="295"/>
      <c r="AG63" s="296"/>
      <c r="AH63" s="294"/>
      <c r="AI63" s="295"/>
      <c r="AJ63" s="295"/>
      <c r="AK63" s="295"/>
      <c r="AL63" s="295"/>
      <c r="AM63" s="295"/>
      <c r="AN63" s="295"/>
      <c r="AO63" s="296"/>
    </row>
    <row r="64" spans="3:41" x14ac:dyDescent="0.2"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P64" s="333">
        <v>1.2</v>
      </c>
      <c r="Q64" s="293">
        <f t="shared" si="0"/>
        <v>0.41250000000000003</v>
      </c>
      <c r="R64" s="293"/>
      <c r="S64" s="293"/>
      <c r="Z64" s="294"/>
      <c r="AA64" s="295"/>
      <c r="AB64" s="295"/>
      <c r="AC64" s="295"/>
      <c r="AD64" s="295"/>
      <c r="AE64" s="295"/>
      <c r="AF64" s="295"/>
      <c r="AG64" s="296"/>
      <c r="AH64" s="294"/>
      <c r="AI64" s="295"/>
      <c r="AJ64" s="295"/>
      <c r="AK64" s="295"/>
      <c r="AL64" s="295"/>
      <c r="AM64" s="295"/>
      <c r="AN64" s="295"/>
      <c r="AO64" s="296"/>
    </row>
    <row r="65" spans="3:41" x14ac:dyDescent="0.2"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P65" s="333">
        <v>1.22</v>
      </c>
      <c r="Q65" s="293">
        <f t="shared" si="0"/>
        <v>0.41250000000000003</v>
      </c>
      <c r="R65" s="293"/>
      <c r="S65" s="293"/>
      <c r="Z65" s="294"/>
      <c r="AA65" s="295"/>
      <c r="AB65" s="295"/>
      <c r="AC65" s="295"/>
      <c r="AD65" s="295"/>
      <c r="AE65" s="295"/>
      <c r="AF65" s="295"/>
      <c r="AG65" s="296"/>
      <c r="AH65" s="294"/>
      <c r="AI65" s="295"/>
      <c r="AJ65" s="295"/>
      <c r="AK65" s="295"/>
      <c r="AL65" s="295"/>
      <c r="AM65" s="295"/>
      <c r="AN65" s="295"/>
      <c r="AO65" s="296"/>
    </row>
    <row r="66" spans="3:41" x14ac:dyDescent="0.2"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P66" s="333">
        <v>1.24</v>
      </c>
      <c r="Q66" s="293">
        <f t="shared" si="0"/>
        <v>0.41250000000000003</v>
      </c>
      <c r="R66" s="293"/>
      <c r="S66" s="293"/>
      <c r="Z66" s="294"/>
      <c r="AA66" s="295"/>
      <c r="AB66" s="295"/>
      <c r="AC66" s="295"/>
      <c r="AD66" s="295"/>
      <c r="AE66" s="295"/>
      <c r="AF66" s="295"/>
      <c r="AG66" s="296"/>
      <c r="AH66" s="294"/>
      <c r="AI66" s="295"/>
      <c r="AJ66" s="295"/>
      <c r="AK66" s="295"/>
      <c r="AL66" s="295"/>
      <c r="AM66" s="295"/>
      <c r="AN66" s="295"/>
      <c r="AO66" s="296"/>
    </row>
    <row r="67" spans="3:41" x14ac:dyDescent="0.2"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P67" s="333">
        <v>1.26</v>
      </c>
      <c r="Q67" s="293">
        <f t="shared" si="0"/>
        <v>0.41250000000000003</v>
      </c>
      <c r="R67" s="293"/>
      <c r="S67" s="293"/>
      <c r="Z67" s="294"/>
      <c r="AA67" s="295"/>
      <c r="AB67" s="295"/>
      <c r="AC67" s="295"/>
      <c r="AD67" s="295"/>
      <c r="AE67" s="295"/>
      <c r="AF67" s="295"/>
      <c r="AG67" s="296"/>
      <c r="AH67" s="294"/>
      <c r="AI67" s="295"/>
      <c r="AJ67" s="295"/>
      <c r="AK67" s="295"/>
      <c r="AL67" s="295"/>
      <c r="AM67" s="295"/>
      <c r="AN67" s="295"/>
      <c r="AO67" s="296"/>
    </row>
    <row r="68" spans="3:41" x14ac:dyDescent="0.2"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P68" s="333">
        <v>1.28</v>
      </c>
      <c r="Q68" s="293">
        <f t="shared" si="0"/>
        <v>0.41250000000000003</v>
      </c>
      <c r="R68" s="293"/>
      <c r="S68" s="293"/>
      <c r="Z68" s="294"/>
      <c r="AA68" s="295"/>
      <c r="AB68" s="295"/>
      <c r="AC68" s="295"/>
      <c r="AD68" s="295"/>
      <c r="AE68" s="295"/>
      <c r="AF68" s="295"/>
      <c r="AG68" s="296"/>
      <c r="AH68" s="294"/>
      <c r="AI68" s="295"/>
      <c r="AJ68" s="295"/>
      <c r="AK68" s="295"/>
      <c r="AL68" s="295"/>
      <c r="AM68" s="295"/>
      <c r="AN68" s="295"/>
      <c r="AO68" s="296"/>
    </row>
    <row r="69" spans="3:41" x14ac:dyDescent="0.2"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P69" s="333">
        <v>1.3</v>
      </c>
      <c r="Q69" s="293">
        <f t="shared" ref="Q69:Q132" si="1">(IF(P69&lt;=$D$13,2.5*$D$9*$L$7*$H$7,IF(AND(P69&lt;=$D$14,P69&gt;$D$13),1.2*$D$10*$L$8*$H$7/P69,1.2*$D$10*$L$8*$D$14*$H$7/(P69^2))))</f>
        <v>0.41250000000000003</v>
      </c>
      <c r="R69" s="293"/>
      <c r="S69" s="293"/>
      <c r="Z69" s="294"/>
      <c r="AA69" s="295"/>
      <c r="AB69" s="295"/>
      <c r="AC69" s="295"/>
      <c r="AD69" s="295"/>
      <c r="AE69" s="295"/>
      <c r="AF69" s="295"/>
      <c r="AG69" s="296"/>
      <c r="AH69" s="294"/>
      <c r="AI69" s="295"/>
      <c r="AJ69" s="295"/>
      <c r="AK69" s="295"/>
      <c r="AL69" s="295"/>
      <c r="AM69" s="295"/>
      <c r="AN69" s="295"/>
      <c r="AO69" s="296"/>
    </row>
    <row r="70" spans="3:41" x14ac:dyDescent="0.2"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P70" s="333">
        <v>1.32</v>
      </c>
      <c r="Q70" s="293">
        <f t="shared" si="1"/>
        <v>0.41250000000000003</v>
      </c>
      <c r="R70" s="293"/>
      <c r="S70" s="293"/>
      <c r="Z70" s="294"/>
      <c r="AA70" s="295"/>
      <c r="AB70" s="295"/>
      <c r="AC70" s="295"/>
      <c r="AD70" s="295"/>
      <c r="AE70" s="295"/>
      <c r="AF70" s="295"/>
      <c r="AG70" s="296"/>
      <c r="AH70" s="294"/>
      <c r="AI70" s="295"/>
      <c r="AJ70" s="295"/>
      <c r="AK70" s="295"/>
      <c r="AL70" s="295"/>
      <c r="AM70" s="295"/>
      <c r="AN70" s="295"/>
      <c r="AO70" s="296"/>
    </row>
    <row r="71" spans="3:41" x14ac:dyDescent="0.2"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P71" s="333">
        <v>1.34</v>
      </c>
      <c r="Q71" s="293">
        <f t="shared" si="1"/>
        <v>0.41250000000000003</v>
      </c>
      <c r="R71" s="293"/>
      <c r="S71" s="293"/>
      <c r="Z71" s="294"/>
      <c r="AA71" s="295"/>
      <c r="AB71" s="295"/>
      <c r="AC71" s="295"/>
      <c r="AD71" s="295"/>
      <c r="AE71" s="295"/>
      <c r="AF71" s="295"/>
      <c r="AG71" s="296"/>
      <c r="AH71" s="294"/>
      <c r="AI71" s="295"/>
      <c r="AJ71" s="295"/>
      <c r="AK71" s="295"/>
      <c r="AL71" s="295"/>
      <c r="AM71" s="295"/>
      <c r="AN71" s="295"/>
      <c r="AO71" s="296"/>
    </row>
    <row r="72" spans="3:41" x14ac:dyDescent="0.2"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P72" s="333">
        <v>1.36</v>
      </c>
      <c r="Q72" s="293">
        <f t="shared" si="1"/>
        <v>0.41250000000000003</v>
      </c>
      <c r="R72" s="293"/>
      <c r="S72" s="293"/>
      <c r="Z72" s="294"/>
      <c r="AA72" s="295"/>
      <c r="AB72" s="295"/>
      <c r="AC72" s="295"/>
      <c r="AD72" s="295"/>
      <c r="AE72" s="295"/>
      <c r="AF72" s="295"/>
      <c r="AG72" s="296"/>
      <c r="AH72" s="294"/>
      <c r="AI72" s="295"/>
      <c r="AJ72" s="295"/>
      <c r="AK72" s="295"/>
      <c r="AL72" s="295"/>
      <c r="AM72" s="295"/>
      <c r="AN72" s="295"/>
      <c r="AO72" s="296"/>
    </row>
    <row r="73" spans="3:41" x14ac:dyDescent="0.2">
      <c r="P73" s="333">
        <v>1.38</v>
      </c>
      <c r="Q73" s="293">
        <f t="shared" si="1"/>
        <v>0.41250000000000003</v>
      </c>
      <c r="R73" s="293"/>
      <c r="S73" s="293"/>
      <c r="Z73" s="294"/>
      <c r="AA73" s="295"/>
      <c r="AB73" s="295"/>
      <c r="AC73" s="295"/>
      <c r="AD73" s="295"/>
      <c r="AE73" s="295"/>
      <c r="AF73" s="295"/>
      <c r="AG73" s="296"/>
      <c r="AH73" s="294"/>
      <c r="AI73" s="295"/>
      <c r="AJ73" s="295"/>
      <c r="AK73" s="295"/>
      <c r="AL73" s="295"/>
      <c r="AM73" s="295"/>
      <c r="AN73" s="295"/>
      <c r="AO73" s="296"/>
    </row>
    <row r="74" spans="3:41" x14ac:dyDescent="0.2">
      <c r="P74" s="333">
        <v>1.4</v>
      </c>
      <c r="Q74" s="293">
        <f t="shared" si="1"/>
        <v>0.41250000000000003</v>
      </c>
      <c r="R74" s="293"/>
      <c r="S74" s="293"/>
      <c r="Z74" s="294"/>
      <c r="AA74" s="295"/>
      <c r="AB74" s="295"/>
      <c r="AC74" s="295"/>
      <c r="AD74" s="295"/>
      <c r="AE74" s="295"/>
      <c r="AF74" s="295"/>
      <c r="AG74" s="296"/>
      <c r="AH74" s="294"/>
      <c r="AI74" s="295"/>
      <c r="AJ74" s="295"/>
      <c r="AK74" s="295"/>
      <c r="AL74" s="295"/>
      <c r="AM74" s="295"/>
      <c r="AN74" s="295"/>
      <c r="AO74" s="296"/>
    </row>
    <row r="75" spans="3:41" x14ac:dyDescent="0.2">
      <c r="P75" s="333">
        <v>1.42</v>
      </c>
      <c r="Q75" s="293">
        <f t="shared" si="1"/>
        <v>0.41250000000000003</v>
      </c>
      <c r="R75" s="293"/>
      <c r="S75" s="293"/>
      <c r="Z75" s="294"/>
      <c r="AA75" s="295"/>
      <c r="AB75" s="295"/>
      <c r="AC75" s="295"/>
      <c r="AD75" s="295"/>
      <c r="AE75" s="295"/>
      <c r="AF75" s="295"/>
      <c r="AG75" s="296"/>
      <c r="AH75" s="294"/>
      <c r="AI75" s="295"/>
      <c r="AJ75" s="295"/>
      <c r="AK75" s="295"/>
      <c r="AL75" s="295"/>
      <c r="AM75" s="295"/>
      <c r="AN75" s="295"/>
      <c r="AO75" s="296"/>
    </row>
    <row r="76" spans="3:41" x14ac:dyDescent="0.2">
      <c r="P76" s="333">
        <v>1.44</v>
      </c>
      <c r="Q76" s="293">
        <f t="shared" si="1"/>
        <v>0.41250000000000003</v>
      </c>
      <c r="R76" s="293"/>
      <c r="S76" s="293"/>
      <c r="Z76" s="294"/>
      <c r="AA76" s="295"/>
      <c r="AB76" s="295"/>
      <c r="AC76" s="295"/>
      <c r="AD76" s="295"/>
      <c r="AE76" s="295"/>
      <c r="AF76" s="295"/>
      <c r="AG76" s="296"/>
      <c r="AH76" s="294"/>
      <c r="AI76" s="295"/>
      <c r="AJ76" s="295"/>
      <c r="AK76" s="295"/>
      <c r="AL76" s="295"/>
      <c r="AM76" s="295"/>
      <c r="AN76" s="295"/>
      <c r="AO76" s="296"/>
    </row>
    <row r="77" spans="3:41" ht="13.5" thickBot="1" x14ac:dyDescent="0.25">
      <c r="P77" s="333">
        <v>1.46</v>
      </c>
      <c r="Q77" s="293">
        <f t="shared" si="1"/>
        <v>0.41250000000000003</v>
      </c>
      <c r="R77" s="293"/>
      <c r="S77" s="293"/>
      <c r="Z77" s="330"/>
      <c r="AA77" s="331"/>
      <c r="AB77" s="331"/>
      <c r="AC77" s="331"/>
      <c r="AD77" s="331"/>
      <c r="AE77" s="331"/>
      <c r="AF77" s="331"/>
      <c r="AG77" s="332"/>
      <c r="AH77" s="330"/>
      <c r="AI77" s="331"/>
      <c r="AJ77" s="331"/>
      <c r="AK77" s="331"/>
      <c r="AL77" s="331"/>
      <c r="AM77" s="331"/>
      <c r="AN77" s="331"/>
      <c r="AO77" s="332"/>
    </row>
    <row r="78" spans="3:41" x14ac:dyDescent="0.2">
      <c r="P78" s="333">
        <v>1.48</v>
      </c>
      <c r="Q78" s="293">
        <f t="shared" si="1"/>
        <v>0.41250000000000003</v>
      </c>
      <c r="R78" s="293"/>
      <c r="S78" s="293"/>
    </row>
    <row r="79" spans="3:41" x14ac:dyDescent="0.2">
      <c r="P79" s="333">
        <v>1.5</v>
      </c>
      <c r="Q79" s="293">
        <f t="shared" si="1"/>
        <v>0.41250000000000003</v>
      </c>
      <c r="R79" s="293"/>
      <c r="S79" s="293"/>
    </row>
    <row r="80" spans="3:41" x14ac:dyDescent="0.2">
      <c r="P80" s="333">
        <v>1.52</v>
      </c>
      <c r="Q80" s="293">
        <f t="shared" si="1"/>
        <v>0.41250000000000003</v>
      </c>
      <c r="R80" s="293"/>
      <c r="S80" s="293"/>
    </row>
    <row r="81" spans="16:19" x14ac:dyDescent="0.2">
      <c r="P81" s="333">
        <v>1.54</v>
      </c>
      <c r="Q81" s="293">
        <f t="shared" si="1"/>
        <v>0.41250000000000003</v>
      </c>
      <c r="R81" s="293"/>
      <c r="S81" s="293"/>
    </row>
    <row r="82" spans="16:19" x14ac:dyDescent="0.2">
      <c r="P82" s="333">
        <v>1.56</v>
      </c>
      <c r="Q82" s="293">
        <f t="shared" si="1"/>
        <v>0.41250000000000003</v>
      </c>
      <c r="R82" s="293"/>
      <c r="S82" s="293"/>
    </row>
    <row r="83" spans="16:19" x14ac:dyDescent="0.2">
      <c r="P83" s="333">
        <v>1.58</v>
      </c>
      <c r="Q83" s="293">
        <f t="shared" si="1"/>
        <v>0.41250000000000003</v>
      </c>
      <c r="R83" s="293"/>
      <c r="S83" s="293"/>
    </row>
    <row r="84" spans="16:19" x14ac:dyDescent="0.2">
      <c r="P84" s="333">
        <v>1.6</v>
      </c>
      <c r="Q84" s="293">
        <f t="shared" si="1"/>
        <v>0.41250000000000003</v>
      </c>
      <c r="R84" s="293"/>
      <c r="S84" s="293"/>
    </row>
    <row r="85" spans="16:19" x14ac:dyDescent="0.2">
      <c r="P85" s="333">
        <v>1.62</v>
      </c>
      <c r="Q85" s="293">
        <f t="shared" si="1"/>
        <v>0.41250000000000003</v>
      </c>
      <c r="R85" s="293"/>
      <c r="S85" s="293"/>
    </row>
    <row r="86" spans="16:19" x14ac:dyDescent="0.2">
      <c r="P86" s="333">
        <v>1.64</v>
      </c>
      <c r="Q86" s="293">
        <f t="shared" si="1"/>
        <v>0.40975609756097559</v>
      </c>
      <c r="R86" s="293"/>
      <c r="S86" s="293"/>
    </row>
    <row r="87" spans="16:19" x14ac:dyDescent="0.2">
      <c r="P87" s="333">
        <v>1.66</v>
      </c>
      <c r="Q87" s="293">
        <f t="shared" si="1"/>
        <v>0.40481927710843374</v>
      </c>
      <c r="R87" s="293"/>
      <c r="S87" s="293"/>
    </row>
    <row r="88" spans="16:19" x14ac:dyDescent="0.2">
      <c r="P88" s="333">
        <v>1.68</v>
      </c>
      <c r="Q88" s="293">
        <f t="shared" si="1"/>
        <v>0.39999999999999997</v>
      </c>
      <c r="R88" s="293"/>
      <c r="S88" s="293"/>
    </row>
    <row r="89" spans="16:19" x14ac:dyDescent="0.2">
      <c r="P89" s="333">
        <v>1.7</v>
      </c>
      <c r="Q89" s="293">
        <f t="shared" si="1"/>
        <v>0.3952941176470588</v>
      </c>
      <c r="R89" s="293"/>
      <c r="S89" s="293"/>
    </row>
    <row r="90" spans="16:19" x14ac:dyDescent="0.2">
      <c r="P90" s="333">
        <v>1.72</v>
      </c>
      <c r="Q90" s="293">
        <f t="shared" si="1"/>
        <v>0.39069767441860459</v>
      </c>
      <c r="R90" s="293"/>
      <c r="S90" s="293"/>
    </row>
    <row r="91" spans="16:19" x14ac:dyDescent="0.2">
      <c r="P91" s="333">
        <v>1.74</v>
      </c>
      <c r="Q91" s="293">
        <f t="shared" si="1"/>
        <v>0.38620689655172408</v>
      </c>
      <c r="R91" s="293"/>
      <c r="S91" s="293"/>
    </row>
    <row r="92" spans="16:19" x14ac:dyDescent="0.2">
      <c r="P92" s="333">
        <v>1.76</v>
      </c>
      <c r="Q92" s="293">
        <f t="shared" si="1"/>
        <v>0.38181818181818178</v>
      </c>
      <c r="R92" s="293"/>
      <c r="S92" s="293"/>
    </row>
    <row r="93" spans="16:19" x14ac:dyDescent="0.2">
      <c r="P93" s="333">
        <v>1.78</v>
      </c>
      <c r="Q93" s="293">
        <f t="shared" si="1"/>
        <v>0.37752808988764042</v>
      </c>
      <c r="R93" s="293"/>
      <c r="S93" s="293"/>
    </row>
    <row r="94" spans="16:19" x14ac:dyDescent="0.2">
      <c r="P94" s="333">
        <v>1.8</v>
      </c>
      <c r="Q94" s="293">
        <f t="shared" si="1"/>
        <v>0.37333333333333329</v>
      </c>
      <c r="R94" s="293"/>
      <c r="S94" s="293"/>
    </row>
    <row r="95" spans="16:19" x14ac:dyDescent="0.2">
      <c r="P95" s="333">
        <v>1.82</v>
      </c>
      <c r="Q95" s="293">
        <f t="shared" si="1"/>
        <v>0.3692307692307692</v>
      </c>
      <c r="R95" s="293"/>
      <c r="S95" s="293"/>
    </row>
    <row r="96" spans="16:19" x14ac:dyDescent="0.2">
      <c r="P96" s="333">
        <v>1.84</v>
      </c>
      <c r="Q96" s="293">
        <f t="shared" si="1"/>
        <v>0.36521739130434777</v>
      </c>
      <c r="R96" s="293"/>
      <c r="S96" s="293"/>
    </row>
    <row r="97" spans="16:19" x14ac:dyDescent="0.2">
      <c r="P97" s="333">
        <v>1.86</v>
      </c>
      <c r="Q97" s="293">
        <f t="shared" si="1"/>
        <v>0.36129032258064508</v>
      </c>
      <c r="R97" s="293"/>
      <c r="S97" s="293"/>
    </row>
    <row r="98" spans="16:19" x14ac:dyDescent="0.2">
      <c r="P98" s="333">
        <v>1.88</v>
      </c>
      <c r="Q98" s="293">
        <f t="shared" si="1"/>
        <v>0.35744680851063826</v>
      </c>
      <c r="R98" s="293"/>
      <c r="S98" s="293"/>
    </row>
    <row r="99" spans="16:19" x14ac:dyDescent="0.2">
      <c r="P99" s="333">
        <v>1.9</v>
      </c>
      <c r="Q99" s="293">
        <f t="shared" si="1"/>
        <v>0.35368421052631577</v>
      </c>
      <c r="R99" s="293"/>
      <c r="S99" s="293"/>
    </row>
    <row r="100" spans="16:19" x14ac:dyDescent="0.2">
      <c r="P100" s="333">
        <v>1.92</v>
      </c>
      <c r="Q100" s="293">
        <f t="shared" si="1"/>
        <v>0.35</v>
      </c>
      <c r="R100" s="293"/>
      <c r="S100" s="293"/>
    </row>
    <row r="101" spans="16:19" x14ac:dyDescent="0.2">
      <c r="P101" s="333">
        <v>1.94</v>
      </c>
      <c r="Q101" s="293">
        <f t="shared" si="1"/>
        <v>0.34639175257731958</v>
      </c>
      <c r="R101" s="293"/>
      <c r="S101" s="293"/>
    </row>
    <row r="102" spans="16:19" x14ac:dyDescent="0.2">
      <c r="P102" s="333">
        <v>1.96</v>
      </c>
      <c r="Q102" s="293">
        <f t="shared" si="1"/>
        <v>0.3428571428571428</v>
      </c>
      <c r="R102" s="293"/>
      <c r="S102" s="293"/>
    </row>
    <row r="103" spans="16:19" x14ac:dyDescent="0.2">
      <c r="P103" s="333">
        <v>1.98</v>
      </c>
      <c r="Q103" s="293">
        <f t="shared" si="1"/>
        <v>0.33939393939393936</v>
      </c>
      <c r="R103" s="293"/>
      <c r="S103" s="293"/>
    </row>
    <row r="104" spans="16:19" x14ac:dyDescent="0.2">
      <c r="P104" s="333">
        <v>2</v>
      </c>
      <c r="Q104" s="293">
        <f t="shared" si="1"/>
        <v>0.33599999999999997</v>
      </c>
      <c r="R104" s="293"/>
      <c r="S104" s="293"/>
    </row>
    <row r="105" spans="16:19" x14ac:dyDescent="0.2">
      <c r="P105" s="333">
        <v>2.02</v>
      </c>
      <c r="Q105" s="293">
        <f t="shared" si="1"/>
        <v>0.33267326732673264</v>
      </c>
      <c r="R105" s="293"/>
      <c r="S105" s="293"/>
    </row>
    <row r="106" spans="16:19" x14ac:dyDescent="0.2">
      <c r="P106" s="333">
        <v>2.04</v>
      </c>
      <c r="Q106" s="293">
        <f t="shared" si="1"/>
        <v>0.32941176470588229</v>
      </c>
      <c r="R106" s="293"/>
      <c r="S106" s="293"/>
    </row>
    <row r="107" spans="16:19" x14ac:dyDescent="0.2">
      <c r="P107" s="333">
        <v>2.06</v>
      </c>
      <c r="Q107" s="293">
        <f t="shared" si="1"/>
        <v>0.32621359223300966</v>
      </c>
      <c r="R107" s="293"/>
      <c r="S107" s="293"/>
    </row>
    <row r="108" spans="16:19" x14ac:dyDescent="0.2">
      <c r="P108" s="333">
        <v>2.08</v>
      </c>
      <c r="Q108" s="293">
        <f t="shared" si="1"/>
        <v>0.32307692307692304</v>
      </c>
      <c r="R108" s="293"/>
      <c r="S108" s="293"/>
    </row>
    <row r="109" spans="16:19" x14ac:dyDescent="0.2">
      <c r="P109" s="333">
        <v>2.1</v>
      </c>
      <c r="Q109" s="293">
        <f t="shared" si="1"/>
        <v>0.31999999999999995</v>
      </c>
      <c r="R109" s="293"/>
      <c r="S109" s="293"/>
    </row>
    <row r="110" spans="16:19" x14ac:dyDescent="0.2">
      <c r="P110" s="333">
        <v>2.12</v>
      </c>
      <c r="Q110" s="293">
        <f t="shared" si="1"/>
        <v>0.31698113207547163</v>
      </c>
      <c r="R110" s="293"/>
      <c r="S110" s="293"/>
    </row>
    <row r="111" spans="16:19" x14ac:dyDescent="0.2">
      <c r="P111" s="333">
        <v>2.14</v>
      </c>
      <c r="Q111" s="293">
        <f t="shared" si="1"/>
        <v>0.31401869158878498</v>
      </c>
      <c r="R111" s="293"/>
      <c r="S111" s="293"/>
    </row>
    <row r="112" spans="16:19" x14ac:dyDescent="0.2">
      <c r="P112" s="333">
        <v>2.16</v>
      </c>
      <c r="Q112" s="293">
        <f t="shared" si="1"/>
        <v>0.31111111111111106</v>
      </c>
      <c r="R112" s="293"/>
      <c r="S112" s="293"/>
    </row>
    <row r="113" spans="16:19" x14ac:dyDescent="0.2">
      <c r="P113" s="333">
        <v>2.1800000000000002</v>
      </c>
      <c r="Q113" s="293">
        <f t="shared" si="1"/>
        <v>0.30825688073394492</v>
      </c>
      <c r="R113" s="293"/>
      <c r="S113" s="293"/>
    </row>
    <row r="114" spans="16:19" x14ac:dyDescent="0.2">
      <c r="P114" s="333">
        <v>2.2000000000000002</v>
      </c>
      <c r="Q114" s="293">
        <f t="shared" si="1"/>
        <v>0.30545454545454542</v>
      </c>
      <c r="R114" s="293"/>
      <c r="S114" s="293"/>
    </row>
    <row r="115" spans="16:19" x14ac:dyDescent="0.2">
      <c r="P115" s="333">
        <v>2.2200000000000002</v>
      </c>
      <c r="Q115" s="293">
        <f t="shared" si="1"/>
        <v>0.30270270270270266</v>
      </c>
      <c r="R115" s="293"/>
      <c r="S115" s="293"/>
    </row>
    <row r="116" spans="16:19" x14ac:dyDescent="0.2">
      <c r="P116" s="333">
        <v>2.2400000000000002</v>
      </c>
      <c r="Q116" s="293">
        <f t="shared" si="1"/>
        <v>0.29999999999999993</v>
      </c>
      <c r="R116" s="293"/>
      <c r="S116" s="293"/>
    </row>
    <row r="117" spans="16:19" x14ac:dyDescent="0.2">
      <c r="P117" s="333">
        <v>2.2599999999999998</v>
      </c>
      <c r="Q117" s="293">
        <f t="shared" si="1"/>
        <v>0.29734513274336283</v>
      </c>
      <c r="R117" s="293"/>
      <c r="S117" s="293"/>
    </row>
    <row r="118" spans="16:19" x14ac:dyDescent="0.2">
      <c r="P118" s="333">
        <v>2.2799999999999998</v>
      </c>
      <c r="Q118" s="293">
        <f t="shared" si="1"/>
        <v>0.29473684210526313</v>
      </c>
      <c r="R118" s="293"/>
      <c r="S118" s="293"/>
    </row>
    <row r="119" spans="16:19" x14ac:dyDescent="0.2">
      <c r="P119" s="333">
        <v>2.2999999999999998</v>
      </c>
      <c r="Q119" s="293">
        <f t="shared" si="1"/>
        <v>0.29217391304347823</v>
      </c>
      <c r="R119" s="293"/>
      <c r="S119" s="293"/>
    </row>
    <row r="120" spans="16:19" x14ac:dyDescent="0.2">
      <c r="P120" s="333">
        <v>2.3199999999999998</v>
      </c>
      <c r="Q120" s="293">
        <f t="shared" si="1"/>
        <v>0.28965517241379307</v>
      </c>
      <c r="R120" s="293"/>
      <c r="S120" s="293"/>
    </row>
    <row r="121" spans="16:19" x14ac:dyDescent="0.2">
      <c r="P121" s="333">
        <v>2.34</v>
      </c>
      <c r="Q121" s="293">
        <f t="shared" si="1"/>
        <v>0.28717948717948716</v>
      </c>
      <c r="R121" s="293"/>
      <c r="S121" s="293"/>
    </row>
    <row r="122" spans="16:19" x14ac:dyDescent="0.2">
      <c r="P122" s="333">
        <v>2.36</v>
      </c>
      <c r="Q122" s="293">
        <f t="shared" si="1"/>
        <v>0.28474576271186441</v>
      </c>
      <c r="R122" s="293"/>
      <c r="S122" s="293"/>
    </row>
    <row r="123" spans="16:19" x14ac:dyDescent="0.2">
      <c r="P123" s="333">
        <v>2.38</v>
      </c>
      <c r="Q123" s="293">
        <f t="shared" si="1"/>
        <v>0.28235294117647058</v>
      </c>
      <c r="R123" s="293"/>
      <c r="S123" s="293"/>
    </row>
    <row r="124" spans="16:19" x14ac:dyDescent="0.2">
      <c r="P124" s="333">
        <v>2.4</v>
      </c>
      <c r="Q124" s="293">
        <f t="shared" si="1"/>
        <v>0.27999999999999997</v>
      </c>
      <c r="R124" s="293"/>
      <c r="S124" s="293"/>
    </row>
    <row r="125" spans="16:19" x14ac:dyDescent="0.2">
      <c r="P125" s="333">
        <v>2.42</v>
      </c>
      <c r="Q125" s="293">
        <f t="shared" si="1"/>
        <v>0.27768595041322314</v>
      </c>
      <c r="R125" s="293"/>
      <c r="S125" s="293"/>
    </row>
    <row r="126" spans="16:19" x14ac:dyDescent="0.2">
      <c r="P126" s="333">
        <v>2.44</v>
      </c>
      <c r="Q126" s="293">
        <f t="shared" si="1"/>
        <v>0.27540983606557373</v>
      </c>
      <c r="R126" s="293"/>
      <c r="S126" s="293"/>
    </row>
    <row r="127" spans="16:19" x14ac:dyDescent="0.2">
      <c r="P127" s="333">
        <v>2.46</v>
      </c>
      <c r="Q127" s="293">
        <f t="shared" si="1"/>
        <v>0.27317073170731704</v>
      </c>
      <c r="R127" s="293"/>
      <c r="S127" s="293"/>
    </row>
    <row r="128" spans="16:19" x14ac:dyDescent="0.2">
      <c r="P128" s="333">
        <v>2.48</v>
      </c>
      <c r="Q128" s="293">
        <f t="shared" si="1"/>
        <v>0.27096774193548384</v>
      </c>
      <c r="R128" s="293"/>
      <c r="S128" s="293"/>
    </row>
    <row r="129" spans="16:19" x14ac:dyDescent="0.2">
      <c r="P129" s="333">
        <v>2.5</v>
      </c>
      <c r="Q129" s="293">
        <f t="shared" si="1"/>
        <v>0.26879999999999998</v>
      </c>
      <c r="R129" s="293"/>
      <c r="S129" s="293"/>
    </row>
    <row r="130" spans="16:19" x14ac:dyDescent="0.2">
      <c r="P130" s="333">
        <v>2.52</v>
      </c>
      <c r="Q130" s="293">
        <f t="shared" si="1"/>
        <v>0.26666666666666666</v>
      </c>
      <c r="R130" s="293"/>
      <c r="S130" s="293"/>
    </row>
    <row r="131" spans="16:19" x14ac:dyDescent="0.2">
      <c r="P131" s="333">
        <v>2.54</v>
      </c>
      <c r="Q131" s="293">
        <f t="shared" si="1"/>
        <v>0.26456692913385826</v>
      </c>
      <c r="R131" s="293"/>
      <c r="S131" s="293"/>
    </row>
    <row r="132" spans="16:19" x14ac:dyDescent="0.2">
      <c r="P132" s="333">
        <v>2.56</v>
      </c>
      <c r="Q132" s="293">
        <f t="shared" si="1"/>
        <v>0.26249999999999996</v>
      </c>
      <c r="R132" s="293"/>
      <c r="S132" s="293"/>
    </row>
    <row r="133" spans="16:19" x14ac:dyDescent="0.2">
      <c r="P133" s="333">
        <v>2.58</v>
      </c>
      <c r="Q133" s="293">
        <f t="shared" ref="Q133:Q196" si="2">(IF(P133&lt;=$D$13,2.5*$D$9*$L$7*$H$7,IF(AND(P133&lt;=$D$14,P133&gt;$D$13),1.2*$D$10*$L$8*$H$7/P133,1.2*$D$10*$L$8*$D$14*$H$7/(P133^2))))</f>
        <v>0.26046511627906971</v>
      </c>
      <c r="R133" s="293"/>
      <c r="S133" s="293"/>
    </row>
    <row r="134" spans="16:19" x14ac:dyDescent="0.2">
      <c r="P134" s="333">
        <v>2.6</v>
      </c>
      <c r="Q134" s="293">
        <f t="shared" si="2"/>
        <v>0.25846153846153841</v>
      </c>
      <c r="R134" s="293"/>
      <c r="S134" s="293"/>
    </row>
    <row r="135" spans="16:19" x14ac:dyDescent="0.2">
      <c r="P135" s="333">
        <v>2.62</v>
      </c>
      <c r="Q135" s="293">
        <f t="shared" si="2"/>
        <v>0.25648854961832057</v>
      </c>
      <c r="R135" s="293"/>
      <c r="S135" s="293"/>
    </row>
    <row r="136" spans="16:19" x14ac:dyDescent="0.2">
      <c r="P136" s="333">
        <v>2.64</v>
      </c>
      <c r="Q136" s="293">
        <f t="shared" si="2"/>
        <v>0.25454545454545452</v>
      </c>
      <c r="R136" s="293"/>
      <c r="S136" s="293"/>
    </row>
    <row r="137" spans="16:19" x14ac:dyDescent="0.2">
      <c r="P137" s="333">
        <v>2.66</v>
      </c>
      <c r="Q137" s="293">
        <f t="shared" si="2"/>
        <v>0.25263157894736837</v>
      </c>
      <c r="R137" s="293"/>
      <c r="S137" s="293"/>
    </row>
    <row r="138" spans="16:19" x14ac:dyDescent="0.2">
      <c r="P138" s="333">
        <v>2.68</v>
      </c>
      <c r="Q138" s="293">
        <f t="shared" si="2"/>
        <v>0.2507462686567164</v>
      </c>
      <c r="R138" s="293"/>
      <c r="S138" s="293"/>
    </row>
    <row r="139" spans="16:19" x14ac:dyDescent="0.2">
      <c r="P139" s="333">
        <v>2.7</v>
      </c>
      <c r="Q139" s="293">
        <f t="shared" si="2"/>
        <v>0.24888888888888885</v>
      </c>
      <c r="R139" s="293"/>
      <c r="S139" s="293"/>
    </row>
    <row r="140" spans="16:19" x14ac:dyDescent="0.2">
      <c r="P140" s="333">
        <v>2.72</v>
      </c>
      <c r="Q140" s="293">
        <f t="shared" si="2"/>
        <v>0.24705882352941172</v>
      </c>
      <c r="R140" s="293"/>
      <c r="S140" s="293"/>
    </row>
    <row r="141" spans="16:19" x14ac:dyDescent="0.2">
      <c r="P141" s="333">
        <v>2.74</v>
      </c>
      <c r="Q141" s="293">
        <f t="shared" si="2"/>
        <v>0.24525547445255469</v>
      </c>
      <c r="R141" s="293"/>
      <c r="S141" s="293"/>
    </row>
    <row r="142" spans="16:19" x14ac:dyDescent="0.2">
      <c r="P142" s="333">
        <v>2.76</v>
      </c>
      <c r="Q142" s="293">
        <f t="shared" si="2"/>
        <v>0.2434782608695652</v>
      </c>
      <c r="R142" s="293"/>
      <c r="S142" s="293"/>
    </row>
    <row r="143" spans="16:19" x14ac:dyDescent="0.2">
      <c r="P143" s="333">
        <v>2.78</v>
      </c>
      <c r="Q143" s="293">
        <f t="shared" si="2"/>
        <v>0.24172661870503595</v>
      </c>
      <c r="R143" s="293"/>
      <c r="S143" s="293"/>
    </row>
    <row r="144" spans="16:19" x14ac:dyDescent="0.2">
      <c r="P144" s="333">
        <v>2.8</v>
      </c>
      <c r="Q144" s="293">
        <f t="shared" si="2"/>
        <v>0.24</v>
      </c>
      <c r="R144" s="293"/>
      <c r="S144" s="293"/>
    </row>
    <row r="145" spans="16:19" x14ac:dyDescent="0.2">
      <c r="P145" s="333">
        <v>2.82</v>
      </c>
      <c r="Q145" s="293">
        <f t="shared" si="2"/>
        <v>0.23829787234042552</v>
      </c>
      <c r="R145" s="293"/>
      <c r="S145" s="293"/>
    </row>
    <row r="146" spans="16:19" x14ac:dyDescent="0.2">
      <c r="P146" s="333">
        <v>2.84</v>
      </c>
      <c r="Q146" s="293">
        <f t="shared" si="2"/>
        <v>0.23661971830985915</v>
      </c>
      <c r="R146" s="293"/>
      <c r="S146" s="293"/>
    </row>
    <row r="147" spans="16:19" x14ac:dyDescent="0.2">
      <c r="P147" s="333">
        <v>2.86</v>
      </c>
      <c r="Q147" s="293">
        <f t="shared" si="2"/>
        <v>0.23496503496503496</v>
      </c>
      <c r="R147" s="293"/>
      <c r="S147" s="293"/>
    </row>
    <row r="148" spans="16:19" x14ac:dyDescent="0.2">
      <c r="P148" s="333">
        <v>2.88</v>
      </c>
      <c r="Q148" s="293">
        <f t="shared" si="2"/>
        <v>0.23333333333333331</v>
      </c>
      <c r="R148" s="293"/>
      <c r="S148" s="293"/>
    </row>
    <row r="149" spans="16:19" x14ac:dyDescent="0.2">
      <c r="P149" s="333">
        <v>2.9</v>
      </c>
      <c r="Q149" s="293">
        <f t="shared" si="2"/>
        <v>0.23172413793103447</v>
      </c>
      <c r="R149" s="293"/>
      <c r="S149" s="293"/>
    </row>
    <row r="150" spans="16:19" x14ac:dyDescent="0.2">
      <c r="P150" s="333">
        <v>2.92</v>
      </c>
      <c r="Q150" s="293">
        <f t="shared" si="2"/>
        <v>0.23013698630136983</v>
      </c>
      <c r="R150" s="293"/>
      <c r="S150" s="293"/>
    </row>
    <row r="151" spans="16:19" x14ac:dyDescent="0.2">
      <c r="P151" s="333">
        <v>2.94</v>
      </c>
      <c r="Q151" s="293">
        <f t="shared" si="2"/>
        <v>0.22857142857142856</v>
      </c>
      <c r="R151" s="293"/>
      <c r="S151" s="293"/>
    </row>
    <row r="152" spans="16:19" x14ac:dyDescent="0.2">
      <c r="P152" s="333">
        <v>2.96</v>
      </c>
      <c r="Q152" s="293">
        <f t="shared" si="2"/>
        <v>0.22702702702702701</v>
      </c>
      <c r="R152" s="293"/>
      <c r="S152" s="293"/>
    </row>
    <row r="153" spans="16:19" x14ac:dyDescent="0.2">
      <c r="P153" s="333">
        <v>2.98</v>
      </c>
      <c r="Q153" s="293">
        <f t="shared" si="2"/>
        <v>0.22550335570469796</v>
      </c>
      <c r="R153" s="293"/>
      <c r="S153" s="293"/>
    </row>
    <row r="154" spans="16:19" x14ac:dyDescent="0.2">
      <c r="P154" s="333">
        <v>3</v>
      </c>
      <c r="Q154" s="293">
        <f t="shared" si="2"/>
        <v>0.22399999999999998</v>
      </c>
      <c r="R154" s="293"/>
      <c r="S154" s="293"/>
    </row>
    <row r="155" spans="16:19" x14ac:dyDescent="0.2">
      <c r="P155" s="333">
        <v>3.02</v>
      </c>
      <c r="Q155" s="293">
        <f t="shared" si="2"/>
        <v>0.22251655629139069</v>
      </c>
      <c r="R155" s="293"/>
      <c r="S155" s="293"/>
    </row>
    <row r="156" spans="16:19" x14ac:dyDescent="0.2">
      <c r="P156" s="333">
        <v>3.04</v>
      </c>
      <c r="Q156" s="293">
        <f t="shared" si="2"/>
        <v>0.22105263157894733</v>
      </c>
      <c r="R156" s="293"/>
      <c r="S156" s="293"/>
    </row>
    <row r="157" spans="16:19" x14ac:dyDescent="0.2">
      <c r="P157" s="333">
        <v>3.06</v>
      </c>
      <c r="Q157" s="293">
        <f t="shared" si="2"/>
        <v>0.21960784313725487</v>
      </c>
      <c r="R157" s="293"/>
      <c r="S157" s="293"/>
    </row>
    <row r="158" spans="16:19" x14ac:dyDescent="0.2">
      <c r="P158" s="333">
        <v>3.08</v>
      </c>
      <c r="Q158" s="293">
        <f t="shared" si="2"/>
        <v>0.21818181818181814</v>
      </c>
      <c r="R158" s="293"/>
      <c r="S158" s="293"/>
    </row>
    <row r="159" spans="16:19" x14ac:dyDescent="0.2">
      <c r="P159" s="333">
        <v>3.1</v>
      </c>
      <c r="Q159" s="293">
        <f t="shared" si="2"/>
        <v>0.21677419354838706</v>
      </c>
      <c r="R159" s="293"/>
      <c r="S159" s="293"/>
    </row>
    <row r="160" spans="16:19" x14ac:dyDescent="0.2">
      <c r="P160" s="333">
        <v>3.12</v>
      </c>
      <c r="Q160" s="293">
        <f t="shared" si="2"/>
        <v>0.21538461538461537</v>
      </c>
      <c r="R160" s="293"/>
      <c r="S160" s="293"/>
    </row>
    <row r="161" spans="16:19" x14ac:dyDescent="0.2">
      <c r="P161" s="333">
        <v>3.14</v>
      </c>
      <c r="Q161" s="293">
        <f t="shared" si="2"/>
        <v>0.21401273885350316</v>
      </c>
      <c r="R161" s="293"/>
      <c r="S161" s="293"/>
    </row>
    <row r="162" spans="16:19" x14ac:dyDescent="0.2">
      <c r="P162" s="333">
        <v>3.16</v>
      </c>
      <c r="Q162" s="293">
        <f t="shared" si="2"/>
        <v>0.21265822784810123</v>
      </c>
      <c r="R162" s="293"/>
      <c r="S162" s="293"/>
    </row>
    <row r="163" spans="16:19" x14ac:dyDescent="0.2">
      <c r="P163" s="333">
        <v>3.18</v>
      </c>
      <c r="Q163" s="293">
        <f t="shared" si="2"/>
        <v>0.21132075471698111</v>
      </c>
      <c r="R163" s="293"/>
      <c r="S163" s="293"/>
    </row>
    <row r="164" spans="16:19" x14ac:dyDescent="0.2">
      <c r="P164" s="333">
        <v>3.2</v>
      </c>
      <c r="Q164" s="293">
        <f t="shared" si="2"/>
        <v>0.20999999999999996</v>
      </c>
      <c r="R164" s="293"/>
      <c r="S164" s="293"/>
    </row>
    <row r="165" spans="16:19" x14ac:dyDescent="0.2">
      <c r="P165" s="333">
        <v>3.22</v>
      </c>
      <c r="Q165" s="293">
        <f t="shared" si="2"/>
        <v>0.208695652173913</v>
      </c>
      <c r="R165" s="293"/>
      <c r="S165" s="293"/>
    </row>
    <row r="166" spans="16:19" x14ac:dyDescent="0.2">
      <c r="P166" s="333">
        <v>3.24</v>
      </c>
      <c r="Q166" s="293">
        <f t="shared" si="2"/>
        <v>0.20740740740740737</v>
      </c>
      <c r="R166" s="293"/>
      <c r="S166" s="293"/>
    </row>
    <row r="167" spans="16:19" x14ac:dyDescent="0.2">
      <c r="P167" s="333">
        <v>3.26</v>
      </c>
      <c r="Q167" s="293">
        <f t="shared" si="2"/>
        <v>0.20613496932515338</v>
      </c>
      <c r="R167" s="293"/>
      <c r="S167" s="293"/>
    </row>
    <row r="168" spans="16:19" x14ac:dyDescent="0.2">
      <c r="P168" s="333">
        <v>3.28</v>
      </c>
      <c r="Q168" s="293">
        <f t="shared" si="2"/>
        <v>0.20487804878048779</v>
      </c>
      <c r="R168" s="293"/>
      <c r="S168" s="293"/>
    </row>
    <row r="169" spans="16:19" x14ac:dyDescent="0.2">
      <c r="P169" s="333">
        <v>3.3</v>
      </c>
      <c r="Q169" s="293">
        <f t="shared" si="2"/>
        <v>0.20363636363636362</v>
      </c>
      <c r="R169" s="293"/>
      <c r="S169" s="293"/>
    </row>
    <row r="170" spans="16:19" x14ac:dyDescent="0.2">
      <c r="P170" s="333">
        <v>3.32</v>
      </c>
      <c r="Q170" s="293">
        <f t="shared" si="2"/>
        <v>0.20240963855421687</v>
      </c>
      <c r="R170" s="293"/>
      <c r="S170" s="293"/>
    </row>
    <row r="171" spans="16:19" x14ac:dyDescent="0.2">
      <c r="P171" s="333">
        <v>3.34</v>
      </c>
      <c r="Q171" s="293">
        <f t="shared" si="2"/>
        <v>0.20119760479041915</v>
      </c>
      <c r="R171" s="293"/>
      <c r="S171" s="293"/>
    </row>
    <row r="172" spans="16:19" x14ac:dyDescent="0.2">
      <c r="P172" s="333">
        <v>3.36</v>
      </c>
      <c r="Q172" s="293">
        <f t="shared" si="2"/>
        <v>0.19999999999999998</v>
      </c>
      <c r="R172" s="293"/>
      <c r="S172" s="293"/>
    </row>
    <row r="173" spans="16:19" x14ac:dyDescent="0.2">
      <c r="P173" s="333">
        <v>3.38</v>
      </c>
      <c r="Q173" s="293">
        <f t="shared" si="2"/>
        <v>0.19881656804733727</v>
      </c>
      <c r="R173" s="293"/>
      <c r="S173" s="293"/>
    </row>
    <row r="174" spans="16:19" x14ac:dyDescent="0.2">
      <c r="P174" s="333">
        <v>3.4</v>
      </c>
      <c r="Q174" s="293">
        <f t="shared" si="2"/>
        <v>0.1976470588235294</v>
      </c>
      <c r="R174" s="293"/>
      <c r="S174" s="293"/>
    </row>
    <row r="175" spans="16:19" x14ac:dyDescent="0.2">
      <c r="P175" s="333">
        <v>3.42</v>
      </c>
      <c r="Q175" s="293">
        <f t="shared" si="2"/>
        <v>0.19649122807017541</v>
      </c>
      <c r="R175" s="293"/>
      <c r="S175" s="293"/>
    </row>
    <row r="176" spans="16:19" x14ac:dyDescent="0.2">
      <c r="P176" s="333">
        <v>3.44</v>
      </c>
      <c r="Q176" s="293">
        <f t="shared" si="2"/>
        <v>0.1953488372093023</v>
      </c>
      <c r="R176" s="293"/>
      <c r="S176" s="293"/>
    </row>
    <row r="177" spans="16:19" x14ac:dyDescent="0.2">
      <c r="P177" s="333">
        <v>3.46</v>
      </c>
      <c r="Q177" s="293">
        <f t="shared" si="2"/>
        <v>0.19421965317919074</v>
      </c>
      <c r="R177" s="293"/>
      <c r="S177" s="293"/>
    </row>
    <row r="178" spans="16:19" x14ac:dyDescent="0.2">
      <c r="P178" s="333">
        <v>3.48</v>
      </c>
      <c r="Q178" s="293">
        <f t="shared" si="2"/>
        <v>0.19310344827586204</v>
      </c>
      <c r="R178" s="293"/>
      <c r="S178" s="293"/>
    </row>
    <row r="179" spans="16:19" x14ac:dyDescent="0.2">
      <c r="P179" s="333">
        <v>3.5</v>
      </c>
      <c r="Q179" s="293">
        <f t="shared" si="2"/>
        <v>0.19199999999999998</v>
      </c>
      <c r="R179" s="293"/>
      <c r="S179" s="293"/>
    </row>
    <row r="180" spans="16:19" x14ac:dyDescent="0.2">
      <c r="P180" s="333">
        <v>3.52</v>
      </c>
      <c r="Q180" s="293">
        <f t="shared" si="2"/>
        <v>0.19090909090909089</v>
      </c>
      <c r="R180" s="293"/>
      <c r="S180" s="293"/>
    </row>
    <row r="181" spans="16:19" x14ac:dyDescent="0.2">
      <c r="P181" s="333">
        <v>3.54</v>
      </c>
      <c r="Q181" s="293">
        <f t="shared" si="2"/>
        <v>0.18983050847457625</v>
      </c>
      <c r="R181" s="293"/>
      <c r="S181" s="293"/>
    </row>
    <row r="182" spans="16:19" x14ac:dyDescent="0.2">
      <c r="P182" s="333">
        <v>3.56</v>
      </c>
      <c r="Q182" s="293">
        <f t="shared" si="2"/>
        <v>0.18876404494382021</v>
      </c>
      <c r="R182" s="293"/>
      <c r="S182" s="293"/>
    </row>
    <row r="183" spans="16:19" x14ac:dyDescent="0.2">
      <c r="P183" s="333">
        <v>3.58</v>
      </c>
      <c r="Q183" s="293">
        <f t="shared" si="2"/>
        <v>0.18770949720670388</v>
      </c>
      <c r="R183" s="293"/>
      <c r="S183" s="293"/>
    </row>
    <row r="184" spans="16:19" x14ac:dyDescent="0.2">
      <c r="P184" s="333">
        <v>3.6</v>
      </c>
      <c r="Q184" s="293">
        <f t="shared" si="2"/>
        <v>0.18666666666666665</v>
      </c>
      <c r="R184" s="293"/>
      <c r="S184" s="293"/>
    </row>
    <row r="185" spans="16:19" x14ac:dyDescent="0.2">
      <c r="P185" s="333">
        <v>3.62</v>
      </c>
      <c r="Q185" s="293">
        <f t="shared" si="2"/>
        <v>0.18563535911602208</v>
      </c>
      <c r="R185" s="293"/>
      <c r="S185" s="293"/>
    </row>
    <row r="186" spans="16:19" x14ac:dyDescent="0.2">
      <c r="P186" s="333">
        <v>3.64</v>
      </c>
      <c r="Q186" s="293">
        <f t="shared" si="2"/>
        <v>0.1846153846153846</v>
      </c>
      <c r="R186" s="293"/>
      <c r="S186" s="293"/>
    </row>
    <row r="187" spans="16:19" x14ac:dyDescent="0.2">
      <c r="P187" s="333">
        <v>3.66</v>
      </c>
      <c r="Q187" s="293">
        <f t="shared" si="2"/>
        <v>0.18360655737704915</v>
      </c>
      <c r="R187" s="293"/>
      <c r="S187" s="293"/>
    </row>
    <row r="188" spans="16:19" x14ac:dyDescent="0.2">
      <c r="P188" s="333">
        <v>3.68</v>
      </c>
      <c r="Q188" s="293">
        <f t="shared" si="2"/>
        <v>0.18260869565217389</v>
      </c>
      <c r="R188" s="293"/>
      <c r="S188" s="293"/>
    </row>
    <row r="189" spans="16:19" x14ac:dyDescent="0.2">
      <c r="P189" s="333">
        <v>3.7</v>
      </c>
      <c r="Q189" s="293">
        <f t="shared" si="2"/>
        <v>0.1816216216216216</v>
      </c>
      <c r="R189" s="293"/>
      <c r="S189" s="293"/>
    </row>
    <row r="190" spans="16:19" x14ac:dyDescent="0.2">
      <c r="P190" s="333">
        <v>3.72</v>
      </c>
      <c r="Q190" s="293">
        <f t="shared" si="2"/>
        <v>0.18064516129032254</v>
      </c>
      <c r="R190" s="293"/>
      <c r="S190" s="293"/>
    </row>
    <row r="191" spans="16:19" x14ac:dyDescent="0.2">
      <c r="P191" s="333">
        <v>3.74</v>
      </c>
      <c r="Q191" s="293">
        <f t="shared" si="2"/>
        <v>0.17967914438502672</v>
      </c>
      <c r="R191" s="293"/>
      <c r="S191" s="293"/>
    </row>
    <row r="192" spans="16:19" x14ac:dyDescent="0.2">
      <c r="P192" s="333">
        <v>3.76</v>
      </c>
      <c r="Q192" s="293">
        <f t="shared" si="2"/>
        <v>0.17872340425531913</v>
      </c>
      <c r="R192" s="293"/>
      <c r="S192" s="293"/>
    </row>
    <row r="193" spans="16:19" x14ac:dyDescent="0.2">
      <c r="P193" s="333">
        <v>3.78</v>
      </c>
      <c r="Q193" s="293">
        <f t="shared" si="2"/>
        <v>0.17777777777777776</v>
      </c>
      <c r="R193" s="293"/>
      <c r="S193" s="293"/>
    </row>
    <row r="194" spans="16:19" x14ac:dyDescent="0.2">
      <c r="P194" s="333">
        <v>3.8</v>
      </c>
      <c r="Q194" s="293">
        <f t="shared" si="2"/>
        <v>0.17684210526315788</v>
      </c>
      <c r="R194" s="293"/>
      <c r="S194" s="293"/>
    </row>
    <row r="195" spans="16:19" x14ac:dyDescent="0.2">
      <c r="P195" s="333">
        <v>3.82</v>
      </c>
      <c r="Q195" s="293">
        <f t="shared" si="2"/>
        <v>0.17591623036649215</v>
      </c>
      <c r="R195" s="293"/>
      <c r="S195" s="293"/>
    </row>
    <row r="196" spans="16:19" x14ac:dyDescent="0.2">
      <c r="P196" s="333">
        <v>3.84</v>
      </c>
      <c r="Q196" s="293">
        <f t="shared" si="2"/>
        <v>0.17499999999999999</v>
      </c>
      <c r="R196" s="293"/>
      <c r="S196" s="293"/>
    </row>
    <row r="197" spans="16:19" x14ac:dyDescent="0.2">
      <c r="P197" s="333">
        <v>3.86</v>
      </c>
      <c r="Q197" s="293">
        <f t="shared" ref="Q197:Q260" si="3">(IF(P197&lt;=$D$13,2.5*$D$9*$L$7*$H$7,IF(AND(P197&lt;=$D$14,P197&gt;$D$13),1.2*$D$10*$L$8*$H$7/P197,1.2*$D$10*$L$8*$D$14*$H$7/(P197^2))))</f>
        <v>0.17409326424870464</v>
      </c>
      <c r="R197" s="293"/>
      <c r="S197" s="293"/>
    </row>
    <row r="198" spans="16:19" x14ac:dyDescent="0.2">
      <c r="P198" s="333">
        <v>3.88</v>
      </c>
      <c r="Q198" s="293">
        <f t="shared" si="3"/>
        <v>0.17319587628865979</v>
      </c>
      <c r="R198" s="293"/>
      <c r="S198" s="293"/>
    </row>
    <row r="199" spans="16:19" x14ac:dyDescent="0.2">
      <c r="P199" s="333">
        <v>3.9</v>
      </c>
      <c r="Q199" s="293">
        <f t="shared" si="3"/>
        <v>0.1723076923076923</v>
      </c>
      <c r="R199" s="293"/>
      <c r="S199" s="293"/>
    </row>
    <row r="200" spans="16:19" x14ac:dyDescent="0.2">
      <c r="P200" s="333">
        <v>3.92</v>
      </c>
      <c r="Q200" s="293">
        <f t="shared" si="3"/>
        <v>0.1714285714285714</v>
      </c>
      <c r="R200" s="293"/>
      <c r="S200" s="293"/>
    </row>
    <row r="201" spans="16:19" x14ac:dyDescent="0.2">
      <c r="P201" s="333">
        <v>3.94</v>
      </c>
      <c r="Q201" s="293">
        <f t="shared" si="3"/>
        <v>0.17055837563451776</v>
      </c>
      <c r="R201" s="293"/>
      <c r="S201" s="293"/>
    </row>
    <row r="202" spans="16:19" x14ac:dyDescent="0.2">
      <c r="P202" s="333">
        <v>3.96</v>
      </c>
      <c r="Q202" s="293">
        <f t="shared" si="3"/>
        <v>0.16969696969696968</v>
      </c>
      <c r="R202" s="293"/>
      <c r="S202" s="293"/>
    </row>
    <row r="203" spans="16:19" x14ac:dyDescent="0.2">
      <c r="P203" s="333">
        <v>3.98</v>
      </c>
      <c r="Q203" s="293">
        <f t="shared" si="3"/>
        <v>0.16884422110552763</v>
      </c>
      <c r="R203" s="293"/>
      <c r="S203" s="293"/>
    </row>
    <row r="204" spans="16:19" x14ac:dyDescent="0.2">
      <c r="P204" s="333">
        <v>4</v>
      </c>
      <c r="Q204" s="293">
        <f t="shared" si="3"/>
        <v>0.16799999999999998</v>
      </c>
      <c r="R204" s="293"/>
      <c r="S204" s="293"/>
    </row>
    <row r="205" spans="16:19" x14ac:dyDescent="0.2">
      <c r="P205" s="333">
        <v>4.0199999999999996</v>
      </c>
      <c r="Q205" s="293">
        <f t="shared" si="3"/>
        <v>0.16633251652186828</v>
      </c>
      <c r="R205" s="293"/>
      <c r="S205" s="293"/>
    </row>
    <row r="206" spans="16:19" x14ac:dyDescent="0.2">
      <c r="P206" s="333">
        <v>4.04</v>
      </c>
      <c r="Q206" s="293">
        <f t="shared" si="3"/>
        <v>0.16468973630036268</v>
      </c>
      <c r="R206" s="293"/>
      <c r="S206" s="293"/>
    </row>
    <row r="207" spans="16:19" x14ac:dyDescent="0.2">
      <c r="P207" s="333">
        <v>4.0599999999999996</v>
      </c>
      <c r="Q207" s="293">
        <f t="shared" si="3"/>
        <v>0.16307117377271957</v>
      </c>
      <c r="R207" s="293"/>
      <c r="S207" s="293"/>
    </row>
    <row r="208" spans="16:19" x14ac:dyDescent="0.2">
      <c r="P208" s="333">
        <v>4.08</v>
      </c>
      <c r="Q208" s="293">
        <f t="shared" si="3"/>
        <v>0.16147635524798154</v>
      </c>
      <c r="R208" s="293"/>
      <c r="S208" s="293"/>
    </row>
    <row r="209" spans="16:19" x14ac:dyDescent="0.2">
      <c r="P209" s="333">
        <v>4.0999999999999996</v>
      </c>
      <c r="Q209" s="293">
        <f t="shared" si="3"/>
        <v>0.15990481856038072</v>
      </c>
      <c r="R209" s="293"/>
      <c r="S209" s="293"/>
    </row>
    <row r="210" spans="16:19" x14ac:dyDescent="0.2">
      <c r="P210" s="333">
        <v>4.12</v>
      </c>
      <c r="Q210" s="293">
        <f t="shared" si="3"/>
        <v>0.15835611273447073</v>
      </c>
      <c r="R210" s="293"/>
      <c r="S210" s="293"/>
    </row>
    <row r="211" spans="16:19" x14ac:dyDescent="0.2">
      <c r="P211" s="333">
        <v>4.1399999999999997</v>
      </c>
      <c r="Q211" s="293">
        <f t="shared" si="3"/>
        <v>0.15682979766155569</v>
      </c>
      <c r="R211" s="293"/>
      <c r="S211" s="293"/>
    </row>
    <row r="212" spans="16:19" x14ac:dyDescent="0.2">
      <c r="P212" s="333">
        <v>4.16</v>
      </c>
      <c r="Q212" s="293">
        <f t="shared" si="3"/>
        <v>0.15532544378698221</v>
      </c>
      <c r="R212" s="293"/>
      <c r="S212" s="293"/>
    </row>
    <row r="213" spans="16:19" x14ac:dyDescent="0.2">
      <c r="P213" s="333">
        <v>4.18</v>
      </c>
      <c r="Q213" s="293">
        <f t="shared" si="3"/>
        <v>0.15384263180787988</v>
      </c>
      <c r="R213" s="293"/>
      <c r="S213" s="293"/>
    </row>
    <row r="214" spans="16:19" x14ac:dyDescent="0.2">
      <c r="P214" s="333">
        <v>4.2</v>
      </c>
      <c r="Q214" s="293">
        <f t="shared" si="3"/>
        <v>0.15238095238095237</v>
      </c>
      <c r="R214" s="293"/>
      <c r="S214" s="293"/>
    </row>
    <row r="215" spans="16:19" x14ac:dyDescent="0.2">
      <c r="P215" s="333">
        <v>4.22</v>
      </c>
      <c r="Q215" s="293">
        <f t="shared" si="3"/>
        <v>0.15094000583994069</v>
      </c>
      <c r="R215" s="293"/>
      <c r="S215" s="293"/>
    </row>
    <row r="216" spans="16:19" x14ac:dyDescent="0.2">
      <c r="P216" s="333">
        <v>4.24</v>
      </c>
      <c r="Q216" s="293">
        <f t="shared" si="3"/>
        <v>0.14951940192239227</v>
      </c>
      <c r="R216" s="293"/>
      <c r="S216" s="293"/>
    </row>
    <row r="217" spans="16:19" x14ac:dyDescent="0.2">
      <c r="P217" s="333">
        <v>4.26</v>
      </c>
      <c r="Q217" s="293">
        <f t="shared" si="3"/>
        <v>0.14811875950538916</v>
      </c>
      <c r="R217" s="293"/>
      <c r="S217" s="293"/>
    </row>
    <row r="218" spans="16:19" x14ac:dyDescent="0.2">
      <c r="P218" s="333">
        <v>4.28</v>
      </c>
      <c r="Q218" s="293">
        <f t="shared" si="3"/>
        <v>0.14673770634989955</v>
      </c>
      <c r="R218" s="293"/>
      <c r="S218" s="293"/>
    </row>
    <row r="219" spans="16:19" x14ac:dyDescent="0.2">
      <c r="P219" s="333">
        <v>4.3</v>
      </c>
      <c r="Q219" s="293">
        <f t="shared" si="3"/>
        <v>0.14537587885343428</v>
      </c>
      <c r="R219" s="293"/>
      <c r="S219" s="293"/>
    </row>
    <row r="220" spans="16:19" x14ac:dyDescent="0.2">
      <c r="P220" s="333">
        <v>4.32</v>
      </c>
      <c r="Q220" s="293">
        <f t="shared" si="3"/>
        <v>0.14403292181069957</v>
      </c>
      <c r="R220" s="293"/>
      <c r="S220" s="293"/>
    </row>
    <row r="221" spans="16:19" x14ac:dyDescent="0.2">
      <c r="P221" s="333">
        <v>4.34</v>
      </c>
      <c r="Q221" s="293">
        <f t="shared" si="3"/>
        <v>0.14270848818195331</v>
      </c>
      <c r="R221" s="293"/>
      <c r="S221" s="293"/>
    </row>
    <row r="222" spans="16:19" x14ac:dyDescent="0.2">
      <c r="P222" s="333">
        <v>4.3600000000000003</v>
      </c>
      <c r="Q222" s="293">
        <f t="shared" si="3"/>
        <v>0.14140223886878206</v>
      </c>
      <c r="R222" s="293"/>
      <c r="S222" s="293"/>
    </row>
    <row r="223" spans="16:19" x14ac:dyDescent="0.2">
      <c r="P223" s="333">
        <v>4.38</v>
      </c>
      <c r="Q223" s="293">
        <f t="shared" si="3"/>
        <v>0.14011384249702882</v>
      </c>
      <c r="R223" s="293"/>
      <c r="S223" s="293"/>
    </row>
    <row r="224" spans="16:19" x14ac:dyDescent="0.2">
      <c r="P224" s="333">
        <v>4.4000000000000004</v>
      </c>
      <c r="Q224" s="293">
        <f t="shared" si="3"/>
        <v>0.13884297520661154</v>
      </c>
      <c r="R224" s="293"/>
      <c r="S224" s="293"/>
    </row>
    <row r="225" spans="16:19" x14ac:dyDescent="0.2">
      <c r="P225" s="333">
        <v>4.42</v>
      </c>
      <c r="Q225" s="293">
        <f t="shared" si="3"/>
        <v>0.13758932044798425</v>
      </c>
      <c r="R225" s="293"/>
      <c r="S225" s="293"/>
    </row>
    <row r="226" spans="16:19" x14ac:dyDescent="0.2">
      <c r="P226" s="333">
        <v>4.4400000000000004</v>
      </c>
      <c r="Q226" s="293">
        <f t="shared" si="3"/>
        <v>0.13635256878500118</v>
      </c>
      <c r="R226" s="293"/>
      <c r="S226" s="293"/>
    </row>
    <row r="227" spans="16:19" x14ac:dyDescent="0.2">
      <c r="P227" s="333">
        <v>4.46</v>
      </c>
      <c r="Q227" s="293">
        <f t="shared" si="3"/>
        <v>0.13513241770395543</v>
      </c>
      <c r="R227" s="293"/>
      <c r="S227" s="293"/>
    </row>
    <row r="228" spans="16:19" x14ac:dyDescent="0.2">
      <c r="P228" s="333">
        <v>4.4800000000000004</v>
      </c>
      <c r="Q228" s="293">
        <f t="shared" si="3"/>
        <v>0.1339285714285714</v>
      </c>
      <c r="R228" s="293"/>
      <c r="S228" s="293"/>
    </row>
    <row r="229" spans="16:19" x14ac:dyDescent="0.2">
      <c r="P229" s="333">
        <v>4.5</v>
      </c>
      <c r="Q229" s="293">
        <f t="shared" si="3"/>
        <v>0.13274074074074071</v>
      </c>
      <c r="R229" s="293"/>
      <c r="S229" s="293"/>
    </row>
    <row r="230" spans="16:19" x14ac:dyDescent="0.2">
      <c r="P230" s="333">
        <v>4.5199999999999996</v>
      </c>
      <c r="Q230" s="293">
        <f t="shared" si="3"/>
        <v>0.13156864280679773</v>
      </c>
      <c r="R230" s="293"/>
      <c r="S230" s="293"/>
    </row>
    <row r="231" spans="16:19" x14ac:dyDescent="0.2">
      <c r="P231" s="333">
        <v>4.54</v>
      </c>
      <c r="Q231" s="293">
        <f t="shared" si="3"/>
        <v>0.13041200100914047</v>
      </c>
      <c r="R231" s="293"/>
      <c r="S231" s="293"/>
    </row>
    <row r="232" spans="16:19" x14ac:dyDescent="0.2">
      <c r="P232" s="333">
        <v>4.5599999999999996</v>
      </c>
      <c r="Q232" s="293">
        <f t="shared" si="3"/>
        <v>0.12927054478301014</v>
      </c>
      <c r="R232" s="293"/>
      <c r="S232" s="293"/>
    </row>
    <row r="233" spans="16:19" x14ac:dyDescent="0.2">
      <c r="P233" s="333">
        <v>4.58</v>
      </c>
      <c r="Q233" s="293">
        <f t="shared" si="3"/>
        <v>0.1281440094582483</v>
      </c>
      <c r="R233" s="293"/>
      <c r="S233" s="293"/>
    </row>
    <row r="234" spans="16:19" x14ac:dyDescent="0.2">
      <c r="P234" s="333">
        <v>4.5999999999999996</v>
      </c>
      <c r="Q234" s="293">
        <f t="shared" si="3"/>
        <v>0.12703213610586012</v>
      </c>
      <c r="R234" s="293"/>
      <c r="S234" s="293"/>
    </row>
    <row r="235" spans="16:19" x14ac:dyDescent="0.2">
      <c r="P235" s="333">
        <v>4.62</v>
      </c>
      <c r="Q235" s="293">
        <f t="shared" si="3"/>
        <v>0.12593467138921682</v>
      </c>
      <c r="R235" s="293"/>
      <c r="S235" s="293"/>
    </row>
    <row r="236" spans="16:19" x14ac:dyDescent="0.2">
      <c r="P236" s="333">
        <v>4.6399999999999997</v>
      </c>
      <c r="Q236" s="293">
        <f t="shared" si="3"/>
        <v>0.1248513674197384</v>
      </c>
      <c r="R236" s="293"/>
      <c r="S236" s="293"/>
    </row>
    <row r="237" spans="16:19" x14ac:dyDescent="0.2">
      <c r="P237" s="333">
        <v>4.66</v>
      </c>
      <c r="Q237" s="293">
        <f t="shared" si="3"/>
        <v>0.12378198161690211</v>
      </c>
      <c r="R237" s="293"/>
      <c r="S237" s="293"/>
    </row>
    <row r="238" spans="16:19" x14ac:dyDescent="0.2">
      <c r="P238" s="333">
        <v>4.68</v>
      </c>
      <c r="Q238" s="293">
        <f t="shared" si="3"/>
        <v>0.12272627657243043</v>
      </c>
      <c r="R238" s="293"/>
      <c r="S238" s="293"/>
    </row>
    <row r="239" spans="16:19" x14ac:dyDescent="0.2">
      <c r="P239" s="333">
        <v>4.7</v>
      </c>
      <c r="Q239" s="293">
        <f t="shared" si="3"/>
        <v>0.12168401991851513</v>
      </c>
      <c r="R239" s="293"/>
      <c r="S239" s="293"/>
    </row>
    <row r="240" spans="16:19" x14ac:dyDescent="0.2">
      <c r="P240" s="333">
        <v>4.72</v>
      </c>
      <c r="Q240" s="293">
        <f t="shared" si="3"/>
        <v>0.12065498419994254</v>
      </c>
      <c r="R240" s="293"/>
      <c r="S240" s="293"/>
    </row>
    <row r="241" spans="16:19" x14ac:dyDescent="0.2">
      <c r="P241" s="333">
        <v>4.74</v>
      </c>
      <c r="Q241" s="293">
        <f t="shared" si="3"/>
        <v>0.11963894674998662</v>
      </c>
      <c r="R241" s="293"/>
      <c r="S241" s="293"/>
    </row>
    <row r="242" spans="16:19" x14ac:dyDescent="0.2">
      <c r="P242" s="333">
        <v>4.76</v>
      </c>
      <c r="Q242" s="293">
        <f t="shared" si="3"/>
        <v>0.11863568956994562</v>
      </c>
      <c r="R242" s="293"/>
      <c r="S242" s="293"/>
    </row>
    <row r="243" spans="16:19" x14ac:dyDescent="0.2">
      <c r="P243" s="333">
        <v>4.78</v>
      </c>
      <c r="Q243" s="293">
        <f t="shared" si="3"/>
        <v>0.11764499921219865</v>
      </c>
      <c r="R243" s="293"/>
      <c r="S243" s="293"/>
    </row>
    <row r="244" spans="16:19" x14ac:dyDescent="0.2">
      <c r="P244" s="333">
        <v>4.8</v>
      </c>
      <c r="Q244" s="293">
        <f t="shared" si="3"/>
        <v>0.11666666666666665</v>
      </c>
      <c r="R244" s="293"/>
      <c r="S244" s="293"/>
    </row>
    <row r="245" spans="16:19" x14ac:dyDescent="0.2">
      <c r="P245" s="333">
        <v>4.82</v>
      </c>
      <c r="Q245" s="293">
        <f t="shared" si="3"/>
        <v>0.11570048725056385</v>
      </c>
      <c r="R245" s="293"/>
      <c r="S245" s="293"/>
    </row>
    <row r="246" spans="16:19" x14ac:dyDescent="0.2">
      <c r="P246" s="333">
        <v>4.84</v>
      </c>
      <c r="Q246" s="293">
        <f t="shared" si="3"/>
        <v>0.11474626050133187</v>
      </c>
      <c r="R246" s="293"/>
      <c r="S246" s="293"/>
    </row>
    <row r="247" spans="16:19" x14ac:dyDescent="0.2">
      <c r="P247" s="333">
        <v>4.8600000000000003</v>
      </c>
      <c r="Q247" s="293">
        <f t="shared" si="3"/>
        <v>0.11380379007265151</v>
      </c>
      <c r="R247" s="293"/>
      <c r="S247" s="293"/>
    </row>
    <row r="248" spans="16:19" x14ac:dyDescent="0.2">
      <c r="P248" s="333">
        <v>4.88</v>
      </c>
      <c r="Q248" s="293">
        <f t="shared" si="3"/>
        <v>0.11287288363343187</v>
      </c>
      <c r="R248" s="293"/>
      <c r="S248" s="293"/>
    </row>
    <row r="249" spans="16:19" x14ac:dyDescent="0.2">
      <c r="P249" s="333">
        <v>4.9000000000000004</v>
      </c>
      <c r="Q249" s="293">
        <f t="shared" si="3"/>
        <v>0.11195335276967927</v>
      </c>
      <c r="R249" s="293"/>
      <c r="S249" s="293"/>
    </row>
    <row r="250" spans="16:19" x14ac:dyDescent="0.2">
      <c r="P250" s="333">
        <v>4.92</v>
      </c>
      <c r="Q250" s="293">
        <f t="shared" si="3"/>
        <v>0.11104501288915328</v>
      </c>
      <c r="R250" s="293"/>
      <c r="S250" s="293"/>
    </row>
    <row r="251" spans="16:19" x14ac:dyDescent="0.2">
      <c r="P251" s="333">
        <v>4.9400000000000004</v>
      </c>
      <c r="Q251" s="293">
        <f t="shared" si="3"/>
        <v>0.11014768312871868</v>
      </c>
      <c r="R251" s="293"/>
      <c r="S251" s="293"/>
    </row>
    <row r="252" spans="16:19" x14ac:dyDescent="0.2">
      <c r="P252" s="333">
        <v>4.96</v>
      </c>
      <c r="Q252" s="293">
        <f t="shared" si="3"/>
        <v>0.109261186264308</v>
      </c>
      <c r="R252" s="293"/>
      <c r="S252" s="293"/>
    </row>
    <row r="253" spans="16:19" x14ac:dyDescent="0.2">
      <c r="P253" s="333">
        <v>4.9800000000000004</v>
      </c>
      <c r="Q253" s="293">
        <f t="shared" si="3"/>
        <v>0.10838534862340928</v>
      </c>
      <c r="R253" s="293"/>
      <c r="S253" s="293"/>
    </row>
    <row r="254" spans="16:19" x14ac:dyDescent="0.2">
      <c r="P254" s="333">
        <v>5</v>
      </c>
      <c r="Q254" s="293">
        <f t="shared" si="3"/>
        <v>0.10751999999999999</v>
      </c>
      <c r="R254" s="293"/>
      <c r="S254" s="293"/>
    </row>
    <row r="255" spans="16:19" x14ac:dyDescent="0.2">
      <c r="P255" s="333">
        <v>5.0199999999999996</v>
      </c>
      <c r="Q255" s="293">
        <f t="shared" si="3"/>
        <v>0.10666497357184808</v>
      </c>
      <c r="R255" s="293"/>
      <c r="S255" s="293"/>
    </row>
    <row r="256" spans="16:19" x14ac:dyDescent="0.2">
      <c r="P256" s="333">
        <v>5.04</v>
      </c>
      <c r="Q256" s="293">
        <f t="shared" si="3"/>
        <v>0.1058201058201058</v>
      </c>
      <c r="R256" s="293"/>
      <c r="S256" s="293"/>
    </row>
    <row r="257" spans="16:19" x14ac:dyDescent="0.2">
      <c r="P257" s="333">
        <v>5.0599999999999996</v>
      </c>
      <c r="Q257" s="293">
        <f t="shared" si="3"/>
        <v>0.10498523645112406</v>
      </c>
      <c r="R257" s="293"/>
      <c r="S257" s="293"/>
    </row>
    <row r="258" spans="16:19" x14ac:dyDescent="0.2">
      <c r="P258" s="333">
        <v>5.08</v>
      </c>
      <c r="Q258" s="293">
        <f t="shared" si="3"/>
        <v>0.10416020832041663</v>
      </c>
      <c r="R258" s="293"/>
      <c r="S258" s="293"/>
    </row>
    <row r="259" spans="16:19" x14ac:dyDescent="0.2">
      <c r="P259" s="333">
        <v>5.0999999999999996</v>
      </c>
      <c r="Q259" s="293">
        <f t="shared" si="3"/>
        <v>0.10334486735870818</v>
      </c>
      <c r="R259" s="293"/>
      <c r="S259" s="293"/>
    </row>
    <row r="260" spans="16:19" x14ac:dyDescent="0.2">
      <c r="P260" s="333">
        <v>5.12</v>
      </c>
      <c r="Q260" s="293">
        <f t="shared" si="3"/>
        <v>0.10253906249999999</v>
      </c>
      <c r="R260" s="293"/>
      <c r="S260" s="293"/>
    </row>
    <row r="261" spans="16:19" x14ac:dyDescent="0.2">
      <c r="P261" s="333">
        <v>5.14</v>
      </c>
      <c r="Q261" s="293">
        <f t="shared" ref="Q261:Q324" si="4">(IF(P261&lt;=$D$13,2.5*$D$9*$L$7*$H$7,IF(AND(P261&lt;=$D$14,P261&gt;$D$13),1.2*$D$10*$L$8*$H$7/P261,1.2*$D$10*$L$8*$D$14*$H$7/(P261^2))))</f>
        <v>0.1017426456115914</v>
      </c>
      <c r="R261" s="293"/>
      <c r="S261" s="293"/>
    </row>
    <row r="262" spans="16:19" x14ac:dyDescent="0.2">
      <c r="P262" s="333">
        <v>5.16</v>
      </c>
      <c r="Q262" s="293">
        <f t="shared" si="4"/>
        <v>0.10095547142599602</v>
      </c>
      <c r="R262" s="293"/>
      <c r="S262" s="293"/>
    </row>
    <row r="263" spans="16:19" x14ac:dyDescent="0.2">
      <c r="P263" s="333">
        <v>5.18</v>
      </c>
      <c r="Q263" s="293">
        <f t="shared" si="4"/>
        <v>0.10017739747469477</v>
      </c>
      <c r="R263" s="293"/>
      <c r="S263" s="293"/>
    </row>
    <row r="264" spans="16:19" x14ac:dyDescent="0.2">
      <c r="P264" s="333">
        <v>5.2</v>
      </c>
      <c r="Q264" s="293">
        <f t="shared" si="4"/>
        <v>9.9408284023668622E-2</v>
      </c>
      <c r="R264" s="293"/>
      <c r="S264" s="293"/>
    </row>
    <row r="265" spans="16:19" x14ac:dyDescent="0.2">
      <c r="P265" s="333">
        <v>5.22</v>
      </c>
      <c r="Q265" s="293">
        <f t="shared" si="4"/>
        <v>9.8647994010657505E-2</v>
      </c>
      <c r="R265" s="293"/>
      <c r="S265" s="293"/>
    </row>
    <row r="266" spans="16:19" x14ac:dyDescent="0.2">
      <c r="P266" s="333">
        <v>5.24</v>
      </c>
      <c r="Q266" s="293">
        <f t="shared" si="4"/>
        <v>9.7896392984091821E-2</v>
      </c>
      <c r="R266" s="293"/>
      <c r="S266" s="293"/>
    </row>
    <row r="267" spans="16:19" x14ac:dyDescent="0.2">
      <c r="P267" s="333">
        <v>5.26</v>
      </c>
      <c r="Q267" s="293">
        <f t="shared" si="4"/>
        <v>9.7153349043646725E-2</v>
      </c>
      <c r="R267" s="293"/>
      <c r="S267" s="293"/>
    </row>
    <row r="268" spans="16:19" x14ac:dyDescent="0.2">
      <c r="P268" s="333">
        <v>5.28</v>
      </c>
      <c r="Q268" s="293">
        <f t="shared" si="4"/>
        <v>9.6418732782369121E-2</v>
      </c>
      <c r="R268" s="293"/>
      <c r="S268" s="293"/>
    </row>
    <row r="269" spans="16:19" x14ac:dyDescent="0.2">
      <c r="P269" s="333">
        <v>5.3</v>
      </c>
      <c r="Q269" s="293">
        <f t="shared" si="4"/>
        <v>9.5692417230331075E-2</v>
      </c>
      <c r="R269" s="293"/>
      <c r="S269" s="293"/>
    </row>
    <row r="270" spans="16:19" x14ac:dyDescent="0.2">
      <c r="P270" s="333">
        <v>5.32</v>
      </c>
      <c r="Q270" s="293">
        <f t="shared" si="4"/>
        <v>9.4974277799762544E-2</v>
      </c>
      <c r="R270" s="293"/>
      <c r="S270" s="293"/>
    </row>
    <row r="271" spans="16:19" x14ac:dyDescent="0.2">
      <c r="P271" s="333">
        <v>5.34</v>
      </c>
      <c r="Q271" s="293">
        <f t="shared" si="4"/>
        <v>9.426419223162058E-2</v>
      </c>
      <c r="R271" s="293"/>
      <c r="S271" s="293"/>
    </row>
    <row r="272" spans="16:19" x14ac:dyDescent="0.2">
      <c r="P272" s="333">
        <v>5.36</v>
      </c>
      <c r="Q272" s="293">
        <f t="shared" si="4"/>
        <v>9.356204054355087E-2</v>
      </c>
      <c r="R272" s="293"/>
      <c r="S272" s="293"/>
    </row>
    <row r="273" spans="16:19" x14ac:dyDescent="0.2">
      <c r="P273" s="333">
        <v>5.38</v>
      </c>
      <c r="Q273" s="293">
        <f t="shared" si="4"/>
        <v>9.2867704979201507E-2</v>
      </c>
      <c r="R273" s="293"/>
      <c r="S273" s="293"/>
    </row>
    <row r="274" spans="16:19" x14ac:dyDescent="0.2">
      <c r="P274" s="333">
        <v>5.4</v>
      </c>
      <c r="Q274" s="293">
        <f t="shared" si="4"/>
        <v>9.2181069958847714E-2</v>
      </c>
      <c r="R274" s="293"/>
      <c r="S274" s="293"/>
    </row>
    <row r="275" spans="16:19" x14ac:dyDescent="0.2">
      <c r="P275" s="333">
        <v>5.42</v>
      </c>
      <c r="Q275" s="293">
        <f t="shared" si="4"/>
        <v>9.1502022031290417E-2</v>
      </c>
      <c r="R275" s="293"/>
      <c r="S275" s="293"/>
    </row>
    <row r="276" spans="16:19" x14ac:dyDescent="0.2">
      <c r="P276" s="333">
        <v>5.44</v>
      </c>
      <c r="Q276" s="293">
        <f t="shared" si="4"/>
        <v>9.0830449826989595E-2</v>
      </c>
      <c r="R276" s="293"/>
      <c r="S276" s="293"/>
    </row>
    <row r="277" spans="16:19" x14ac:dyDescent="0.2">
      <c r="P277" s="333">
        <v>5.46</v>
      </c>
      <c r="Q277" s="293">
        <f t="shared" si="4"/>
        <v>9.0166244012397853E-2</v>
      </c>
      <c r="R277" s="293"/>
      <c r="S277" s="293"/>
    </row>
    <row r="278" spans="16:19" x14ac:dyDescent="0.2">
      <c r="P278" s="333">
        <v>5.48</v>
      </c>
      <c r="Q278" s="293">
        <f t="shared" si="4"/>
        <v>8.9509297245457919E-2</v>
      </c>
      <c r="R278" s="293"/>
      <c r="S278" s="293"/>
    </row>
    <row r="279" spans="16:19" x14ac:dyDescent="0.2">
      <c r="P279" s="333">
        <v>5.5</v>
      </c>
      <c r="Q279" s="293">
        <f t="shared" si="4"/>
        <v>8.8859504132231398E-2</v>
      </c>
      <c r="R279" s="293"/>
      <c r="S279" s="293"/>
    </row>
    <row r="280" spans="16:19" x14ac:dyDescent="0.2">
      <c r="P280" s="333">
        <v>5.52</v>
      </c>
      <c r="Q280" s="293">
        <f t="shared" si="4"/>
        <v>8.8216761184625084E-2</v>
      </c>
      <c r="R280" s="293"/>
      <c r="S280" s="293"/>
    </row>
    <row r="281" spans="16:19" x14ac:dyDescent="0.2">
      <c r="P281" s="333">
        <v>5.54</v>
      </c>
      <c r="Q281" s="293">
        <f t="shared" si="4"/>
        <v>8.7580966779183866E-2</v>
      </c>
      <c r="R281" s="293"/>
      <c r="S281" s="293"/>
    </row>
    <row r="282" spans="16:19" x14ac:dyDescent="0.2">
      <c r="P282" s="333">
        <v>5.56</v>
      </c>
      <c r="Q282" s="293">
        <f t="shared" si="4"/>
        <v>8.6952021116919423E-2</v>
      </c>
      <c r="R282" s="293"/>
      <c r="S282" s="293"/>
    </row>
    <row r="283" spans="16:19" x14ac:dyDescent="0.2">
      <c r="P283" s="333">
        <v>5.58</v>
      </c>
      <c r="Q283" s="293">
        <f t="shared" si="4"/>
        <v>8.6329826184144587E-2</v>
      </c>
      <c r="R283" s="293"/>
      <c r="S283" s="293"/>
    </row>
    <row r="284" spans="16:19" x14ac:dyDescent="0.2">
      <c r="P284" s="333">
        <v>5.6</v>
      </c>
      <c r="Q284" s="293">
        <f t="shared" si="4"/>
        <v>8.5714285714285715E-2</v>
      </c>
      <c r="R284" s="293"/>
      <c r="S284" s="293"/>
    </row>
    <row r="285" spans="16:19" x14ac:dyDescent="0.2">
      <c r="P285" s="333">
        <v>5.62</v>
      </c>
      <c r="Q285" s="293">
        <f t="shared" si="4"/>
        <v>8.5105305150643976E-2</v>
      </c>
      <c r="R285" s="293"/>
      <c r="S285" s="293"/>
    </row>
    <row r="286" spans="16:19" x14ac:dyDescent="0.2">
      <c r="P286" s="333">
        <v>5.64</v>
      </c>
      <c r="Q286" s="293">
        <f t="shared" si="4"/>
        <v>8.450279161007998E-2</v>
      </c>
      <c r="R286" s="293"/>
      <c r="S286" s="293"/>
    </row>
    <row r="287" spans="16:19" x14ac:dyDescent="0.2">
      <c r="P287" s="333">
        <v>5.66</v>
      </c>
      <c r="Q287" s="293">
        <f t="shared" si="4"/>
        <v>8.3906653847594534E-2</v>
      </c>
      <c r="R287" s="293"/>
      <c r="S287" s="293"/>
    </row>
    <row r="288" spans="16:19" x14ac:dyDescent="0.2">
      <c r="P288" s="333">
        <v>5.68</v>
      </c>
      <c r="Q288" s="293">
        <f t="shared" si="4"/>
        <v>8.331680222178138E-2</v>
      </c>
      <c r="R288" s="293"/>
      <c r="S288" s="293"/>
    </row>
    <row r="289" spans="16:19" x14ac:dyDescent="0.2">
      <c r="P289" s="333">
        <v>5.7</v>
      </c>
      <c r="Q289" s="293">
        <f t="shared" si="4"/>
        <v>8.2733148661126493E-2</v>
      </c>
      <c r="R289" s="293"/>
      <c r="S289" s="293"/>
    </row>
    <row r="290" spans="16:19" x14ac:dyDescent="0.2">
      <c r="P290" s="333">
        <v>5.72</v>
      </c>
      <c r="Q290" s="293">
        <f t="shared" si="4"/>
        <v>8.2155606631131112E-2</v>
      </c>
      <c r="R290" s="293"/>
      <c r="S290" s="293"/>
    </row>
    <row r="291" spans="16:19" x14ac:dyDescent="0.2">
      <c r="P291" s="333">
        <v>5.74</v>
      </c>
      <c r="Q291" s="293">
        <f t="shared" si="4"/>
        <v>8.1584091102235051E-2</v>
      </c>
      <c r="R291" s="293"/>
      <c r="S291" s="293"/>
    </row>
    <row r="292" spans="16:19" x14ac:dyDescent="0.2">
      <c r="P292" s="333">
        <v>5.76</v>
      </c>
      <c r="Q292" s="293">
        <f t="shared" si="4"/>
        <v>8.1018518518518517E-2</v>
      </c>
      <c r="R292" s="293"/>
      <c r="S292" s="293"/>
    </row>
    <row r="293" spans="16:19" x14ac:dyDescent="0.2">
      <c r="P293" s="333">
        <v>5.78</v>
      </c>
      <c r="Q293" s="293">
        <f t="shared" si="4"/>
        <v>8.0458806767160343E-2</v>
      </c>
      <c r="R293" s="293"/>
      <c r="S293" s="293"/>
    </row>
    <row r="294" spans="16:19" x14ac:dyDescent="0.2">
      <c r="P294" s="333">
        <v>5.8</v>
      </c>
      <c r="Q294" s="293">
        <f t="shared" si="4"/>
        <v>7.9904875148632565E-2</v>
      </c>
      <c r="R294" s="293"/>
      <c r="S294" s="293"/>
    </row>
    <row r="295" spans="16:19" x14ac:dyDescent="0.2">
      <c r="P295" s="333">
        <v>5.82</v>
      </c>
      <c r="Q295" s="293">
        <f t="shared" si="4"/>
        <v>7.9356644347610417E-2</v>
      </c>
      <c r="R295" s="293"/>
      <c r="S295" s="293"/>
    </row>
    <row r="296" spans="16:19" x14ac:dyDescent="0.2">
      <c r="P296" s="333">
        <v>5.84</v>
      </c>
      <c r="Q296" s="293">
        <f t="shared" si="4"/>
        <v>7.8814036404578722E-2</v>
      </c>
      <c r="R296" s="293"/>
      <c r="S296" s="293"/>
    </row>
    <row r="297" spans="16:19" x14ac:dyDescent="0.2">
      <c r="P297" s="333">
        <v>5.86</v>
      </c>
      <c r="Q297" s="293">
        <f t="shared" si="4"/>
        <v>7.8276974688115161E-2</v>
      </c>
      <c r="R297" s="293"/>
      <c r="S297" s="293"/>
    </row>
    <row r="298" spans="16:19" x14ac:dyDescent="0.2">
      <c r="P298" s="333">
        <v>5.88</v>
      </c>
      <c r="Q298" s="293">
        <f t="shared" si="4"/>
        <v>7.7745383867832848E-2</v>
      </c>
      <c r="R298" s="293"/>
      <c r="S298" s="293"/>
    </row>
    <row r="299" spans="16:19" x14ac:dyDescent="0.2">
      <c r="P299" s="333">
        <v>5.9</v>
      </c>
      <c r="Q299" s="293">
        <f t="shared" si="4"/>
        <v>7.721918988796321E-2</v>
      </c>
      <c r="R299" s="293"/>
      <c r="S299" s="293"/>
    </row>
    <row r="300" spans="16:19" x14ac:dyDescent="0.2">
      <c r="P300" s="333">
        <v>5.92</v>
      </c>
      <c r="Q300" s="293">
        <f t="shared" si="4"/>
        <v>7.6698319941563176E-2</v>
      </c>
      <c r="R300" s="293"/>
      <c r="S300" s="293"/>
    </row>
    <row r="301" spans="16:19" x14ac:dyDescent="0.2">
      <c r="P301" s="333">
        <v>5.94</v>
      </c>
      <c r="Q301" s="293">
        <f t="shared" si="4"/>
        <v>7.6182702445328682E-2</v>
      </c>
      <c r="R301" s="293"/>
      <c r="S301" s="293"/>
    </row>
    <row r="302" spans="16:19" x14ac:dyDescent="0.2">
      <c r="P302" s="333">
        <v>5.96</v>
      </c>
      <c r="Q302" s="293">
        <f t="shared" si="4"/>
        <v>7.5672267014999323E-2</v>
      </c>
      <c r="R302" s="293"/>
      <c r="S302" s="293"/>
    </row>
    <row r="303" spans="16:19" x14ac:dyDescent="0.2">
      <c r="P303" s="333">
        <v>5.98</v>
      </c>
      <c r="Q303" s="293">
        <f t="shared" si="4"/>
        <v>7.5166944441337327E-2</v>
      </c>
      <c r="R303" s="293"/>
      <c r="S303" s="293"/>
    </row>
    <row r="304" spans="16:19" x14ac:dyDescent="0.2">
      <c r="P304" s="333">
        <v>6</v>
      </c>
      <c r="Q304" s="293">
        <f t="shared" si="4"/>
        <v>7.4666666666666659E-2</v>
      </c>
      <c r="R304" s="293"/>
      <c r="S304" s="293"/>
    </row>
    <row r="305" spans="16:19" x14ac:dyDescent="0.2">
      <c r="P305" s="333">
        <v>6.02</v>
      </c>
      <c r="Q305" s="293">
        <f t="shared" si="4"/>
        <v>7.4171366761956278E-2</v>
      </c>
      <c r="R305" s="293"/>
      <c r="S305" s="293"/>
    </row>
    <row r="306" spans="16:19" x14ac:dyDescent="0.2">
      <c r="P306" s="333">
        <v>6.04</v>
      </c>
      <c r="Q306" s="293">
        <f t="shared" si="4"/>
        <v>7.3680978904434008E-2</v>
      </c>
      <c r="R306" s="293"/>
      <c r="S306" s="293"/>
    </row>
    <row r="307" spans="16:19" x14ac:dyDescent="0.2">
      <c r="P307" s="333">
        <v>6.06</v>
      </c>
      <c r="Q307" s="293">
        <f t="shared" si="4"/>
        <v>7.3195438355716763E-2</v>
      </c>
      <c r="R307" s="293"/>
      <c r="S307" s="293"/>
    </row>
    <row r="308" spans="16:19" x14ac:dyDescent="0.2">
      <c r="P308" s="333">
        <v>6.08</v>
      </c>
      <c r="Q308" s="293">
        <f t="shared" si="4"/>
        <v>7.2714681440443199E-2</v>
      </c>
      <c r="R308" s="293"/>
      <c r="S308" s="293"/>
    </row>
    <row r="309" spans="16:19" x14ac:dyDescent="0.2">
      <c r="P309" s="333">
        <v>6.1</v>
      </c>
      <c r="Q309" s="293">
        <f t="shared" si="4"/>
        <v>7.2238645525396397E-2</v>
      </c>
      <c r="R309" s="293"/>
      <c r="S309" s="293"/>
    </row>
    <row r="310" spans="16:19" x14ac:dyDescent="0.2">
      <c r="P310" s="333">
        <v>6.12</v>
      </c>
      <c r="Q310" s="293">
        <f t="shared" si="4"/>
        <v>7.1767268999102907E-2</v>
      </c>
      <c r="R310" s="293"/>
      <c r="S310" s="293"/>
    </row>
    <row r="311" spans="16:19" x14ac:dyDescent="0.2">
      <c r="P311" s="333">
        <v>6.14</v>
      </c>
      <c r="Q311" s="293">
        <f t="shared" si="4"/>
        <v>7.1300491251896567E-2</v>
      </c>
      <c r="R311" s="293"/>
      <c r="S311" s="293"/>
    </row>
    <row r="312" spans="16:19" x14ac:dyDescent="0.2">
      <c r="P312" s="333">
        <v>6.16</v>
      </c>
      <c r="Q312" s="293">
        <f t="shared" si="4"/>
        <v>7.0838252656434467E-2</v>
      </c>
      <c r="R312" s="293"/>
      <c r="S312" s="293"/>
    </row>
    <row r="313" spans="16:19" x14ac:dyDescent="0.2">
      <c r="P313" s="333">
        <v>6.18</v>
      </c>
      <c r="Q313" s="293">
        <f t="shared" si="4"/>
        <v>7.0380494548653652E-2</v>
      </c>
      <c r="R313" s="293"/>
      <c r="S313" s="293"/>
    </row>
    <row r="314" spans="16:19" x14ac:dyDescent="0.2">
      <c r="P314" s="333">
        <v>6.2</v>
      </c>
      <c r="Q314" s="293">
        <f t="shared" si="4"/>
        <v>6.9927159209157111E-2</v>
      </c>
      <c r="R314" s="293"/>
      <c r="S314" s="293"/>
    </row>
    <row r="315" spans="16:19" x14ac:dyDescent="0.2">
      <c r="P315" s="333">
        <v>6.22</v>
      </c>
      <c r="Q315" s="293">
        <f t="shared" si="4"/>
        <v>6.9478189845018148E-2</v>
      </c>
      <c r="R315" s="293"/>
      <c r="S315" s="293"/>
    </row>
    <row r="316" spans="16:19" x14ac:dyDescent="0.2">
      <c r="P316" s="333">
        <v>6.24</v>
      </c>
      <c r="Q316" s="293">
        <f t="shared" si="4"/>
        <v>6.9033530571992102E-2</v>
      </c>
      <c r="R316" s="293"/>
      <c r="S316" s="293"/>
    </row>
    <row r="317" spans="16:19" x14ac:dyDescent="0.2">
      <c r="P317" s="333">
        <v>6.26</v>
      </c>
      <c r="Q317" s="293">
        <f t="shared" si="4"/>
        <v>6.8593126397125614E-2</v>
      </c>
      <c r="R317" s="293"/>
      <c r="S317" s="293"/>
    </row>
    <row r="318" spans="16:19" x14ac:dyDescent="0.2">
      <c r="P318" s="333">
        <v>6.28</v>
      </c>
      <c r="Q318" s="293">
        <f t="shared" si="4"/>
        <v>6.8156923201752595E-2</v>
      </c>
      <c r="R318" s="293"/>
      <c r="S318" s="293"/>
    </row>
    <row r="319" spans="16:19" x14ac:dyDescent="0.2">
      <c r="P319" s="333">
        <v>6.3</v>
      </c>
      <c r="Q319" s="293">
        <f t="shared" si="4"/>
        <v>6.7724867724867716E-2</v>
      </c>
      <c r="R319" s="293"/>
      <c r="S319" s="293"/>
    </row>
    <row r="320" spans="16:19" x14ac:dyDescent="0.2">
      <c r="P320" s="333">
        <v>6.32</v>
      </c>
      <c r="Q320" s="293">
        <f t="shared" si="4"/>
        <v>6.7296907546867471E-2</v>
      </c>
      <c r="R320" s="293"/>
      <c r="S320" s="293"/>
    </row>
    <row r="321" spans="16:19" x14ac:dyDescent="0.2">
      <c r="P321" s="333">
        <v>6.34</v>
      </c>
      <c r="Q321" s="293">
        <f t="shared" si="4"/>
        <v>6.6872991073649843E-2</v>
      </c>
      <c r="R321" s="293"/>
      <c r="S321" s="293"/>
    </row>
    <row r="322" spans="16:19" x14ac:dyDescent="0.2">
      <c r="P322" s="333">
        <v>6.36</v>
      </c>
      <c r="Q322" s="293">
        <f t="shared" si="4"/>
        <v>6.6453067521063239E-2</v>
      </c>
      <c r="R322" s="293"/>
      <c r="S322" s="293"/>
    </row>
    <row r="323" spans="16:19" x14ac:dyDescent="0.2">
      <c r="P323" s="333">
        <v>6.38</v>
      </c>
      <c r="Q323" s="293">
        <f t="shared" si="4"/>
        <v>6.603708689969634E-2</v>
      </c>
      <c r="R323" s="293"/>
      <c r="S323" s="293"/>
    </row>
    <row r="324" spans="16:19" x14ac:dyDescent="0.2">
      <c r="P324" s="333">
        <v>6.4</v>
      </c>
      <c r="Q324" s="293">
        <f t="shared" si="4"/>
        <v>6.5624999999999975E-2</v>
      </c>
      <c r="R324" s="293"/>
      <c r="S324" s="293"/>
    </row>
    <row r="325" spans="16:19" x14ac:dyDescent="0.2">
      <c r="P325" s="333">
        <v>6.42</v>
      </c>
      <c r="Q325" s="293">
        <f t="shared" ref="Q325:Q388" si="5">(IF(P325&lt;=$D$13,2.5*$D$9*$L$7*$H$7,IF(AND(P325&lt;=$D$14,P325&gt;$D$13),1.2*$D$10*$L$8*$H$7/P325,1.2*$D$10*$L$8*$D$14*$H$7/(P325^2))))</f>
        <v>6.5216758377733122E-2</v>
      </c>
      <c r="R325" s="293"/>
      <c r="S325" s="293"/>
    </row>
    <row r="326" spans="16:19" x14ac:dyDescent="0.2">
      <c r="P326" s="333">
        <v>6.44</v>
      </c>
      <c r="Q326" s="293">
        <f t="shared" si="5"/>
        <v>6.4812314339724536E-2</v>
      </c>
      <c r="R326" s="293"/>
      <c r="S326" s="293"/>
    </row>
    <row r="327" spans="16:19" x14ac:dyDescent="0.2">
      <c r="P327" s="333">
        <v>6.46</v>
      </c>
      <c r="Q327" s="293">
        <f t="shared" si="5"/>
        <v>6.4411620929942764E-2</v>
      </c>
      <c r="R327" s="293"/>
      <c r="S327" s="293"/>
    </row>
    <row r="328" spans="16:19" x14ac:dyDescent="0.2">
      <c r="P328" s="333">
        <v>6.48</v>
      </c>
      <c r="Q328" s="293">
        <f t="shared" si="5"/>
        <v>6.4014631915866468E-2</v>
      </c>
      <c r="R328" s="293"/>
      <c r="S328" s="293"/>
    </row>
    <row r="329" spans="16:19" x14ac:dyDescent="0.2">
      <c r="P329" s="333">
        <v>6.5</v>
      </c>
      <c r="Q329" s="293">
        <f t="shared" si="5"/>
        <v>6.3621301775147923E-2</v>
      </c>
      <c r="R329" s="293"/>
      <c r="S329" s="293"/>
    </row>
    <row r="330" spans="16:19" x14ac:dyDescent="0.2">
      <c r="P330" s="333">
        <v>6.52</v>
      </c>
      <c r="Q330" s="293">
        <f t="shared" si="5"/>
        <v>6.3231585682562388E-2</v>
      </c>
      <c r="R330" s="293"/>
      <c r="S330" s="293"/>
    </row>
    <row r="331" spans="16:19" x14ac:dyDescent="0.2">
      <c r="P331" s="333">
        <v>6.54</v>
      </c>
      <c r="Q331" s="293">
        <f t="shared" si="5"/>
        <v>6.2845439497236477E-2</v>
      </c>
      <c r="R331" s="293"/>
      <c r="S331" s="293"/>
    </row>
    <row r="332" spans="16:19" x14ac:dyDescent="0.2">
      <c r="P332" s="333">
        <v>6.56</v>
      </c>
      <c r="Q332" s="293">
        <f t="shared" si="5"/>
        <v>6.2462819750148724E-2</v>
      </c>
      <c r="R332" s="293"/>
      <c r="S332" s="293"/>
    </row>
    <row r="333" spans="16:19" x14ac:dyDescent="0.2">
      <c r="P333" s="333">
        <v>6.58</v>
      </c>
      <c r="Q333" s="293">
        <f t="shared" si="5"/>
        <v>6.2083683631895488E-2</v>
      </c>
      <c r="R333" s="293"/>
      <c r="S333" s="293"/>
    </row>
    <row r="334" spans="16:19" x14ac:dyDescent="0.2">
      <c r="P334" s="333">
        <v>6.6</v>
      </c>
      <c r="Q334" s="293">
        <f t="shared" si="5"/>
        <v>6.1707988980716257E-2</v>
      </c>
      <c r="R334" s="293"/>
      <c r="S334" s="293"/>
    </row>
    <row r="335" spans="16:19" x14ac:dyDescent="0.2">
      <c r="P335" s="333">
        <v>6.62</v>
      </c>
      <c r="Q335" s="293">
        <f t="shared" si="5"/>
        <v>6.1335694270771519E-2</v>
      </c>
      <c r="R335" s="293"/>
      <c r="S335" s="293"/>
    </row>
    <row r="336" spans="16:19" x14ac:dyDescent="0.2">
      <c r="P336" s="333">
        <v>6.64</v>
      </c>
      <c r="Q336" s="293">
        <f t="shared" si="5"/>
        <v>6.0966758600667727E-2</v>
      </c>
      <c r="R336" s="293"/>
      <c r="S336" s="293"/>
    </row>
    <row r="337" spans="16:19" x14ac:dyDescent="0.2">
      <c r="P337" s="333">
        <v>6.66</v>
      </c>
      <c r="Q337" s="293">
        <f t="shared" si="5"/>
        <v>6.0601141682222755E-2</v>
      </c>
      <c r="R337" s="293"/>
      <c r="S337" s="293"/>
    </row>
    <row r="338" spans="16:19" x14ac:dyDescent="0.2">
      <c r="P338" s="333">
        <v>6.68</v>
      </c>
      <c r="Q338" s="293">
        <f t="shared" si="5"/>
        <v>6.0238803829466808E-2</v>
      </c>
      <c r="R338" s="293"/>
      <c r="S338" s="293"/>
    </row>
    <row r="339" spans="16:19" x14ac:dyDescent="0.2">
      <c r="P339" s="333">
        <v>6.7</v>
      </c>
      <c r="Q339" s="293">
        <f t="shared" si="5"/>
        <v>5.987970594787257E-2</v>
      </c>
      <c r="R339" s="293"/>
      <c r="S339" s="293"/>
    </row>
    <row r="340" spans="16:19" x14ac:dyDescent="0.2">
      <c r="P340" s="333">
        <v>6.72</v>
      </c>
      <c r="Q340" s="293">
        <f t="shared" si="5"/>
        <v>5.9523809523809527E-2</v>
      </c>
      <c r="R340" s="293"/>
      <c r="S340" s="293"/>
    </row>
    <row r="341" spans="16:19" x14ac:dyDescent="0.2">
      <c r="P341" s="333">
        <v>6.74</v>
      </c>
      <c r="Q341" s="293">
        <f t="shared" si="5"/>
        <v>5.9171076614216896E-2</v>
      </c>
      <c r="R341" s="293"/>
      <c r="S341" s="293"/>
    </row>
    <row r="342" spans="16:19" x14ac:dyDescent="0.2">
      <c r="P342" s="333">
        <v>6.76</v>
      </c>
      <c r="Q342" s="293">
        <f t="shared" si="5"/>
        <v>5.8821469836490323E-2</v>
      </c>
      <c r="R342" s="293"/>
      <c r="S342" s="293"/>
    </row>
    <row r="343" spans="16:19" x14ac:dyDescent="0.2">
      <c r="P343" s="333">
        <v>6.78</v>
      </c>
      <c r="Q343" s="293">
        <f t="shared" si="5"/>
        <v>5.8474952358576755E-2</v>
      </c>
      <c r="R343" s="293"/>
      <c r="S343" s="293"/>
    </row>
    <row r="344" spans="16:19" x14ac:dyDescent="0.2">
      <c r="P344" s="333">
        <v>6.8</v>
      </c>
      <c r="Q344" s="293">
        <f t="shared" si="5"/>
        <v>5.8131487889273359E-2</v>
      </c>
      <c r="R344" s="293"/>
      <c r="S344" s="293"/>
    </row>
    <row r="345" spans="16:19" x14ac:dyDescent="0.2">
      <c r="P345" s="333">
        <v>6.82</v>
      </c>
      <c r="Q345" s="293">
        <f t="shared" si="5"/>
        <v>5.7791040668724883E-2</v>
      </c>
      <c r="R345" s="293"/>
      <c r="S345" s="293"/>
    </row>
    <row r="346" spans="16:19" x14ac:dyDescent="0.2">
      <c r="P346" s="333">
        <v>6.84</v>
      </c>
      <c r="Q346" s="293">
        <f t="shared" si="5"/>
        <v>5.7453575459115627E-2</v>
      </c>
      <c r="R346" s="293"/>
      <c r="S346" s="293"/>
    </row>
    <row r="347" spans="16:19" x14ac:dyDescent="0.2">
      <c r="P347" s="333">
        <v>6.86</v>
      </c>
      <c r="Q347" s="293">
        <f t="shared" si="5"/>
        <v>5.7119057535550653E-2</v>
      </c>
      <c r="R347" s="293"/>
      <c r="S347" s="293"/>
    </row>
    <row r="348" spans="16:19" x14ac:dyDescent="0.2">
      <c r="P348" s="333">
        <v>6.88</v>
      </c>
      <c r="Q348" s="293">
        <f t="shared" si="5"/>
        <v>5.678745267712277E-2</v>
      </c>
      <c r="R348" s="293"/>
      <c r="S348" s="293"/>
    </row>
    <row r="349" spans="16:19" x14ac:dyDescent="0.2">
      <c r="P349" s="333">
        <v>6.9</v>
      </c>
      <c r="Q349" s="293">
        <f t="shared" si="5"/>
        <v>5.6458727158160034E-2</v>
      </c>
      <c r="R349" s="293"/>
      <c r="S349" s="293"/>
    </row>
    <row r="350" spans="16:19" x14ac:dyDescent="0.2">
      <c r="P350" s="333">
        <v>6.92</v>
      </c>
      <c r="Q350" s="293">
        <f t="shared" si="5"/>
        <v>5.61328477396505E-2</v>
      </c>
      <c r="R350" s="293"/>
      <c r="S350" s="293"/>
    </row>
    <row r="351" spans="16:19" x14ac:dyDescent="0.2">
      <c r="P351" s="333">
        <v>6.94</v>
      </c>
      <c r="Q351" s="293">
        <f t="shared" si="5"/>
        <v>5.5809781660839296E-2</v>
      </c>
      <c r="R351" s="293"/>
      <c r="S351" s="293"/>
    </row>
    <row r="352" spans="16:19" x14ac:dyDescent="0.2">
      <c r="P352" s="333">
        <v>6.96</v>
      </c>
      <c r="Q352" s="293">
        <f t="shared" si="5"/>
        <v>5.5489496630994839E-2</v>
      </c>
      <c r="R352" s="293"/>
      <c r="S352" s="293"/>
    </row>
    <row r="353" spans="16:19" x14ac:dyDescent="0.2">
      <c r="P353" s="333">
        <v>6.98</v>
      </c>
      <c r="Q353" s="293">
        <f t="shared" si="5"/>
        <v>5.5171960821339718E-2</v>
      </c>
      <c r="R353" s="293"/>
      <c r="S353" s="293"/>
    </row>
    <row r="354" spans="16:19" x14ac:dyDescent="0.2">
      <c r="P354" s="333">
        <v>7</v>
      </c>
      <c r="Q354" s="293">
        <f t="shared" si="5"/>
        <v>5.4857142857142854E-2</v>
      </c>
      <c r="R354" s="293"/>
      <c r="S354" s="293"/>
    </row>
    <row r="355" spans="16:19" x14ac:dyDescent="0.2">
      <c r="P355" s="333">
        <v>7.02</v>
      </c>
      <c r="Q355" s="293">
        <f t="shared" si="5"/>
        <v>5.4545011809969075E-2</v>
      </c>
      <c r="R355" s="293"/>
      <c r="S355" s="293"/>
    </row>
    <row r="356" spans="16:19" x14ac:dyDescent="0.2">
      <c r="P356" s="333">
        <v>7.04</v>
      </c>
      <c r="Q356" s="293">
        <f t="shared" si="5"/>
        <v>5.4235537190082637E-2</v>
      </c>
      <c r="R356" s="293"/>
      <c r="S356" s="293"/>
    </row>
    <row r="357" spans="16:19" x14ac:dyDescent="0.2">
      <c r="P357" s="333">
        <v>7.06</v>
      </c>
      <c r="Q357" s="293">
        <f t="shared" si="5"/>
        <v>5.3928688939001199E-2</v>
      </c>
      <c r="R357" s="293"/>
      <c r="S357" s="293"/>
    </row>
    <row r="358" spans="16:19" x14ac:dyDescent="0.2">
      <c r="P358" s="333">
        <v>7.08</v>
      </c>
      <c r="Q358" s="293">
        <f t="shared" si="5"/>
        <v>5.3624437422196677E-2</v>
      </c>
      <c r="R358" s="293"/>
      <c r="S358" s="293"/>
    </row>
    <row r="359" spans="16:19" x14ac:dyDescent="0.2">
      <c r="P359" s="333">
        <v>7.1</v>
      </c>
      <c r="Q359" s="293">
        <f t="shared" si="5"/>
        <v>5.3322753421940088E-2</v>
      </c>
      <c r="R359" s="293"/>
      <c r="S359" s="293"/>
    </row>
    <row r="360" spans="16:19" x14ac:dyDescent="0.2">
      <c r="P360" s="333">
        <v>7.12</v>
      </c>
      <c r="Q360" s="293">
        <f t="shared" si="5"/>
        <v>5.3023608130286573E-2</v>
      </c>
      <c r="R360" s="293"/>
      <c r="S360" s="293"/>
    </row>
    <row r="361" spans="16:19" x14ac:dyDescent="0.2">
      <c r="P361" s="333">
        <v>7.14</v>
      </c>
      <c r="Q361" s="293">
        <f t="shared" si="5"/>
        <v>5.2726973142198055E-2</v>
      </c>
      <c r="R361" s="293"/>
      <c r="S361" s="293"/>
    </row>
    <row r="362" spans="16:19" x14ac:dyDescent="0.2">
      <c r="P362" s="333">
        <v>7.16</v>
      </c>
      <c r="Q362" s="293">
        <f t="shared" si="5"/>
        <v>5.2432820448799967E-2</v>
      </c>
      <c r="R362" s="293"/>
      <c r="S362" s="293"/>
    </row>
    <row r="363" spans="16:19" x14ac:dyDescent="0.2">
      <c r="P363" s="333">
        <v>7.18</v>
      </c>
      <c r="Q363" s="293">
        <f t="shared" si="5"/>
        <v>5.2141122430769467E-2</v>
      </c>
      <c r="R363" s="293"/>
      <c r="S363" s="293"/>
    </row>
    <row r="364" spans="16:19" x14ac:dyDescent="0.2">
      <c r="P364" s="333">
        <v>7.2</v>
      </c>
      <c r="Q364" s="293">
        <f t="shared" si="5"/>
        <v>5.1851851851851843E-2</v>
      </c>
      <c r="R364" s="293"/>
      <c r="S364" s="293"/>
    </row>
    <row r="365" spans="16:19" x14ac:dyDescent="0.2">
      <c r="P365" s="333">
        <v>7.22</v>
      </c>
      <c r="Q365" s="293">
        <f t="shared" si="5"/>
        <v>5.1564981852502662E-2</v>
      </c>
      <c r="R365" s="293"/>
      <c r="S365" s="293"/>
    </row>
    <row r="366" spans="16:19" x14ac:dyDescent="0.2">
      <c r="P366" s="333">
        <v>7.24</v>
      </c>
      <c r="Q366" s="293">
        <f t="shared" si="5"/>
        <v>5.1280485943652511E-2</v>
      </c>
      <c r="R366" s="293"/>
      <c r="S366" s="293"/>
    </row>
    <row r="367" spans="16:19" x14ac:dyDescent="0.2">
      <c r="P367" s="333">
        <v>7.26</v>
      </c>
      <c r="Q367" s="293">
        <f t="shared" si="5"/>
        <v>5.099833800059194E-2</v>
      </c>
      <c r="R367" s="293"/>
      <c r="S367" s="293"/>
    </row>
    <row r="368" spans="16:19" x14ac:dyDescent="0.2">
      <c r="P368" s="333">
        <v>7.28</v>
      </c>
      <c r="Q368" s="293">
        <f t="shared" si="5"/>
        <v>5.071851225697379E-2</v>
      </c>
      <c r="R368" s="293"/>
      <c r="S368" s="293"/>
    </row>
    <row r="369" spans="16:19" x14ac:dyDescent="0.2">
      <c r="P369" s="333">
        <v>7.3</v>
      </c>
      <c r="Q369" s="293">
        <f t="shared" si="5"/>
        <v>5.0440983298930375E-2</v>
      </c>
      <c r="R369" s="293"/>
      <c r="S369" s="293"/>
    </row>
    <row r="370" spans="16:19" x14ac:dyDescent="0.2">
      <c r="P370" s="333">
        <v>7.32</v>
      </c>
      <c r="Q370" s="293">
        <f t="shared" si="5"/>
        <v>5.0165726059303042E-2</v>
      </c>
      <c r="R370" s="293"/>
      <c r="S370" s="293"/>
    </row>
    <row r="371" spans="16:19" x14ac:dyDescent="0.2">
      <c r="P371" s="333">
        <v>7.34</v>
      </c>
      <c r="Q371" s="293">
        <f t="shared" si="5"/>
        <v>4.9892715811981674E-2</v>
      </c>
      <c r="R371" s="293"/>
      <c r="S371" s="293"/>
    </row>
    <row r="372" spans="16:19" x14ac:dyDescent="0.2">
      <c r="P372" s="333">
        <v>7.36</v>
      </c>
      <c r="Q372" s="293">
        <f t="shared" si="5"/>
        <v>4.9621928166351602E-2</v>
      </c>
      <c r="R372" s="293"/>
      <c r="S372" s="293"/>
    </row>
    <row r="373" spans="16:19" x14ac:dyDescent="0.2">
      <c r="P373" s="333">
        <v>7.38</v>
      </c>
      <c r="Q373" s="293">
        <f t="shared" si="5"/>
        <v>4.9353339061845899E-2</v>
      </c>
      <c r="R373" s="293"/>
      <c r="S373" s="293"/>
    </row>
    <row r="374" spans="16:19" x14ac:dyDescent="0.2">
      <c r="P374" s="333">
        <v>7.4</v>
      </c>
      <c r="Q374" s="293">
        <f t="shared" si="5"/>
        <v>4.9086924762600431E-2</v>
      </c>
      <c r="R374" s="293"/>
      <c r="S374" s="293"/>
    </row>
    <row r="375" spans="16:19" x14ac:dyDescent="0.2">
      <c r="P375" s="333">
        <v>7.42</v>
      </c>
      <c r="Q375" s="293">
        <f t="shared" si="5"/>
        <v>4.882266185220973E-2</v>
      </c>
      <c r="R375" s="293"/>
      <c r="S375" s="293"/>
    </row>
    <row r="376" spans="16:19" x14ac:dyDescent="0.2">
      <c r="P376" s="333">
        <v>7.44</v>
      </c>
      <c r="Q376" s="293">
        <f t="shared" si="5"/>
        <v>4.8560527228581327E-2</v>
      </c>
      <c r="R376" s="293"/>
      <c r="S376" s="293"/>
    </row>
    <row r="377" spans="16:19" x14ac:dyDescent="0.2">
      <c r="P377" s="333">
        <v>7.46</v>
      </c>
      <c r="Q377" s="293">
        <f t="shared" si="5"/>
        <v>4.8300498098886639E-2</v>
      </c>
      <c r="R377" s="293"/>
      <c r="S377" s="293"/>
    </row>
    <row r="378" spans="16:19" x14ac:dyDescent="0.2">
      <c r="P378" s="333">
        <v>7.48</v>
      </c>
      <c r="Q378" s="293">
        <f t="shared" si="5"/>
        <v>4.8042551974606065E-2</v>
      </c>
      <c r="R378" s="293"/>
      <c r="S378" s="293"/>
    </row>
    <row r="379" spans="16:19" x14ac:dyDescent="0.2">
      <c r="P379" s="333">
        <v>7.5</v>
      </c>
      <c r="Q379" s="293">
        <f t="shared" si="5"/>
        <v>4.7786666666666665E-2</v>
      </c>
      <c r="R379" s="293"/>
      <c r="S379" s="293"/>
    </row>
    <row r="380" spans="16:19" x14ac:dyDescent="0.2">
      <c r="P380" s="333">
        <v>7.52</v>
      </c>
      <c r="Q380" s="293">
        <f t="shared" si="5"/>
        <v>4.7532820280669984E-2</v>
      </c>
      <c r="R380" s="293"/>
      <c r="S380" s="293"/>
    </row>
    <row r="381" spans="16:19" x14ac:dyDescent="0.2">
      <c r="P381" s="333">
        <v>7.54</v>
      </c>
      <c r="Q381" s="293">
        <f t="shared" si="5"/>
        <v>4.7280991212208627E-2</v>
      </c>
      <c r="R381" s="293"/>
      <c r="S381" s="293"/>
    </row>
    <row r="382" spans="16:19" x14ac:dyDescent="0.2">
      <c r="P382" s="333">
        <v>7.56</v>
      </c>
      <c r="Q382" s="293">
        <f t="shared" si="5"/>
        <v>4.7031158142269248E-2</v>
      </c>
      <c r="R382" s="293"/>
      <c r="S382" s="293"/>
    </row>
    <row r="383" spans="16:19" x14ac:dyDescent="0.2">
      <c r="P383" s="333">
        <v>7.58</v>
      </c>
      <c r="Q383" s="293">
        <f t="shared" si="5"/>
        <v>4.6783300032720458E-2</v>
      </c>
      <c r="R383" s="293"/>
      <c r="S383" s="293"/>
    </row>
    <row r="384" spans="16:19" x14ac:dyDescent="0.2">
      <c r="P384" s="333">
        <v>7.6</v>
      </c>
      <c r="Q384" s="293">
        <f t="shared" si="5"/>
        <v>4.6537396121883651E-2</v>
      </c>
      <c r="R384" s="293"/>
      <c r="S384" s="293"/>
    </row>
    <row r="385" spans="16:19" x14ac:dyDescent="0.2">
      <c r="P385" s="333">
        <v>7.62</v>
      </c>
      <c r="Q385" s="293">
        <f t="shared" si="5"/>
        <v>4.629342592018517E-2</v>
      </c>
      <c r="R385" s="293"/>
      <c r="S385" s="293"/>
    </row>
    <row r="386" spans="16:19" x14ac:dyDescent="0.2">
      <c r="P386" s="333">
        <v>7.64</v>
      </c>
      <c r="Q386" s="293">
        <f t="shared" si="5"/>
        <v>4.6051369205887996E-2</v>
      </c>
      <c r="R386" s="293"/>
      <c r="S386" s="293"/>
    </row>
    <row r="387" spans="16:19" x14ac:dyDescent="0.2">
      <c r="P387" s="333">
        <v>7.66</v>
      </c>
      <c r="Q387" s="293">
        <f t="shared" si="5"/>
        <v>4.5811206020901357E-2</v>
      </c>
      <c r="R387" s="293"/>
      <c r="S387" s="293"/>
    </row>
    <row r="388" spans="16:19" x14ac:dyDescent="0.2">
      <c r="P388" s="333">
        <v>7.68</v>
      </c>
      <c r="Q388" s="293">
        <f t="shared" si="5"/>
        <v>4.5572916666666664E-2</v>
      </c>
      <c r="R388" s="293"/>
      <c r="S388" s="293"/>
    </row>
    <row r="389" spans="16:19" x14ac:dyDescent="0.2">
      <c r="P389" s="333">
        <v>7.7</v>
      </c>
      <c r="Q389" s="293">
        <f t="shared" ref="Q389:Q452" si="6">(IF(P389&lt;=$D$13,2.5*$D$9*$L$7*$H$7,IF(AND(P389&lt;=$D$14,P389&gt;$D$13),1.2*$D$10*$L$8*$H$7/P389,1.2*$D$10*$L$8*$D$14*$H$7/(P389^2))))</f>
        <v>4.5336481700118052E-2</v>
      </c>
      <c r="R389" s="293"/>
      <c r="S389" s="293"/>
    </row>
    <row r="390" spans="16:19" x14ac:dyDescent="0.2">
      <c r="P390" s="333">
        <v>7.72</v>
      </c>
      <c r="Q390" s="293">
        <f t="shared" si="6"/>
        <v>4.5101881929716231E-2</v>
      </c>
      <c r="R390" s="293"/>
      <c r="S390" s="293"/>
    </row>
    <row r="391" spans="16:19" x14ac:dyDescent="0.2">
      <c r="P391" s="333">
        <v>7.74</v>
      </c>
      <c r="Q391" s="293">
        <f t="shared" si="6"/>
        <v>4.4869098411553787E-2</v>
      </c>
      <c r="R391" s="293"/>
      <c r="S391" s="293"/>
    </row>
    <row r="392" spans="16:19" x14ac:dyDescent="0.2">
      <c r="P392" s="333">
        <v>7.76</v>
      </c>
      <c r="Q392" s="293">
        <f t="shared" si="6"/>
        <v>4.463811244553087E-2</v>
      </c>
      <c r="R392" s="293"/>
      <c r="S392" s="293"/>
    </row>
    <row r="393" spans="16:19" x14ac:dyDescent="0.2">
      <c r="P393" s="333">
        <v>7.78</v>
      </c>
      <c r="Q393" s="293">
        <f t="shared" si="6"/>
        <v>4.440890557159944E-2</v>
      </c>
      <c r="R393" s="293"/>
      <c r="S393" s="293"/>
    </row>
    <row r="394" spans="16:19" x14ac:dyDescent="0.2">
      <c r="P394" s="333">
        <v>7.8</v>
      </c>
      <c r="Q394" s="293">
        <f t="shared" si="6"/>
        <v>4.418145956607495E-2</v>
      </c>
      <c r="R394" s="293"/>
      <c r="S394" s="293"/>
    </row>
    <row r="395" spans="16:19" x14ac:dyDescent="0.2">
      <c r="P395" s="333">
        <v>7.82</v>
      </c>
      <c r="Q395" s="293">
        <f t="shared" si="6"/>
        <v>4.3955756438013874E-2</v>
      </c>
      <c r="R395" s="293"/>
      <c r="S395" s="293"/>
    </row>
    <row r="396" spans="16:19" x14ac:dyDescent="0.2">
      <c r="P396" s="333">
        <v>7.84</v>
      </c>
      <c r="Q396" s="293">
        <f t="shared" si="6"/>
        <v>4.3731778425655975E-2</v>
      </c>
      <c r="R396" s="293"/>
      <c r="S396" s="293"/>
    </row>
    <row r="397" spans="16:19" x14ac:dyDescent="0.2">
      <c r="P397" s="333">
        <v>7.86</v>
      </c>
      <c r="Q397" s="293">
        <f t="shared" si="6"/>
        <v>4.35095079929297E-2</v>
      </c>
      <c r="R397" s="293"/>
      <c r="S397" s="293"/>
    </row>
    <row r="398" spans="16:19" x14ac:dyDescent="0.2">
      <c r="P398" s="333">
        <v>7.88</v>
      </c>
      <c r="Q398" s="293">
        <f t="shared" si="6"/>
        <v>4.328892782601973E-2</v>
      </c>
      <c r="R398" s="293"/>
      <c r="S398" s="293"/>
    </row>
    <row r="399" spans="16:19" x14ac:dyDescent="0.2">
      <c r="P399" s="333">
        <v>7.9</v>
      </c>
      <c r="Q399" s="293">
        <f t="shared" si="6"/>
        <v>4.3070020829995184E-2</v>
      </c>
      <c r="R399" s="293"/>
      <c r="S399" s="293"/>
    </row>
    <row r="400" spans="16:19" x14ac:dyDescent="0.2">
      <c r="P400" s="333">
        <v>7.92</v>
      </c>
      <c r="Q400" s="293">
        <f t="shared" si="6"/>
        <v>4.2852770125497396E-2</v>
      </c>
      <c r="R400" s="293"/>
      <c r="S400" s="293"/>
    </row>
    <row r="401" spans="16:19" x14ac:dyDescent="0.2">
      <c r="P401" s="333">
        <v>7.94</v>
      </c>
      <c r="Q401" s="293">
        <f t="shared" si="6"/>
        <v>4.263715904548597E-2</v>
      </c>
      <c r="R401" s="293"/>
      <c r="S401" s="293"/>
    </row>
    <row r="402" spans="16:19" x14ac:dyDescent="0.2">
      <c r="P402" s="333">
        <v>7.96</v>
      </c>
      <c r="Q402" s="293">
        <f t="shared" si="6"/>
        <v>4.2423171132042116E-2</v>
      </c>
      <c r="R402" s="293"/>
      <c r="S402" s="293"/>
    </row>
    <row r="403" spans="16:19" x14ac:dyDescent="0.2">
      <c r="P403" s="333">
        <v>7.98</v>
      </c>
      <c r="Q403" s="293">
        <f t="shared" si="6"/>
        <v>4.2210790133227795E-2</v>
      </c>
      <c r="R403" s="293"/>
      <c r="S403" s="293"/>
    </row>
    <row r="404" spans="16:19" x14ac:dyDescent="0.2">
      <c r="P404" s="333">
        <v>8</v>
      </c>
      <c r="Q404" s="293">
        <f t="shared" si="6"/>
        <v>4.1999999999999996E-2</v>
      </c>
      <c r="R404" s="293"/>
      <c r="S404" s="293"/>
    </row>
    <row r="405" spans="16:19" x14ac:dyDescent="0.2">
      <c r="P405" s="333">
        <v>8.02</v>
      </c>
      <c r="Q405" s="293">
        <f t="shared" si="6"/>
        <v>4.179078488317859E-2</v>
      </c>
      <c r="R405" s="293"/>
      <c r="S405" s="293"/>
    </row>
    <row r="406" spans="16:19" x14ac:dyDescent="0.2">
      <c r="P406" s="333">
        <v>8.0399999999999991</v>
      </c>
      <c r="Q406" s="293">
        <f t="shared" si="6"/>
        <v>4.1583129130467071E-2</v>
      </c>
      <c r="R406" s="293"/>
      <c r="S406" s="293"/>
    </row>
    <row r="407" spans="16:19" x14ac:dyDescent="0.2">
      <c r="P407" s="333">
        <v>8.06</v>
      </c>
      <c r="Q407" s="293">
        <f t="shared" si="6"/>
        <v>4.1377017283524914E-2</v>
      </c>
      <c r="R407" s="293"/>
      <c r="S407" s="293"/>
    </row>
    <row r="408" spans="16:19" x14ac:dyDescent="0.2">
      <c r="P408" s="333">
        <v>8.08</v>
      </c>
      <c r="Q408" s="293">
        <f t="shared" si="6"/>
        <v>4.1172434075090671E-2</v>
      </c>
      <c r="R408" s="293"/>
      <c r="S408" s="293"/>
    </row>
    <row r="409" spans="16:19" x14ac:dyDescent="0.2">
      <c r="P409" s="333">
        <v>8.1</v>
      </c>
      <c r="Q409" s="293">
        <f t="shared" si="6"/>
        <v>4.0969364426154543E-2</v>
      </c>
      <c r="R409" s="293"/>
      <c r="S409" s="293"/>
    </row>
    <row r="410" spans="16:19" x14ac:dyDescent="0.2">
      <c r="P410" s="333">
        <v>8.1199999999999992</v>
      </c>
      <c r="Q410" s="293">
        <f t="shared" si="6"/>
        <v>4.0767793443179892E-2</v>
      </c>
      <c r="R410" s="293"/>
      <c r="S410" s="293"/>
    </row>
    <row r="411" spans="16:19" x14ac:dyDescent="0.2">
      <c r="P411" s="333">
        <v>8.14</v>
      </c>
      <c r="Q411" s="293">
        <f t="shared" si="6"/>
        <v>4.0567706415372252E-2</v>
      </c>
      <c r="R411" s="293"/>
      <c r="S411" s="293"/>
    </row>
    <row r="412" spans="16:19" x14ac:dyDescent="0.2">
      <c r="P412" s="333">
        <v>8.16</v>
      </c>
      <c r="Q412" s="293">
        <f t="shared" si="6"/>
        <v>4.0369088811995385E-2</v>
      </c>
      <c r="R412" s="293"/>
      <c r="S412" s="293"/>
    </row>
    <row r="413" spans="16:19" x14ac:dyDescent="0.2">
      <c r="P413" s="333">
        <v>8.18</v>
      </c>
      <c r="Q413" s="293">
        <f t="shared" si="6"/>
        <v>4.0171926279732907E-2</v>
      </c>
      <c r="R413" s="293"/>
      <c r="S413" s="293"/>
    </row>
    <row r="414" spans="16:19" x14ac:dyDescent="0.2">
      <c r="P414" s="333">
        <v>8.1999999999999993</v>
      </c>
      <c r="Q414" s="293">
        <f t="shared" si="6"/>
        <v>3.997620464009518E-2</v>
      </c>
      <c r="R414" s="293"/>
      <c r="S414" s="293"/>
    </row>
    <row r="415" spans="16:19" x14ac:dyDescent="0.2">
      <c r="P415" s="333">
        <v>8.2200000000000006</v>
      </c>
      <c r="Q415" s="293">
        <f t="shared" si="6"/>
        <v>3.9781909886870186E-2</v>
      </c>
      <c r="R415" s="293"/>
      <c r="S415" s="293"/>
    </row>
    <row r="416" spans="16:19" x14ac:dyDescent="0.2">
      <c r="P416" s="333">
        <v>8.24</v>
      </c>
      <c r="Q416" s="293">
        <f t="shared" si="6"/>
        <v>3.9589028183617682E-2</v>
      </c>
      <c r="R416" s="293"/>
      <c r="S416" s="293"/>
    </row>
    <row r="417" spans="16:19" x14ac:dyDescent="0.2">
      <c r="P417" s="333">
        <v>8.26</v>
      </c>
      <c r="Q417" s="293">
        <f t="shared" si="6"/>
        <v>3.9397545861205731E-2</v>
      </c>
      <c r="R417" s="293"/>
      <c r="S417" s="293"/>
    </row>
    <row r="418" spans="16:19" x14ac:dyDescent="0.2">
      <c r="P418" s="333">
        <v>8.2799999999999994</v>
      </c>
      <c r="Q418" s="293">
        <f t="shared" si="6"/>
        <v>3.9207449415388923E-2</v>
      </c>
      <c r="R418" s="293"/>
      <c r="S418" s="293"/>
    </row>
    <row r="419" spans="16:19" x14ac:dyDescent="0.2">
      <c r="P419" s="333">
        <v>8.3000000000000007</v>
      </c>
      <c r="Q419" s="293">
        <f t="shared" si="6"/>
        <v>3.9018725504427337E-2</v>
      </c>
      <c r="R419" s="293"/>
      <c r="S419" s="293"/>
    </row>
    <row r="420" spans="16:19" x14ac:dyDescent="0.2">
      <c r="P420" s="333">
        <v>8.32</v>
      </c>
      <c r="Q420" s="293">
        <f t="shared" si="6"/>
        <v>3.8831360946745552E-2</v>
      </c>
      <c r="R420" s="293"/>
      <c r="S420" s="293"/>
    </row>
    <row r="421" spans="16:19" x14ac:dyDescent="0.2">
      <c r="P421" s="333">
        <v>8.34</v>
      </c>
      <c r="Q421" s="293">
        <f t="shared" si="6"/>
        <v>3.8645342718630848E-2</v>
      </c>
      <c r="R421" s="293"/>
      <c r="S421" s="293"/>
    </row>
    <row r="422" spans="16:19" x14ac:dyDescent="0.2">
      <c r="P422" s="333">
        <v>8.36</v>
      </c>
      <c r="Q422" s="293">
        <f t="shared" si="6"/>
        <v>3.846065795196997E-2</v>
      </c>
      <c r="R422" s="293"/>
      <c r="S422" s="293"/>
    </row>
    <row r="423" spans="16:19" x14ac:dyDescent="0.2">
      <c r="P423" s="333">
        <v>8.3800000000000008</v>
      </c>
      <c r="Q423" s="293">
        <f t="shared" si="6"/>
        <v>3.8277293932023615E-2</v>
      </c>
      <c r="R423" s="293"/>
      <c r="S423" s="293"/>
    </row>
    <row r="424" spans="16:19" x14ac:dyDescent="0.2">
      <c r="P424" s="333">
        <v>8.4</v>
      </c>
      <c r="Q424" s="293">
        <f t="shared" si="6"/>
        <v>3.8095238095238092E-2</v>
      </c>
      <c r="R424" s="293"/>
      <c r="S424" s="293"/>
    </row>
    <row r="425" spans="16:19" x14ac:dyDescent="0.2">
      <c r="P425" s="333">
        <v>8.42</v>
      </c>
      <c r="Q425" s="293">
        <f t="shared" si="6"/>
        <v>3.7914478027093051E-2</v>
      </c>
      <c r="R425" s="293"/>
      <c r="S425" s="293"/>
    </row>
    <row r="426" spans="16:19" x14ac:dyDescent="0.2">
      <c r="P426" s="333">
        <v>8.44</v>
      </c>
      <c r="Q426" s="293">
        <f t="shared" si="6"/>
        <v>3.7735001459985172E-2</v>
      </c>
      <c r="R426" s="293"/>
      <c r="S426" s="293"/>
    </row>
    <row r="427" spans="16:19" x14ac:dyDescent="0.2">
      <c r="P427" s="333">
        <v>8.4600000000000009</v>
      </c>
      <c r="Q427" s="293">
        <f t="shared" si="6"/>
        <v>3.7556796271146643E-2</v>
      </c>
      <c r="R427" s="293"/>
      <c r="S427" s="293"/>
    </row>
    <row r="428" spans="16:19" x14ac:dyDescent="0.2">
      <c r="P428" s="333">
        <v>8.48</v>
      </c>
      <c r="Q428" s="293">
        <f t="shared" si="6"/>
        <v>3.7379850480598067E-2</v>
      </c>
      <c r="R428" s="293"/>
      <c r="S428" s="293"/>
    </row>
    <row r="429" spans="16:19" x14ac:dyDescent="0.2">
      <c r="P429" s="333">
        <v>8.5</v>
      </c>
      <c r="Q429" s="293">
        <f t="shared" si="6"/>
        <v>3.7204152249134946E-2</v>
      </c>
      <c r="R429" s="293"/>
      <c r="S429" s="293"/>
    </row>
    <row r="430" spans="16:19" x14ac:dyDescent="0.2">
      <c r="P430" s="333">
        <v>8.52</v>
      </c>
      <c r="Q430" s="293">
        <f t="shared" si="6"/>
        <v>3.7029689876347291E-2</v>
      </c>
      <c r="R430" s="293"/>
      <c r="S430" s="293"/>
    </row>
    <row r="431" spans="16:19" x14ac:dyDescent="0.2">
      <c r="P431" s="333">
        <v>8.5399999999999991</v>
      </c>
      <c r="Q431" s="293">
        <f t="shared" si="6"/>
        <v>3.6856451798671634E-2</v>
      </c>
      <c r="R431" s="293"/>
      <c r="S431" s="293"/>
    </row>
    <row r="432" spans="16:19" x14ac:dyDescent="0.2">
      <c r="P432" s="333">
        <v>8.56</v>
      </c>
      <c r="Q432" s="293">
        <f t="shared" si="6"/>
        <v>3.6684426587474887E-2</v>
      </c>
      <c r="R432" s="293"/>
      <c r="S432" s="293"/>
    </row>
    <row r="433" spans="16:19" x14ac:dyDescent="0.2">
      <c r="P433" s="333">
        <v>8.58</v>
      </c>
      <c r="Q433" s="293">
        <f t="shared" si="6"/>
        <v>3.6513602947169377E-2</v>
      </c>
      <c r="R433" s="293"/>
      <c r="S433" s="293"/>
    </row>
    <row r="434" spans="16:19" x14ac:dyDescent="0.2">
      <c r="P434" s="333">
        <v>8.6</v>
      </c>
      <c r="Q434" s="293">
        <f t="shared" si="6"/>
        <v>3.634396971335857E-2</v>
      </c>
      <c r="R434" s="293"/>
      <c r="S434" s="293"/>
    </row>
    <row r="435" spans="16:19" x14ac:dyDescent="0.2">
      <c r="P435" s="333">
        <v>8.6199999999999992</v>
      </c>
      <c r="Q435" s="293">
        <f t="shared" si="6"/>
        <v>3.6175515851012863E-2</v>
      </c>
      <c r="R435" s="293"/>
      <c r="S435" s="293"/>
    </row>
    <row r="436" spans="16:19" x14ac:dyDescent="0.2">
      <c r="P436" s="333">
        <v>8.64</v>
      </c>
      <c r="Q436" s="293">
        <f t="shared" si="6"/>
        <v>3.6008230452674893E-2</v>
      </c>
      <c r="R436" s="293"/>
      <c r="S436" s="293"/>
    </row>
    <row r="437" spans="16:19" x14ac:dyDescent="0.2">
      <c r="P437" s="333">
        <v>8.66</v>
      </c>
      <c r="Q437" s="293">
        <f t="shared" si="6"/>
        <v>3.5842102736693887E-2</v>
      </c>
      <c r="R437" s="293"/>
      <c r="S437" s="293"/>
    </row>
    <row r="438" spans="16:19" x14ac:dyDescent="0.2">
      <c r="P438" s="333">
        <v>8.68</v>
      </c>
      <c r="Q438" s="293">
        <f t="shared" si="6"/>
        <v>3.5677122045488327E-2</v>
      </c>
      <c r="R438" s="293"/>
      <c r="S438" s="293"/>
    </row>
    <row r="439" spans="16:19" x14ac:dyDescent="0.2">
      <c r="P439" s="333">
        <v>8.6999999999999993</v>
      </c>
      <c r="Q439" s="293">
        <f t="shared" si="6"/>
        <v>3.5513277843836705E-2</v>
      </c>
      <c r="R439" s="293"/>
      <c r="S439" s="293"/>
    </row>
    <row r="440" spans="16:19" x14ac:dyDescent="0.2">
      <c r="P440" s="333">
        <v>8.7200000000000006</v>
      </c>
      <c r="Q440" s="293">
        <f t="shared" si="6"/>
        <v>3.5350559717195515E-2</v>
      </c>
      <c r="R440" s="293"/>
      <c r="S440" s="293"/>
    </row>
    <row r="441" spans="16:19" x14ac:dyDescent="0.2">
      <c r="P441" s="333">
        <v>8.74</v>
      </c>
      <c r="Q441" s="293">
        <f t="shared" si="6"/>
        <v>3.5188957370044349E-2</v>
      </c>
      <c r="R441" s="293"/>
      <c r="S441" s="293"/>
    </row>
    <row r="442" spans="16:19" x14ac:dyDescent="0.2">
      <c r="P442" s="333">
        <v>8.76</v>
      </c>
      <c r="Q442" s="293">
        <f t="shared" si="6"/>
        <v>3.5028460624257206E-2</v>
      </c>
      <c r="R442" s="293"/>
      <c r="S442" s="293"/>
    </row>
    <row r="443" spans="16:19" x14ac:dyDescent="0.2">
      <c r="P443" s="333">
        <v>8.7799999999999994</v>
      </c>
      <c r="Q443" s="293">
        <f t="shared" si="6"/>
        <v>3.4869059417499911E-2</v>
      </c>
      <c r="R443" s="293"/>
      <c r="S443" s="293"/>
    </row>
    <row r="444" spans="16:19" x14ac:dyDescent="0.2">
      <c r="P444" s="333">
        <v>8.8000000000000007</v>
      </c>
      <c r="Q444" s="293">
        <f t="shared" si="6"/>
        <v>3.4710743801652885E-2</v>
      </c>
      <c r="R444" s="293"/>
      <c r="S444" s="293"/>
    </row>
    <row r="445" spans="16:19" x14ac:dyDescent="0.2">
      <c r="P445" s="333">
        <v>8.82</v>
      </c>
      <c r="Q445" s="293">
        <f t="shared" si="6"/>
        <v>3.4553503941259042E-2</v>
      </c>
      <c r="R445" s="293"/>
      <c r="S445" s="293"/>
    </row>
    <row r="446" spans="16:19" x14ac:dyDescent="0.2">
      <c r="P446" s="333">
        <v>8.84</v>
      </c>
      <c r="Q446" s="293">
        <f t="shared" si="6"/>
        <v>3.4397330111996062E-2</v>
      </c>
      <c r="R446" s="293"/>
      <c r="S446" s="293"/>
    </row>
    <row r="447" spans="16:19" x14ac:dyDescent="0.2">
      <c r="P447" s="333">
        <v>8.86</v>
      </c>
      <c r="Q447" s="293">
        <f t="shared" si="6"/>
        <v>3.4242212699172991E-2</v>
      </c>
      <c r="R447" s="293"/>
      <c r="S447" s="293"/>
    </row>
    <row r="448" spans="16:19" x14ac:dyDescent="0.2">
      <c r="P448" s="333">
        <v>8.8800000000000008</v>
      </c>
      <c r="Q448" s="293">
        <f t="shared" si="6"/>
        <v>3.4088142196250296E-2</v>
      </c>
      <c r="R448" s="293"/>
      <c r="S448" s="293"/>
    </row>
    <row r="449" spans="16:19" x14ac:dyDescent="0.2">
      <c r="P449" s="333">
        <v>8.9</v>
      </c>
      <c r="Q449" s="293">
        <f t="shared" si="6"/>
        <v>3.3935109203383405E-2</v>
      </c>
      <c r="R449" s="293"/>
      <c r="S449" s="293"/>
    </row>
    <row r="450" spans="16:19" x14ac:dyDescent="0.2">
      <c r="P450" s="333">
        <v>8.92</v>
      </c>
      <c r="Q450" s="293">
        <f t="shared" si="6"/>
        <v>3.3783104425988857E-2</v>
      </c>
      <c r="R450" s="293"/>
      <c r="S450" s="293"/>
    </row>
    <row r="451" spans="16:19" x14ac:dyDescent="0.2">
      <c r="P451" s="333">
        <v>8.94</v>
      </c>
      <c r="Q451" s="293">
        <f t="shared" si="6"/>
        <v>3.3632118673333031E-2</v>
      </c>
      <c r="R451" s="293"/>
      <c r="S451" s="293"/>
    </row>
    <row r="452" spans="16:19" x14ac:dyDescent="0.2">
      <c r="P452" s="333">
        <v>8.9600000000000009</v>
      </c>
      <c r="Q452" s="293">
        <f t="shared" si="6"/>
        <v>3.3482142857142849E-2</v>
      </c>
      <c r="R452" s="293"/>
      <c r="S452" s="293"/>
    </row>
    <row r="453" spans="16:19" x14ac:dyDescent="0.2">
      <c r="P453" s="333">
        <v>8.98</v>
      </c>
      <c r="Q453" s="293">
        <f t="shared" ref="Q453:Q504" si="7">(IF(P453&lt;=$D$13,2.5*$D$9*$L$7*$H$7,IF(AND(P453&lt;=$D$14,P453&gt;$D$13),1.2*$D$10*$L$8*$H$7/P453,1.2*$D$10*$L$8*$D$14*$H$7/(P453^2))))</f>
        <v>3.3333167990238131E-2</v>
      </c>
      <c r="R453" s="293"/>
      <c r="S453" s="293"/>
    </row>
    <row r="454" spans="16:19" x14ac:dyDescent="0.2">
      <c r="P454" s="333">
        <v>9</v>
      </c>
      <c r="Q454" s="293">
        <f t="shared" si="7"/>
        <v>3.3185185185185179E-2</v>
      </c>
      <c r="R454" s="293"/>
      <c r="S454" s="293"/>
    </row>
    <row r="455" spans="16:19" x14ac:dyDescent="0.2">
      <c r="P455" s="333">
        <v>9.02</v>
      </c>
      <c r="Q455" s="293">
        <f t="shared" si="7"/>
        <v>3.3038185652971223E-2</v>
      </c>
      <c r="R455" s="293"/>
      <c r="S455" s="293"/>
    </row>
    <row r="456" spans="16:19" x14ac:dyDescent="0.2">
      <c r="P456" s="333">
        <v>9.0399999999999991</v>
      </c>
      <c r="Q456" s="293">
        <f t="shared" si="7"/>
        <v>3.2892160701699431E-2</v>
      </c>
      <c r="R456" s="293"/>
      <c r="S456" s="293"/>
    </row>
    <row r="457" spans="16:19" x14ac:dyDescent="0.2">
      <c r="P457" s="333">
        <v>9.06</v>
      </c>
      <c r="Q457" s="293">
        <f t="shared" si="7"/>
        <v>3.2747101735303999E-2</v>
      </c>
      <c r="R457" s="293"/>
      <c r="S457" s="293"/>
    </row>
    <row r="458" spans="16:19" x14ac:dyDescent="0.2">
      <c r="P458" s="333">
        <v>9.08</v>
      </c>
      <c r="Q458" s="293">
        <f t="shared" si="7"/>
        <v>3.2603000252285116E-2</v>
      </c>
      <c r="R458" s="293"/>
      <c r="S458" s="293"/>
    </row>
    <row r="459" spans="16:19" x14ac:dyDescent="0.2">
      <c r="P459" s="333">
        <v>9.1</v>
      </c>
      <c r="Q459" s="293">
        <f t="shared" si="7"/>
        <v>3.2459847844463229E-2</v>
      </c>
      <c r="R459" s="293"/>
      <c r="S459" s="293"/>
    </row>
    <row r="460" spans="16:19" x14ac:dyDescent="0.2">
      <c r="P460" s="333">
        <v>9.1199999999999992</v>
      </c>
      <c r="Q460" s="293">
        <f t="shared" si="7"/>
        <v>3.2317636195752536E-2</v>
      </c>
      <c r="R460" s="293"/>
      <c r="S460" s="293"/>
    </row>
    <row r="461" spans="16:19" x14ac:dyDescent="0.2">
      <c r="P461" s="333">
        <v>9.14</v>
      </c>
      <c r="Q461" s="293">
        <f t="shared" si="7"/>
        <v>3.2176357080953219E-2</v>
      </c>
      <c r="R461" s="293"/>
      <c r="S461" s="293"/>
    </row>
    <row r="462" spans="16:19" x14ac:dyDescent="0.2">
      <c r="P462" s="333">
        <v>9.16</v>
      </c>
      <c r="Q462" s="293">
        <f t="shared" si="7"/>
        <v>3.2036002364562076E-2</v>
      </c>
      <c r="R462" s="293"/>
      <c r="S462" s="293"/>
    </row>
    <row r="463" spans="16:19" x14ac:dyDescent="0.2">
      <c r="P463" s="333">
        <v>9.18</v>
      </c>
      <c r="Q463" s="293">
        <f t="shared" si="7"/>
        <v>3.1896563999601293E-2</v>
      </c>
      <c r="R463" s="293"/>
      <c r="S463" s="293"/>
    </row>
    <row r="464" spans="16:19" x14ac:dyDescent="0.2">
      <c r="P464" s="333">
        <v>9.1999999999999993</v>
      </c>
      <c r="Q464" s="293">
        <f t="shared" si="7"/>
        <v>3.1758034026465029E-2</v>
      </c>
      <c r="R464" s="293"/>
      <c r="S464" s="293"/>
    </row>
    <row r="465" spans="16:19" x14ac:dyDescent="0.2">
      <c r="P465" s="333">
        <v>9.2200000000000006</v>
      </c>
      <c r="Q465" s="293">
        <f t="shared" si="7"/>
        <v>3.1620404571783486E-2</v>
      </c>
      <c r="R465" s="293"/>
      <c r="S465" s="293"/>
    </row>
    <row r="466" spans="16:19" x14ac:dyDescent="0.2">
      <c r="P466" s="333">
        <v>9.24</v>
      </c>
      <c r="Q466" s="293">
        <f t="shared" si="7"/>
        <v>3.1483667847304206E-2</v>
      </c>
      <c r="R466" s="293"/>
      <c r="S466" s="293"/>
    </row>
    <row r="467" spans="16:19" x14ac:dyDescent="0.2">
      <c r="P467" s="333">
        <v>9.26</v>
      </c>
      <c r="Q467" s="293">
        <f t="shared" si="7"/>
        <v>3.1347816148790168E-2</v>
      </c>
      <c r="R467" s="293"/>
      <c r="S467" s="293"/>
    </row>
    <row r="468" spans="16:19" x14ac:dyDescent="0.2">
      <c r="P468" s="333">
        <v>9.2799999999999994</v>
      </c>
      <c r="Q468" s="293">
        <f t="shared" si="7"/>
        <v>3.12128418549346E-2</v>
      </c>
      <c r="R468" s="293"/>
      <c r="S468" s="293"/>
    </row>
    <row r="469" spans="16:19" x14ac:dyDescent="0.2">
      <c r="P469" s="333">
        <v>9.3000000000000007</v>
      </c>
      <c r="Q469" s="293">
        <f t="shared" si="7"/>
        <v>3.1078737426292049E-2</v>
      </c>
      <c r="R469" s="293"/>
      <c r="S469" s="293"/>
    </row>
    <row r="470" spans="16:19" x14ac:dyDescent="0.2">
      <c r="P470" s="333">
        <v>9.32</v>
      </c>
      <c r="Q470" s="293">
        <f t="shared" si="7"/>
        <v>3.0945495404225528E-2</v>
      </c>
      <c r="R470" s="293"/>
      <c r="S470" s="293"/>
    </row>
    <row r="471" spans="16:19" x14ac:dyDescent="0.2">
      <c r="P471" s="333">
        <v>9.34</v>
      </c>
      <c r="Q471" s="293">
        <f t="shared" si="7"/>
        <v>3.0813108409869366E-2</v>
      </c>
      <c r="R471" s="293"/>
      <c r="S471" s="293"/>
    </row>
    <row r="472" spans="16:19" x14ac:dyDescent="0.2">
      <c r="P472" s="333">
        <v>9.36</v>
      </c>
      <c r="Q472" s="293">
        <f t="shared" si="7"/>
        <v>3.0681569143107608E-2</v>
      </c>
      <c r="R472" s="293"/>
      <c r="S472" s="293"/>
    </row>
    <row r="473" spans="16:19" x14ac:dyDescent="0.2">
      <c r="P473" s="333">
        <v>9.3800000000000008</v>
      </c>
      <c r="Q473" s="293">
        <f t="shared" si="7"/>
        <v>3.0550870381567636E-2</v>
      </c>
      <c r="R473" s="293"/>
      <c r="S473" s="293"/>
    </row>
    <row r="474" spans="16:19" x14ac:dyDescent="0.2">
      <c r="P474" s="333">
        <v>9.4</v>
      </c>
      <c r="Q474" s="293">
        <f t="shared" si="7"/>
        <v>3.0421004979628782E-2</v>
      </c>
      <c r="R474" s="293"/>
      <c r="S474" s="293"/>
    </row>
    <row r="475" spans="16:19" x14ac:dyDescent="0.2">
      <c r="P475" s="333">
        <v>9.42</v>
      </c>
      <c r="Q475" s="293">
        <f t="shared" si="7"/>
        <v>3.0291965867445599E-2</v>
      </c>
      <c r="R475" s="293"/>
      <c r="S475" s="293"/>
    </row>
    <row r="476" spans="16:19" x14ac:dyDescent="0.2">
      <c r="P476" s="333">
        <v>9.44</v>
      </c>
      <c r="Q476" s="293">
        <f t="shared" si="7"/>
        <v>3.0163746049985635E-2</v>
      </c>
      <c r="R476" s="293"/>
      <c r="S476" s="293"/>
    </row>
    <row r="477" spans="16:19" x14ac:dyDescent="0.2">
      <c r="P477" s="333">
        <v>9.4600000000000009</v>
      </c>
      <c r="Q477" s="293">
        <f t="shared" si="7"/>
        <v>3.0036338606081455E-2</v>
      </c>
      <c r="R477" s="293"/>
      <c r="S477" s="293"/>
    </row>
    <row r="478" spans="16:19" x14ac:dyDescent="0.2">
      <c r="P478" s="333">
        <v>9.48</v>
      </c>
      <c r="Q478" s="293">
        <f t="shared" si="7"/>
        <v>2.9909736687496656E-2</v>
      </c>
      <c r="R478" s="293"/>
      <c r="S478" s="293"/>
    </row>
    <row r="479" spans="16:19" x14ac:dyDescent="0.2">
      <c r="P479" s="333">
        <v>9.5</v>
      </c>
      <c r="Q479" s="293">
        <f t="shared" si="7"/>
        <v>2.9783933518005536E-2</v>
      </c>
      <c r="R479" s="293"/>
      <c r="S479" s="293"/>
    </row>
    <row r="480" spans="16:19" x14ac:dyDescent="0.2">
      <c r="P480" s="333">
        <v>9.52</v>
      </c>
      <c r="Q480" s="293">
        <f t="shared" si="7"/>
        <v>2.9658922392486405E-2</v>
      </c>
      <c r="R480" s="293"/>
      <c r="S480" s="293"/>
    </row>
    <row r="481" spans="16:19" x14ac:dyDescent="0.2">
      <c r="P481" s="333">
        <v>9.5399999999999991</v>
      </c>
      <c r="Q481" s="293">
        <f t="shared" si="7"/>
        <v>2.9534696676028111E-2</v>
      </c>
      <c r="R481" s="293"/>
      <c r="S481" s="293"/>
    </row>
    <row r="482" spans="16:19" x14ac:dyDescent="0.2">
      <c r="P482" s="333">
        <v>9.56</v>
      </c>
      <c r="Q482" s="293">
        <f t="shared" si="7"/>
        <v>2.9411249803049662E-2</v>
      </c>
      <c r="R482" s="293"/>
      <c r="S482" s="293"/>
    </row>
    <row r="483" spans="16:19" x14ac:dyDescent="0.2">
      <c r="P483" s="333">
        <v>9.58</v>
      </c>
      <c r="Q483" s="293">
        <f t="shared" si="7"/>
        <v>2.9288575276432721E-2</v>
      </c>
      <c r="R483" s="293"/>
      <c r="S483" s="293"/>
    </row>
    <row r="484" spans="16:19" x14ac:dyDescent="0.2">
      <c r="P484" s="333">
        <v>9.6</v>
      </c>
      <c r="Q484" s="293">
        <f t="shared" si="7"/>
        <v>2.9166666666666664E-2</v>
      </c>
      <c r="R484" s="293"/>
      <c r="S484" s="293"/>
    </row>
    <row r="485" spans="16:19" x14ac:dyDescent="0.2">
      <c r="P485" s="333">
        <v>9.6199999999999992</v>
      </c>
      <c r="Q485" s="293">
        <f t="shared" si="7"/>
        <v>2.904551761100618E-2</v>
      </c>
      <c r="R485" s="293"/>
      <c r="S485" s="293"/>
    </row>
    <row r="486" spans="16:19" x14ac:dyDescent="0.2">
      <c r="P486" s="333">
        <v>9.64</v>
      </c>
      <c r="Q486" s="293">
        <f t="shared" si="7"/>
        <v>2.8925121812640963E-2</v>
      </c>
      <c r="R486" s="293"/>
      <c r="S486" s="293"/>
    </row>
    <row r="487" spans="16:19" x14ac:dyDescent="0.2">
      <c r="P487" s="333">
        <v>9.66</v>
      </c>
      <c r="Q487" s="293">
        <f t="shared" si="7"/>
        <v>2.8805473039877572E-2</v>
      </c>
      <c r="R487" s="293"/>
      <c r="S487" s="293"/>
    </row>
    <row r="488" spans="16:19" x14ac:dyDescent="0.2">
      <c r="P488" s="333">
        <v>9.68</v>
      </c>
      <c r="Q488" s="293">
        <f t="shared" si="7"/>
        <v>2.8686565125332967E-2</v>
      </c>
      <c r="R488" s="293"/>
      <c r="S488" s="293"/>
    </row>
    <row r="489" spans="16:19" x14ac:dyDescent="0.2">
      <c r="P489" s="333">
        <v>9.6999999999999993</v>
      </c>
      <c r="Q489" s="293">
        <f t="shared" si="7"/>
        <v>2.8568391965139762E-2</v>
      </c>
      <c r="R489" s="293"/>
      <c r="S489" s="293"/>
    </row>
    <row r="490" spans="16:19" x14ac:dyDescent="0.2">
      <c r="P490" s="333">
        <v>9.7200000000000006</v>
      </c>
      <c r="Q490" s="293">
        <f t="shared" si="7"/>
        <v>2.8450947518162878E-2</v>
      </c>
      <c r="R490" s="293"/>
      <c r="S490" s="293"/>
    </row>
    <row r="491" spans="16:19" x14ac:dyDescent="0.2">
      <c r="P491" s="333">
        <v>9.74</v>
      </c>
      <c r="Q491" s="293">
        <f t="shared" si="7"/>
        <v>2.833422580522749E-2</v>
      </c>
      <c r="R491" s="293"/>
      <c r="S491" s="293"/>
    </row>
    <row r="492" spans="16:19" x14ac:dyDescent="0.2">
      <c r="P492" s="333">
        <v>9.76</v>
      </c>
      <c r="Q492" s="293">
        <f t="shared" si="7"/>
        <v>2.8218220908357967E-2</v>
      </c>
      <c r="R492" s="293"/>
      <c r="S492" s="293"/>
    </row>
    <row r="493" spans="16:19" x14ac:dyDescent="0.2">
      <c r="P493" s="333">
        <v>9.7799999999999994</v>
      </c>
      <c r="Q493" s="293">
        <f t="shared" si="7"/>
        <v>2.8102926970027729E-2</v>
      </c>
      <c r="R493" s="293"/>
      <c r="S493" s="293"/>
    </row>
    <row r="494" spans="16:19" x14ac:dyDescent="0.2">
      <c r="P494" s="333">
        <v>9.8000000000000007</v>
      </c>
      <c r="Q494" s="293">
        <f t="shared" si="7"/>
        <v>2.7988338192419818E-2</v>
      </c>
      <c r="R494" s="293"/>
      <c r="S494" s="293"/>
    </row>
    <row r="495" spans="16:19" x14ac:dyDescent="0.2">
      <c r="P495" s="333">
        <v>9.82</v>
      </c>
      <c r="Q495" s="293">
        <f t="shared" si="7"/>
        <v>2.7874448836698037E-2</v>
      </c>
      <c r="R495" s="293"/>
      <c r="S495" s="293"/>
    </row>
    <row r="496" spans="16:19" x14ac:dyDescent="0.2">
      <c r="P496" s="333">
        <v>9.84</v>
      </c>
      <c r="Q496" s="293">
        <f t="shared" si="7"/>
        <v>2.7761253222288319E-2</v>
      </c>
      <c r="R496" s="293"/>
      <c r="S496" s="293"/>
    </row>
    <row r="497" spans="16:19" x14ac:dyDescent="0.2">
      <c r="P497" s="333">
        <v>9.86</v>
      </c>
      <c r="Q497" s="293">
        <f t="shared" si="7"/>
        <v>2.7648745726170446E-2</v>
      </c>
      <c r="R497" s="293"/>
      <c r="S497" s="293"/>
    </row>
    <row r="498" spans="16:19" x14ac:dyDescent="0.2">
      <c r="P498" s="333">
        <v>9.8800000000000008</v>
      </c>
      <c r="Q498" s="293">
        <f t="shared" si="7"/>
        <v>2.7536920782179671E-2</v>
      </c>
      <c r="R498" s="293"/>
      <c r="S498" s="293"/>
    </row>
    <row r="499" spans="16:19" x14ac:dyDescent="0.2">
      <c r="P499" s="333">
        <v>9.9</v>
      </c>
      <c r="Q499" s="293">
        <f t="shared" si="7"/>
        <v>2.742577288031833E-2</v>
      </c>
      <c r="R499" s="293"/>
      <c r="S499" s="293"/>
    </row>
    <row r="500" spans="16:19" x14ac:dyDescent="0.2">
      <c r="P500" s="333">
        <v>9.92</v>
      </c>
      <c r="Q500" s="293">
        <f t="shared" si="7"/>
        <v>2.7315296566077001E-2</v>
      </c>
      <c r="R500" s="293"/>
      <c r="S500" s="293"/>
    </row>
    <row r="501" spans="16:19" x14ac:dyDescent="0.2">
      <c r="P501" s="333">
        <v>9.94</v>
      </c>
      <c r="Q501" s="293">
        <f t="shared" si="7"/>
        <v>2.7205486439765354E-2</v>
      </c>
      <c r="R501" s="293"/>
      <c r="S501" s="293"/>
    </row>
    <row r="502" spans="16:19" x14ac:dyDescent="0.2">
      <c r="P502" s="333">
        <v>9.9600000000000009</v>
      </c>
      <c r="Q502" s="293">
        <f t="shared" si="7"/>
        <v>2.7096337155852319E-2</v>
      </c>
      <c r="R502" s="293"/>
      <c r="S502" s="293"/>
    </row>
    <row r="503" spans="16:19" x14ac:dyDescent="0.2">
      <c r="P503" s="333">
        <v>9.98</v>
      </c>
      <c r="Q503" s="293">
        <f t="shared" si="7"/>
        <v>2.6987843422315569E-2</v>
      </c>
      <c r="R503" s="293"/>
      <c r="S503" s="293"/>
    </row>
    <row r="504" spans="16:19" x14ac:dyDescent="0.2">
      <c r="P504" s="333">
        <v>10</v>
      </c>
      <c r="Q504" s="293">
        <f t="shared" si="7"/>
        <v>2.6879999999999998E-2</v>
      </c>
      <c r="R504" s="293"/>
      <c r="S504" s="293"/>
    </row>
  </sheetData>
  <mergeCells count="14">
    <mergeCell ref="B2:N3"/>
    <mergeCell ref="Z2:AG3"/>
    <mergeCell ref="AH2:AO3"/>
    <mergeCell ref="U4:V4"/>
    <mergeCell ref="C4:M4"/>
    <mergeCell ref="AA18:AA19"/>
    <mergeCell ref="AB18:AF18"/>
    <mergeCell ref="AA42:AA43"/>
    <mergeCell ref="AB42:AF42"/>
    <mergeCell ref="C5:D5"/>
    <mergeCell ref="F5:I5"/>
    <mergeCell ref="J5:L5"/>
    <mergeCell ref="G8:H8"/>
    <mergeCell ref="G9:H9"/>
  </mergeCells>
  <conditionalFormatting sqref="D8">
    <cfRule type="expression" dxfId="323" priority="14">
      <formula>($C$8&lt;&gt;"Zona :")</formula>
    </cfRule>
  </conditionalFormatting>
  <conditionalFormatting sqref="L6">
    <cfRule type="expression" dxfId="322" priority="13">
      <formula>($K$6&lt;&gt;"Perfil Tipo :")</formula>
    </cfRule>
  </conditionalFormatting>
  <conditionalFormatting sqref="D9:D10">
    <cfRule type="containsErrors" dxfId="321" priority="12">
      <formula>ISERROR(D9)</formula>
    </cfRule>
  </conditionalFormatting>
  <conditionalFormatting sqref="L7:L8">
    <cfRule type="containsErrors" dxfId="320" priority="11">
      <formula>ISERROR(L7)</formula>
    </cfRule>
  </conditionalFormatting>
  <conditionalFormatting sqref="D13:D14">
    <cfRule type="containsErrors" dxfId="319" priority="9">
      <formula>ISERROR(D13)</formula>
    </cfRule>
  </conditionalFormatting>
  <conditionalFormatting sqref="C8:D8">
    <cfRule type="expression" dxfId="318" priority="5">
      <formula>$D$6&lt;&gt;"Bogotá"</formula>
    </cfRule>
    <cfRule type="expression" dxfId="317" priority="7">
      <formula>$D$6="Bogotá"</formula>
    </cfRule>
  </conditionalFormatting>
  <conditionalFormatting sqref="K6:L6">
    <cfRule type="expression" dxfId="316" priority="6">
      <formula>$D$6="Bogotá"</formula>
    </cfRule>
  </conditionalFormatting>
  <conditionalFormatting sqref="G9:H9">
    <cfRule type="containsErrors" dxfId="315" priority="1">
      <formula>ISERROR(G9)</formula>
    </cfRule>
    <cfRule type="containsText" dxfId="314" priority="2" operator="containsText" text="Baja">
      <formula>NOT(ISERROR(SEARCH("Baja",G9)))</formula>
    </cfRule>
    <cfRule type="containsText" dxfId="313" priority="3" operator="containsText" text="Intermedia">
      <formula>NOT(ISERROR(SEARCH("Intermedia",G9)))</formula>
    </cfRule>
    <cfRule type="containsText" dxfId="312" priority="4" operator="containsText" text="Alta">
      <formula>NOT(ISERROR(SEARCH("Alta",G9)))</formula>
    </cfRule>
  </conditionalFormatting>
  <dataValidations disablePrompts="1" count="6">
    <dataValidation type="list" allowBlank="1" showInputMessage="1" showErrorMessage="1" sqref="D8:E8">
      <formula1>$AI$27:$AI$42</formula1>
    </dataValidation>
    <dataValidation type="list" allowBlank="1" showInputMessage="1" showErrorMessage="1" sqref="H6:I6">
      <formula1>$U$5:$U$8</formula1>
    </dataValidation>
    <dataValidation type="list" allowBlank="1" showInputMessage="1" showErrorMessage="1" sqref="L6:M6">
      <formula1>$U$11:$U$16</formula1>
    </dataValidation>
    <dataValidation type="list" allowBlank="1" showInputMessage="1" showErrorMessage="1" sqref="E7">
      <formula1>INDIRECT(E6)</formula1>
    </dataValidation>
    <dataValidation type="list" allowBlank="1" showInputMessage="1" showErrorMessage="1" sqref="D6">
      <formula1>Departamentos</formula1>
    </dataValidation>
    <dataValidation type="list" allowBlank="1" showInputMessage="1" showErrorMessage="1" sqref="D7">
      <formula1>INDIRECT(Dep)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91" fitToHeight="0" orientation="portrait" horizontalDpi="4294967292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Z72"/>
  <sheetViews>
    <sheetView view="pageBreakPreview" topLeftCell="A22" zoomScale="80" zoomScaleNormal="80" zoomScaleSheetLayoutView="80" zoomScalePageLayoutView="70" workbookViewId="0">
      <selection activeCell="M10" sqref="M10"/>
    </sheetView>
  </sheetViews>
  <sheetFormatPr baseColWidth="10" defaultColWidth="11.42578125" defaultRowHeight="14.25" x14ac:dyDescent="0.2"/>
  <cols>
    <col min="1" max="1" width="11.7109375" style="4" customWidth="1"/>
    <col min="2" max="3" width="13" style="4" customWidth="1"/>
    <col min="4" max="4" width="11.28515625" style="4" customWidth="1"/>
    <col min="5" max="5" width="12" style="4" customWidth="1"/>
    <col min="6" max="6" width="12.140625" style="4" customWidth="1"/>
    <col min="7" max="7" width="10.85546875" style="4" customWidth="1"/>
    <col min="8" max="8" width="14.42578125" style="4" customWidth="1"/>
    <col min="9" max="9" width="12.140625" style="4" customWidth="1"/>
    <col min="10" max="16384" width="11.42578125" style="4"/>
  </cols>
  <sheetData>
    <row r="1" spans="1:26" ht="33" customHeight="1" x14ac:dyDescent="0.25">
      <c r="A1" s="574" t="s">
        <v>1211</v>
      </c>
      <c r="B1" s="574"/>
      <c r="C1" s="574"/>
      <c r="D1" s="574"/>
      <c r="E1" s="488"/>
      <c r="F1" s="488"/>
      <c r="G1" s="488"/>
      <c r="H1" s="488"/>
      <c r="I1" s="488"/>
    </row>
    <row r="2" spans="1:26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26" ht="15" customHeight="1" x14ac:dyDescent="0.2">
      <c r="A3" s="42" t="s">
        <v>207</v>
      </c>
      <c r="B3" s="578" t="str">
        <f>+Riostras!C3</f>
        <v>LAMINADO</v>
      </c>
      <c r="C3" s="579"/>
      <c r="D3" s="580"/>
      <c r="E3" s="575" t="str">
        <f>+Riostras!E3</f>
        <v>IPBI 140</v>
      </c>
      <c r="F3" s="576"/>
      <c r="G3" s="576"/>
      <c r="H3" s="576"/>
      <c r="I3" s="577"/>
    </row>
    <row r="4" spans="1:26" ht="15" x14ac:dyDescent="0.2">
      <c r="A4" s="581" t="s">
        <v>208</v>
      </c>
      <c r="B4" s="582"/>
      <c r="C4" s="582"/>
      <c r="D4" s="583"/>
      <c r="E4" s="47" t="str">
        <f>+Riostras!E5</f>
        <v>DMO</v>
      </c>
      <c r="F4" s="6"/>
      <c r="G4" s="6"/>
      <c r="H4" s="6"/>
      <c r="I4" s="6"/>
    </row>
    <row r="5" spans="1:26" x14ac:dyDescent="0.2">
      <c r="A5" s="6"/>
      <c r="B5" s="6"/>
      <c r="C5" s="6"/>
      <c r="D5" s="6"/>
      <c r="E5" s="6"/>
      <c r="F5" s="6"/>
      <c r="G5" s="6"/>
      <c r="H5" s="6"/>
      <c r="I5" s="6"/>
    </row>
    <row r="6" spans="1:26" x14ac:dyDescent="0.2">
      <c r="A6" s="6"/>
      <c r="B6" s="490" t="s">
        <v>216</v>
      </c>
      <c r="C6" s="490"/>
      <c r="D6" s="86">
        <v>200000</v>
      </c>
      <c r="E6" s="92"/>
      <c r="F6" s="540" t="s">
        <v>224</v>
      </c>
      <c r="G6" s="540"/>
      <c r="H6" s="51">
        <f>+Riostras!C40</f>
        <v>0.96</v>
      </c>
      <c r="I6" s="6"/>
    </row>
    <row r="7" spans="1:26" ht="16.5" customHeight="1" x14ac:dyDescent="0.2">
      <c r="A7" s="6"/>
      <c r="B7" s="490" t="s">
        <v>988</v>
      </c>
      <c r="C7" s="490"/>
      <c r="D7" s="86">
        <v>77200</v>
      </c>
      <c r="E7" s="98"/>
      <c r="F7" s="282"/>
      <c r="G7" s="283"/>
      <c r="H7" s="230"/>
      <c r="I7" s="6"/>
    </row>
    <row r="8" spans="1:26" ht="15" customHeight="1" x14ac:dyDescent="0.2">
      <c r="A8" s="6"/>
      <c r="B8" s="490" t="s">
        <v>217</v>
      </c>
      <c r="C8" s="490"/>
      <c r="D8" s="85">
        <v>250</v>
      </c>
      <c r="F8" s="282"/>
      <c r="G8" s="283"/>
      <c r="H8" s="230"/>
      <c r="I8" s="6"/>
    </row>
    <row r="9" spans="1:26" ht="15" customHeight="1" x14ac:dyDescent="0.2">
      <c r="A9" s="6"/>
      <c r="B9" s="99"/>
      <c r="C9" s="6"/>
      <c r="D9" s="6"/>
      <c r="E9" s="99"/>
      <c r="F9" s="282"/>
      <c r="G9" s="283"/>
      <c r="H9" s="230"/>
      <c r="I9" s="6"/>
    </row>
    <row r="10" spans="1:26" ht="15" customHeight="1" x14ac:dyDescent="0.2">
      <c r="A10" s="6"/>
      <c r="B10" s="540" t="s">
        <v>994</v>
      </c>
      <c r="C10" s="540"/>
      <c r="D10" s="51">
        <v>0.9</v>
      </c>
      <c r="E10" s="99"/>
      <c r="F10" s="282"/>
      <c r="G10" s="283"/>
      <c r="H10" s="230"/>
      <c r="I10" s="6"/>
    </row>
    <row r="11" spans="1:26" ht="15" customHeight="1" x14ac:dyDescent="0.2">
      <c r="A11" s="6"/>
      <c r="B11" s="540" t="s">
        <v>230</v>
      </c>
      <c r="C11" s="540"/>
      <c r="D11" s="51">
        <f>+H6/(D10*D8*1000*C19*0.0001)</f>
        <v>1.3588110403397026E-3</v>
      </c>
      <c r="E11" s="99"/>
      <c r="F11" s="164"/>
      <c r="G11" s="164"/>
      <c r="H11" s="230"/>
      <c r="I11" s="6"/>
      <c r="Z11" s="4" t="e">
        <f>'Riostras Fcr'!$D$10*('Riostras Fcr'!C26/100^3)*(((PI()^2)*('Riostras Fcr'!D6*1000))/((MIN('Riostras Fcr'!H14:H15))/SQRT('Datos genericos RIOSTRAS AXIAL'!T11))^2)*SQRT(1+(0.078*(('Riostras Fcr'!#REF!)/('Riostras Fcr'!C31*74.59))*(((MIN('Riostras Fcr'!H20:H21))/(SQRT('Datos genericos RIOSTRAS AXIAL'!T11))))^2))</f>
        <v>#REF!</v>
      </c>
    </row>
    <row r="12" spans="1:26" ht="15" customHeight="1" x14ac:dyDescent="0.2">
      <c r="A12" s="6"/>
      <c r="B12" s="279"/>
      <c r="C12" s="279"/>
      <c r="D12" s="182"/>
      <c r="E12" s="99"/>
      <c r="F12" s="282"/>
      <c r="G12" s="277"/>
      <c r="H12" s="230"/>
      <c r="I12" s="6"/>
    </row>
    <row r="13" spans="1:26" ht="15" customHeight="1" x14ac:dyDescent="0.2">
      <c r="A13" s="6"/>
      <c r="B13" s="6"/>
      <c r="C13" s="272" t="s">
        <v>209</v>
      </c>
      <c r="D13" s="272" t="s">
        <v>210</v>
      </c>
      <c r="E13" s="99"/>
      <c r="F13" s="282"/>
      <c r="G13" s="277"/>
      <c r="H13" s="230"/>
      <c r="I13" s="6"/>
    </row>
    <row r="14" spans="1:26" ht="15" customHeight="1" x14ac:dyDescent="0.35">
      <c r="A14" s="6"/>
      <c r="B14" s="43" t="s">
        <v>194</v>
      </c>
      <c r="C14" s="273" t="str">
        <f>IF(B3="TUBULAR_CIRCULAR",VLOOKUP($E$3,'Tabla Perfiles tubular'!A1:R360,2,FALSE),"N/A")</f>
        <v>N/A</v>
      </c>
      <c r="D14" s="275" t="str">
        <f>IF(C14="N/A","",IF(C14="","","mm"))</f>
        <v/>
      </c>
      <c r="E14" s="99"/>
      <c r="F14" s="565" t="s">
        <v>996</v>
      </c>
      <c r="G14" s="565"/>
      <c r="H14" s="91">
        <f>+Riostras!H14</f>
        <v>2</v>
      </c>
      <c r="I14" s="6"/>
    </row>
    <row r="15" spans="1:26" ht="18.75" x14ac:dyDescent="0.35">
      <c r="A15" s="6"/>
      <c r="B15" s="43" t="str">
        <f>IF(B3="LAMINADO","hw","h")</f>
        <v>hw</v>
      </c>
      <c r="C15" s="275">
        <f>IF(B3="LAMINADO",VLOOKUP(E3,'Tabla Perfiles laminados'!A4:AB460,5,FALSE),(IF(B3="TUBULAR_RECTANGULAR",VLOOKUP(E3,'Tabla Perfiles tubular'!A260:R360,3,FALSE),"N/A")))</f>
        <v>92</v>
      </c>
      <c r="D15" s="275" t="str">
        <f>IF(C15="N/A","",IF(C15="","","mm"))</f>
        <v>mm</v>
      </c>
      <c r="E15" s="99"/>
      <c r="F15" s="565" t="s">
        <v>997</v>
      </c>
      <c r="G15" s="565"/>
      <c r="H15" s="91">
        <f>+Riostras!H14</f>
        <v>2</v>
      </c>
      <c r="I15" s="6"/>
    </row>
    <row r="16" spans="1:26" x14ac:dyDescent="0.2">
      <c r="A16" s="6"/>
      <c r="B16" s="43" t="str">
        <f>IF(B3="LAMINADO","bf","b")</f>
        <v>bf</v>
      </c>
      <c r="C16" s="275">
        <f>IF(B3="LAMINADO",VLOOKUP(E3,'Tabla Perfiles laminados'!A4:AB460,3,FALSE),(IF(B3="TUBULAR_RECTANGULAR",VLOOKUP(E3,'Tabla Perfiles tubular'!A260:R360,4,FALSE),IF(B3="TUBULAR_CUADRADO",VLOOKUP(E3,'Tabla Perfiles tubular'!A171:R259,4,FALSE),"N/A"))))</f>
        <v>140</v>
      </c>
      <c r="D16" s="275" t="str">
        <f>IF(C16="N/A","",IF(C16="","","mm"))</f>
        <v>mm</v>
      </c>
      <c r="E16" s="99"/>
      <c r="F16" s="6"/>
      <c r="G16" s="6"/>
      <c r="H16" s="6"/>
      <c r="I16" s="6"/>
    </row>
    <row r="17" spans="1:9" x14ac:dyDescent="0.2">
      <c r="A17" s="6"/>
      <c r="B17" s="43" t="str">
        <f>IF(B3="LAMINADO","tf","t")</f>
        <v>tf</v>
      </c>
      <c r="C17" s="275">
        <f>IF(B3="LAMINADO",VLOOKUP(E3,'Tabla Perfiles laminados'!A4:AB460,4,FALSE),(IF(B3="TUBULAR_RECTANGULAR",VLOOKUP(E3,'Tabla Perfiles tubular'!A260:R360,5,FALSE),IF(B3="TUBULAR_CUADRADO",VLOOKUP(E3,'Tabla Perfiles tubular'!A171:R259,5,FALSE),IF(B3="TUBULAR_CIRCULAR",VLOOKUP(E3,'Tabla Perfiles tubular'!A3:R170,5,FALSE),"N/A")))))</f>
        <v>8.5</v>
      </c>
      <c r="D17" s="275" t="str">
        <f>IF(C17="N/A","",IF(C17="","","mm"))</f>
        <v>mm</v>
      </c>
      <c r="E17" s="99"/>
      <c r="F17" s="611"/>
      <c r="G17" s="611"/>
      <c r="H17" s="281"/>
      <c r="I17" s="6"/>
    </row>
    <row r="18" spans="1:9" ht="18" x14ac:dyDescent="0.25">
      <c r="A18" s="6"/>
      <c r="B18" s="43" t="s">
        <v>211</v>
      </c>
      <c r="C18" s="275">
        <f>IF(B3="LAMINADO",VLOOKUP($E$3,'Tabla Perfiles laminados'!A1:AB460,6,FALSE),"N/A")</f>
        <v>5.5</v>
      </c>
      <c r="D18" s="275" t="str">
        <f>IF(C18="N/A","",IF(C18="","","mm"))</f>
        <v>mm</v>
      </c>
      <c r="E18" s="99"/>
      <c r="F18" s="611"/>
      <c r="G18" s="611"/>
      <c r="H18" s="165"/>
      <c r="I18" s="6"/>
    </row>
    <row r="19" spans="1:9" ht="18" x14ac:dyDescent="0.25">
      <c r="A19" s="6"/>
      <c r="B19" s="43" t="s">
        <v>221</v>
      </c>
      <c r="C19" s="275">
        <f>IF(B3="LAMINADO",VLOOKUP(E3,'Tabla Perfiles laminados'!A4:AB460,10,FALSE),(IF(B3="TUBULAR_RECTANGULAR",VLOOKUP(E3,'Tabla Perfiles tubular'!A260:R360,7,FALSE),IF(B3="TUBULAR_CUADRADO",VLOOKUP(E3,'Tabla Perfiles tubular'!A171:R259,7,FALSE),IF(B3="TUBULAR_CIRCULAR",VLOOKUP(E3,'Tabla Perfiles tubular'!A3:R170,7,FALSE),"N/A")))))</f>
        <v>31.4</v>
      </c>
      <c r="D19" s="275" t="str">
        <f>IF(C18="","","cm2")</f>
        <v>cm2</v>
      </c>
      <c r="E19" s="99"/>
      <c r="F19" s="99"/>
      <c r="G19" s="99"/>
      <c r="H19" s="99"/>
      <c r="I19" s="6"/>
    </row>
    <row r="20" spans="1:9" x14ac:dyDescent="0.2">
      <c r="A20" s="6"/>
      <c r="B20" s="6"/>
      <c r="C20" s="6"/>
      <c r="D20" s="6"/>
      <c r="E20" s="99"/>
      <c r="F20" s="99"/>
      <c r="G20" s="99"/>
      <c r="H20" s="99"/>
      <c r="I20" s="6"/>
    </row>
    <row r="21" spans="1:9" ht="18" x14ac:dyDescent="0.25">
      <c r="A21" s="6"/>
      <c r="B21" s="43" t="s">
        <v>212</v>
      </c>
      <c r="C21" s="275">
        <f>IF(B3="LAMINADO",VLOOKUP(E3,'Tabla Perfiles laminados'!A4:AB460,14,FALSE),(IF(B3="TUBULAR_RECTANGULAR",VLOOKUP(E3,'Tabla Perfiles tubular'!A260:R360,13,FALSE),IF(B3="TUBULAR_CUADRADO",VLOOKUP(E3,'Tabla Perfiles tubular'!A171:R259,13,FALSE),IF(B3="TUBULAR_CIRCULAR",VLOOKUP(E3,'Tabla Perfiles tubular'!A3:R170,13,FALSE),"N/A")))))</f>
        <v>5.73</v>
      </c>
      <c r="D21" s="275" t="s">
        <v>118</v>
      </c>
      <c r="E21" s="99"/>
      <c r="F21" s="99"/>
      <c r="G21" s="99"/>
      <c r="H21" s="99"/>
      <c r="I21" s="6"/>
    </row>
    <row r="22" spans="1:9" ht="18" x14ac:dyDescent="0.25">
      <c r="A22" s="6"/>
      <c r="B22" s="43" t="s">
        <v>213</v>
      </c>
      <c r="C22" s="275">
        <f>IF(B3="LAMINADO",VLOOKUP(E3,'Tabla Perfiles laminados'!A4:AB460,19,FALSE),(IF(B3="TUBULAR_RECTANGULAR",VLOOKUP(E3,'Tabla Perfiles tubular'!A260:R360,14,FALSE),IF(B3="TUBULAR_CUADRADO",VLOOKUP(E3,'Tabla Perfiles tubular'!A171:R259,14,FALSE),IF(B3="TUBULAR_CIRCULAR",VLOOKUP(E3,'Tabla Perfiles tubular'!A3:R170,14,FALSE),"N/A")))))</f>
        <v>3.52</v>
      </c>
      <c r="D22" s="275" t="s">
        <v>118</v>
      </c>
      <c r="E22" s="99"/>
      <c r="F22" s="99"/>
      <c r="G22" s="99"/>
      <c r="H22" s="99"/>
      <c r="I22" s="48"/>
    </row>
    <row r="23" spans="1:9" x14ac:dyDescent="0.2">
      <c r="A23" s="6"/>
      <c r="B23" s="43" t="s">
        <v>100</v>
      </c>
      <c r="C23" s="275">
        <f>IF(B3="LAMINADO",VLOOKUP(E3,'Tabla Perfiles laminados'!A4:AB460,12,FALSE),(IF(B3="TUBULAR_RECTANGULAR",VLOOKUP(E3,'Tabla Perfiles tubular'!A260:R360,9,FALSE),IF(B3="TUBULAR_CUADRADO",VLOOKUP(E3,'Tabla Perfiles tubular'!A171:R259,9,FALSE),IF(B3="TUBULAR_CIRCULAR",VLOOKUP(E3,'Tabla Perfiles tubular'!A3:R170,9,FALSE),"N/A")))))</f>
        <v>1030</v>
      </c>
      <c r="D23" s="275" t="s">
        <v>116</v>
      </c>
      <c r="E23" s="99"/>
      <c r="F23" s="99"/>
      <c r="G23" s="99"/>
      <c r="H23" s="99"/>
      <c r="I23" s="6"/>
    </row>
    <row r="24" spans="1:9" x14ac:dyDescent="0.2">
      <c r="A24" s="6"/>
      <c r="B24" s="43" t="s">
        <v>105</v>
      </c>
      <c r="C24" s="275">
        <f>IF(B3="LAMINADO",VLOOKUP(E3,'Tabla Perfiles laminados'!A4:AB460,17,FALSE),(IF(B3="TUBULAR_RECTANGULAR",VLOOKUP(E3,'Tabla Perfiles tubular'!A260:R360,10,FALSE),IF(B3="TUBULAR_CUADRADO",VLOOKUP(E3,'Tabla Perfiles tubular'!A171:R259,10,FALSE),IF(B3="TUBULAR_CIRCULAR",VLOOKUP(E3,'Tabla Perfiles tubular'!A3:R170,10,FALSE),"N/A")))))</f>
        <v>389</v>
      </c>
      <c r="D24" s="275" t="s">
        <v>116</v>
      </c>
      <c r="E24" s="99"/>
      <c r="F24" s="99"/>
      <c r="G24" s="99"/>
      <c r="H24" s="99"/>
      <c r="I24" s="6"/>
    </row>
    <row r="25" spans="1:9" x14ac:dyDescent="0.2">
      <c r="A25" s="6"/>
      <c r="B25" s="43" t="s">
        <v>101</v>
      </c>
      <c r="C25" s="275">
        <f>IF(B3="LAMINADO",VLOOKUP(E3,'Tabla Perfiles laminados'!A4:AB460,13,FALSE),(IF(B3="TUBULAR_RECTANGULAR",VLOOKUP(E3,'Tabla Perfiles tubular'!A260:R360,11,FALSE),IF(B3="TUBULAR_CUADRADO",VLOOKUP(E3,'Tabla Perfiles tubular'!A171:R259,11,FALSE),IF(B3="TUBULAR_CIRCULAR",VLOOKUP(E3,'Tabla Perfiles tubular'!A3:R170,11,FALSE),"N/A")))))</f>
        <v>155</v>
      </c>
      <c r="D25" s="275" t="s">
        <v>117</v>
      </c>
      <c r="E25" s="99"/>
      <c r="F25" s="99"/>
      <c r="G25" s="99"/>
      <c r="H25" s="99"/>
      <c r="I25" s="6"/>
    </row>
    <row r="26" spans="1:9" x14ac:dyDescent="0.2">
      <c r="A26" s="6"/>
      <c r="B26" s="43" t="s">
        <v>106</v>
      </c>
      <c r="C26" s="275">
        <f>IF(B3="LAMINADO",VLOOKUP(E3,'Tabla Perfiles laminados'!A4:AB460,18,FALSE),(IF(B3="TUBULAR_RECTANGULAR",VLOOKUP(E3,'Tabla Perfiles tubular'!A260:R360,12,FALSE),IF(B3="TUBULAR_CUADRADO",VLOOKUP(E3,'Tabla Perfiles tubular'!A171:R259,12,FALSE),IF(B3="TUBULAR_CIRCULAR",VLOOKUP(E3,'Tabla Perfiles tubular'!A3:R170,12,FALSE),"N/A")))))</f>
        <v>55.6</v>
      </c>
      <c r="D26" s="275" t="s">
        <v>117</v>
      </c>
      <c r="E26" s="99"/>
      <c r="F26" s="99"/>
      <c r="G26" s="99"/>
      <c r="H26" s="99"/>
      <c r="I26" s="6"/>
    </row>
    <row r="27" spans="1:9" x14ac:dyDescent="0.2">
      <c r="A27" s="6"/>
      <c r="B27" s="43" t="s">
        <v>104</v>
      </c>
      <c r="C27" s="275">
        <f>IF(B3="LAMINADO",VLOOKUP(E3,'Tabla Perfiles laminados'!A4:AB460,16,FALSE),(IF(B3="TUBULAR_RECTANGULAR",VLOOKUP(E3,'Tabla Perfiles tubular'!A260:R360,15,FALSE),IF(B3="TUBULAR_CUADRADO",VLOOKUP(E3,'Tabla Perfiles tubular'!A171:R259,15,FALSE),IF(B3="TUBULAR_CIRCULAR",VLOOKUP(E3,'Tabla Perfiles tubular'!A3:R170,15,FALSE),"N/A")))))</f>
        <v>173</v>
      </c>
      <c r="D27" s="275" t="s">
        <v>117</v>
      </c>
      <c r="E27" s="99"/>
      <c r="F27" s="99"/>
      <c r="G27" s="99"/>
      <c r="H27" s="99"/>
      <c r="I27" s="6"/>
    </row>
    <row r="28" spans="1:9" x14ac:dyDescent="0.2">
      <c r="A28" s="6"/>
      <c r="B28" s="43" t="s">
        <v>110</v>
      </c>
      <c r="C28" s="275">
        <f>IF(B3="LAMINADO",VLOOKUP(E3,'Tabla Perfiles laminados'!A4:AB460,22,FALSE),(IF(B3="TUBULAR_RECTANGULAR",VLOOKUP(E3,'Tabla Perfiles tubular'!A260:R360,16,FALSE),IF(B3="TUBULAR_CUADRADO",VLOOKUP(E3,'Tabla Perfiles tubular'!A171:R259,16,FALSE),IF(B3="TUBULAR_CIRCULAR",VLOOKUP(E3,'Tabla Perfiles tubular'!A3:R170,16,FALSE),"N/A")))))</f>
        <v>84.2</v>
      </c>
      <c r="D28" s="275" t="s">
        <v>117</v>
      </c>
      <c r="E28" s="99"/>
      <c r="F28" s="99"/>
      <c r="G28" s="99"/>
      <c r="H28" s="99"/>
      <c r="I28" s="6"/>
    </row>
    <row r="29" spans="1:9" x14ac:dyDescent="0.2">
      <c r="A29" s="6"/>
      <c r="B29" s="43" t="s">
        <v>88</v>
      </c>
      <c r="C29" s="275">
        <f>IF(B3="LAMINADO",VLOOKUP(E3,'Tabla Perfiles laminados'!A4:AB460,24,FALSE),"N/A")</f>
        <v>15060</v>
      </c>
      <c r="D29" s="275" t="s">
        <v>119</v>
      </c>
      <c r="E29" s="99"/>
      <c r="F29" s="99"/>
      <c r="G29" s="99"/>
      <c r="H29" s="99"/>
      <c r="I29" s="6"/>
    </row>
    <row r="30" spans="1:9" x14ac:dyDescent="0.2">
      <c r="A30" s="6"/>
      <c r="B30" s="43" t="s">
        <v>87</v>
      </c>
      <c r="C30" s="275">
        <f>IF(B3="LAMINADO",VLOOKUP(E3,'Tabla Perfiles laminados'!A4:AB460,23,FALSE),"N/A")</f>
        <v>6.38</v>
      </c>
      <c r="D30" s="275" t="s">
        <v>116</v>
      </c>
      <c r="E30" s="99"/>
      <c r="F30" s="99"/>
      <c r="G30" s="99"/>
      <c r="H30" s="99"/>
      <c r="I30" s="6"/>
    </row>
    <row r="31" spans="1:9" x14ac:dyDescent="0.2">
      <c r="A31" s="6"/>
      <c r="B31" s="43" t="s">
        <v>998</v>
      </c>
      <c r="C31" s="275" t="str">
        <f>VLOOKUP(E3,'Tabla Perfiles laminados'!A4:AB460,28,FALSE)</f>
        <v>N/A</v>
      </c>
      <c r="D31" s="275" t="str">
        <f>IF(B31="","","cm")</f>
        <v>cm</v>
      </c>
      <c r="E31" s="99"/>
      <c r="F31" s="99"/>
      <c r="G31" s="99"/>
      <c r="H31" s="99"/>
      <c r="I31" s="6"/>
    </row>
    <row r="32" spans="1:9" x14ac:dyDescent="0.2">
      <c r="A32" s="6"/>
      <c r="B32" s="43" t="s">
        <v>999</v>
      </c>
      <c r="C32" s="275" t="str">
        <f>IF(C31="N/A","N/A",0)</f>
        <v>N/A</v>
      </c>
      <c r="D32" s="275" t="str">
        <f>IF(B32="","","cm")</f>
        <v>cm</v>
      </c>
      <c r="E32" s="6" t="s">
        <v>1018</v>
      </c>
      <c r="F32" s="6"/>
      <c r="G32" s="6"/>
      <c r="H32" s="6"/>
      <c r="I32" s="6"/>
    </row>
    <row r="33" spans="1:9" x14ac:dyDescent="0.2">
      <c r="A33" s="6"/>
      <c r="B33" s="6"/>
      <c r="C33" s="6"/>
      <c r="D33" s="6"/>
      <c r="E33" s="6"/>
      <c r="F33" s="6"/>
      <c r="G33" s="6"/>
      <c r="H33" s="6"/>
      <c r="I33" s="6"/>
    </row>
    <row r="34" spans="1:9" s="6" customFormat="1" x14ac:dyDescent="0.2">
      <c r="B34" s="5"/>
      <c r="C34" s="278"/>
      <c r="D34" s="278"/>
      <c r="F34" s="180"/>
      <c r="G34" s="180"/>
      <c r="H34" s="181"/>
    </row>
    <row r="35" spans="1:9" ht="20.25" customHeight="1" x14ac:dyDescent="0.2">
      <c r="A35" s="519" t="s">
        <v>593</v>
      </c>
      <c r="B35" s="520"/>
      <c r="C35" s="520"/>
      <c r="D35" s="520"/>
      <c r="E35" s="520"/>
      <c r="F35" s="520"/>
      <c r="G35" s="520"/>
      <c r="H35" s="520"/>
      <c r="I35" s="521"/>
    </row>
    <row r="36" spans="1:9" x14ac:dyDescent="0.2">
      <c r="A36" s="6"/>
      <c r="B36" s="6"/>
      <c r="C36" s="6"/>
      <c r="D36" s="6"/>
      <c r="F36" s="6"/>
      <c r="G36" s="6"/>
      <c r="H36" s="6"/>
      <c r="I36" s="6"/>
    </row>
    <row r="37" spans="1:9" x14ac:dyDescent="0.2">
      <c r="B37" s="524" t="s">
        <v>594</v>
      </c>
      <c r="C37" s="525"/>
      <c r="D37" s="275">
        <v>1</v>
      </c>
      <c r="E37" s="6"/>
      <c r="F37" s="6"/>
      <c r="G37" s="6"/>
      <c r="H37" s="6"/>
      <c r="I37" s="6"/>
    </row>
    <row r="38" spans="1:9" x14ac:dyDescent="0.2">
      <c r="A38" s="6"/>
      <c r="B38" s="6"/>
      <c r="C38" s="6"/>
      <c r="D38" s="6"/>
      <c r="E38" s="6"/>
      <c r="F38" s="6"/>
      <c r="G38" s="6"/>
      <c r="H38" s="6"/>
      <c r="I38" s="6"/>
    </row>
    <row r="39" spans="1:9" ht="26.25" customHeight="1" x14ac:dyDescent="0.2">
      <c r="A39" s="6"/>
      <c r="B39" s="275" t="s">
        <v>595</v>
      </c>
      <c r="C39" s="273">
        <f>IF(E3="","",($D$37*($H$14*100))/(C21))</f>
        <v>34.904013961605585</v>
      </c>
      <c r="D39" s="274" t="s">
        <v>214</v>
      </c>
      <c r="E39" s="275">
        <v>200</v>
      </c>
      <c r="F39" s="275" t="str">
        <f>IF(C39="","",IF(C39&lt;=E39,"No esbelto","Esbelto"))</f>
        <v>No esbelto</v>
      </c>
      <c r="G39" s="6"/>
      <c r="H39" s="163"/>
      <c r="I39" s="6"/>
    </row>
    <row r="40" spans="1:9" ht="26.25" customHeight="1" x14ac:dyDescent="0.2">
      <c r="A40" s="6"/>
      <c r="B40" s="275" t="s">
        <v>596</v>
      </c>
      <c r="C40" s="273">
        <f>IF(E3="","",($D$37*($H$15*100))/(C22))</f>
        <v>56.81818181818182</v>
      </c>
      <c r="D40" s="274" t="s">
        <v>214</v>
      </c>
      <c r="E40" s="275">
        <v>200</v>
      </c>
      <c r="F40" s="275" t="str">
        <f>IF(C40="","",IF(C40&lt;=E40,"No esbelto","Esbelto"))</f>
        <v>No esbelto</v>
      </c>
      <c r="G40" s="6"/>
      <c r="H40" s="163"/>
      <c r="I40" s="6"/>
    </row>
    <row r="41" spans="1:9" x14ac:dyDescent="0.2">
      <c r="A41" s="6"/>
      <c r="B41" s="6"/>
      <c r="C41" s="6"/>
      <c r="D41" s="6"/>
      <c r="E41" s="6"/>
      <c r="F41" s="6"/>
      <c r="G41" s="6"/>
      <c r="H41" s="6"/>
      <c r="I41" s="6"/>
    </row>
    <row r="42" spans="1:9" ht="20.25" customHeight="1" x14ac:dyDescent="0.2">
      <c r="A42" s="519" t="s">
        <v>597</v>
      </c>
      <c r="B42" s="520"/>
      <c r="C42" s="520"/>
      <c r="D42" s="520"/>
      <c r="E42" s="520"/>
      <c r="F42" s="520"/>
      <c r="G42" s="520"/>
      <c r="H42" s="520"/>
      <c r="I42" s="521"/>
    </row>
    <row r="43" spans="1:9" x14ac:dyDescent="0.2">
      <c r="A43" s="6"/>
      <c r="B43" s="6"/>
      <c r="C43" s="6"/>
      <c r="D43" s="6"/>
      <c r="E43" s="6"/>
      <c r="F43" s="6"/>
      <c r="G43" s="6"/>
      <c r="H43" s="6"/>
      <c r="I43" s="6"/>
    </row>
    <row r="44" spans="1:9" ht="15" x14ac:dyDescent="0.25">
      <c r="A44" s="92"/>
      <c r="B44" s="530" t="s">
        <v>987</v>
      </c>
      <c r="C44" s="530"/>
      <c r="D44" s="530"/>
      <c r="E44" s="530"/>
      <c r="F44" s="530"/>
      <c r="G44" s="530"/>
      <c r="H44" s="530"/>
      <c r="I44" s="6"/>
    </row>
    <row r="45" spans="1:9" x14ac:dyDescent="0.2">
      <c r="A45" s="6"/>
      <c r="B45" s="6"/>
      <c r="C45" s="6"/>
      <c r="D45" s="6"/>
      <c r="E45" s="6"/>
      <c r="F45" s="6"/>
      <c r="G45" s="6"/>
      <c r="H45" s="6"/>
      <c r="I45" s="6"/>
    </row>
    <row r="46" spans="1:9" ht="15" x14ac:dyDescent="0.25">
      <c r="B46" s="530" t="s">
        <v>984</v>
      </c>
      <c r="C46" s="530"/>
      <c r="D46" s="530" t="s">
        <v>985</v>
      </c>
      <c r="E46" s="530"/>
      <c r="F46" s="530" t="s">
        <v>986</v>
      </c>
      <c r="G46" s="530"/>
      <c r="H46" s="530"/>
      <c r="I46" s="6"/>
    </row>
    <row r="47" spans="1:9" x14ac:dyDescent="0.2">
      <c r="A47" s="6"/>
      <c r="B47" s="540" t="str">
        <f>IF(VLOOKUP('Datos genericos RIOSTRAS AXIAL'!L6,'Datos genericos RIOSTRAS AXIAL'!L8:P20,3,FALSE)=1,"Aplica","No aplica")</f>
        <v>Aplica</v>
      </c>
      <c r="C47" s="540"/>
      <c r="D47" s="540" t="str">
        <f>IF(VLOOKUP('Datos genericos RIOSTRAS AXIAL'!L6,'Datos genericos RIOSTRAS AXIAL'!L8:P20,4,FALSE)=1,"Aplica","No aplica")</f>
        <v>Aplica</v>
      </c>
      <c r="E47" s="540"/>
      <c r="F47" s="540" t="str">
        <f>IF(VLOOKUP('Datos genericos RIOSTRAS AXIAL'!L6,'Datos genericos RIOSTRAS AXIAL'!L8:P20,5,FALSE)=1,"Aplica","No aplica")</f>
        <v>No aplica</v>
      </c>
      <c r="G47" s="540"/>
      <c r="H47" s="540"/>
      <c r="I47" s="6"/>
    </row>
    <row r="48" spans="1:9" x14ac:dyDescent="0.2">
      <c r="A48" s="6"/>
      <c r="B48" s="6"/>
      <c r="C48" s="6"/>
      <c r="D48" s="6"/>
      <c r="E48" s="6"/>
      <c r="F48" s="6"/>
      <c r="G48" s="6"/>
      <c r="H48" s="6"/>
      <c r="I48" s="6"/>
    </row>
    <row r="49" spans="1:9" hidden="1" x14ac:dyDescent="0.2">
      <c r="A49" s="6"/>
      <c r="B49" s="541">
        <f>+(((PI()^2)*$D$6)/(MAX(C39:C40)^2))</f>
        <v>611.44173185628779</v>
      </c>
      <c r="C49" s="541"/>
      <c r="D49" s="541">
        <f>((((PI()^2)*$D$6*($C$29))/((D37*($H$14*100))^2))+($D$7*($C$30)))*(1/($C$23+$C$24))</f>
        <v>870.83665356027404</v>
      </c>
      <c r="E49" s="541"/>
      <c r="F49" s="95">
        <f>(((PI()^2)*$D$6)/(C39^2))</f>
        <v>1620.2386717026341</v>
      </c>
      <c r="G49" s="95" t="e">
        <f>((((PI()^2)*$D$6*($C$29))/((D37*($H$14*100))^2))+($D$7*($C$30)))*(1/($C$19*(($C$31^2)+($C$32^2)+(($C$23+$C$24)/$C$19))))</f>
        <v>#VALUE!</v>
      </c>
      <c r="H49" s="95" t="e">
        <f>(($F$49+$G$49)/(2*(1-(((C31^2)+(C32^2))/((($C$31^2)+($C$32^2)+(($C$23+$C$24)/$C$19)))))))*(1-(SQRT(1-((4*$F$49*$G$49*((1-(((C31^2)+(C32^2))/((($C$31^2)+($C$32^2)+(($C$23+$C$24)/$C$19)))))))/((($F$49+$G$49)^2))))))</f>
        <v>#VALUE!</v>
      </c>
      <c r="I49" s="6"/>
    </row>
    <row r="50" spans="1:9" ht="15" x14ac:dyDescent="0.25">
      <c r="A50" s="6"/>
      <c r="B50" s="528" t="s">
        <v>989</v>
      </c>
      <c r="C50" s="528"/>
      <c r="D50" s="528"/>
      <c r="E50" s="528"/>
      <c r="F50" s="528"/>
      <c r="G50" s="528"/>
      <c r="H50" s="528"/>
      <c r="I50" s="6"/>
    </row>
    <row r="51" spans="1:9" x14ac:dyDescent="0.2">
      <c r="A51" s="6"/>
      <c r="B51" s="94">
        <f>+IF(B47="No aplica","",IF((MAX(C39:C40)&lt;=(4.71*SQRT($D$6/$D$8))),((0.658^($D$8/(B49)))*$D$8),(0.877*B49)))</f>
        <v>210.67746478376392</v>
      </c>
      <c r="C51" s="94" t="str">
        <f>IF(B51="","","MPa")</f>
        <v>MPa</v>
      </c>
      <c r="D51" s="93">
        <f>+IF(D47="No aplica","",IF((MAX(C39:C40)&lt;=(4.71*SQRT($D$6/$D$8))),((0.658^($D$8/(D49)))*$D$8),(0.877*D49)))</f>
        <v>221.69518136342393</v>
      </c>
      <c r="E51" s="93" t="str">
        <f>IF(D51="","","MPa")</f>
        <v>MPa</v>
      </c>
      <c r="F51" s="542" t="str">
        <f>IF(F47="No aplica","",IF((MAX(C39:C40)&lt;=(4.71*SQRT($D$6/$D$8))),((0.658^($D$8/(H49)))*$D$8),(0.877*H49)))</f>
        <v/>
      </c>
      <c r="G51" s="543"/>
      <c r="H51" s="93" t="str">
        <f>IF(F51="","","MPa")</f>
        <v/>
      </c>
      <c r="I51" s="6"/>
    </row>
    <row r="52" spans="1:9" x14ac:dyDescent="0.2">
      <c r="A52" s="6"/>
      <c r="B52" s="6"/>
      <c r="C52" s="6"/>
      <c r="D52" s="6"/>
      <c r="E52" s="6"/>
      <c r="F52" s="6"/>
      <c r="G52" s="6"/>
      <c r="H52" s="6"/>
      <c r="I52" s="6"/>
    </row>
    <row r="53" spans="1:9" ht="16.5" x14ac:dyDescent="0.3">
      <c r="A53" s="6"/>
      <c r="B53" s="528" t="s">
        <v>995</v>
      </c>
      <c r="C53" s="528"/>
      <c r="D53" s="528"/>
      <c r="E53" s="528"/>
      <c r="F53" s="528"/>
      <c r="G53" s="528"/>
      <c r="H53" s="528"/>
      <c r="I53" s="6"/>
    </row>
    <row r="54" spans="1:9" x14ac:dyDescent="0.2">
      <c r="A54" s="6"/>
      <c r="B54" s="273">
        <f>IF(B47="No aplica","",0.9*(B51*($C$19*0.0001)*1000))</f>
        <v>595.37451547891692</v>
      </c>
      <c r="C54" s="275" t="str">
        <f>IF(B54="","","kN")</f>
        <v>kN</v>
      </c>
      <c r="D54" s="275">
        <f>IF(D47="No aplica","",0.9*(D51*($C$19*0.0001)*1000))</f>
        <v>626.51058253303597</v>
      </c>
      <c r="E54" s="275" t="str">
        <f>IF(D54="","","Mpa")</f>
        <v>Mpa</v>
      </c>
      <c r="F54" s="529" t="str">
        <f>IF(F47="No aplica","",0.9*(F51*($C$19*0.0001)*1000))</f>
        <v/>
      </c>
      <c r="G54" s="529"/>
      <c r="H54" s="275" t="str">
        <f>IF(F54="","","Mpa")</f>
        <v/>
      </c>
      <c r="I54" s="6"/>
    </row>
    <row r="55" spans="1:9" x14ac:dyDescent="0.2">
      <c r="A55" s="6"/>
      <c r="B55" s="6"/>
      <c r="C55" s="6"/>
      <c r="D55" s="6"/>
      <c r="E55" s="6"/>
      <c r="F55" s="6"/>
      <c r="G55" s="6"/>
      <c r="H55" s="6"/>
      <c r="I55" s="6"/>
    </row>
    <row r="56" spans="1:9" ht="28.5" customHeight="1" x14ac:dyDescent="0.2">
      <c r="B56" s="275" t="s">
        <v>991</v>
      </c>
      <c r="C56" s="276">
        <f>IF(E3="","",MIN(B54,D54,F54))</f>
        <v>595.37451547891692</v>
      </c>
      <c r="D56" s="274"/>
      <c r="E56" s="163"/>
      <c r="F56" s="163"/>
      <c r="G56" s="163"/>
      <c r="H56" s="163"/>
      <c r="I56" s="6"/>
    </row>
    <row r="57" spans="1:9" x14ac:dyDescent="0.2">
      <c r="A57" s="6"/>
      <c r="B57" s="6"/>
      <c r="C57" s="6"/>
      <c r="D57" s="6"/>
      <c r="E57" s="6"/>
      <c r="F57" s="6"/>
      <c r="G57" s="6"/>
      <c r="H57" s="6"/>
      <c r="I57" s="6"/>
    </row>
    <row r="58" spans="1:9" x14ac:dyDescent="0.2">
      <c r="A58" s="6"/>
      <c r="B58" s="6"/>
      <c r="C58" s="6"/>
      <c r="D58" s="6"/>
      <c r="E58" s="6"/>
      <c r="F58" s="6"/>
      <c r="G58" s="6"/>
      <c r="H58" s="6"/>
      <c r="I58" s="6"/>
    </row>
    <row r="59" spans="1:9" x14ac:dyDescent="0.2">
      <c r="A59" s="6"/>
      <c r="B59" s="6"/>
      <c r="C59" s="6"/>
      <c r="D59" s="6"/>
      <c r="E59" s="6"/>
      <c r="F59" s="6"/>
      <c r="G59" s="6"/>
      <c r="H59" s="6"/>
      <c r="I59" s="6"/>
    </row>
    <row r="60" spans="1:9" x14ac:dyDescent="0.2">
      <c r="A60" s="6"/>
      <c r="B60" s="6"/>
      <c r="C60" s="6"/>
      <c r="D60" s="6"/>
      <c r="E60" s="6"/>
      <c r="F60" s="6"/>
      <c r="G60" s="6"/>
      <c r="H60" s="6"/>
      <c r="I60" s="6"/>
    </row>
    <row r="61" spans="1:9" x14ac:dyDescent="0.2">
      <c r="A61" s="6"/>
      <c r="B61" s="6"/>
      <c r="C61" s="6"/>
      <c r="D61" s="6"/>
      <c r="E61" s="6"/>
      <c r="F61" s="6"/>
      <c r="G61" s="6"/>
      <c r="H61" s="6"/>
      <c r="I61" s="6"/>
    </row>
    <row r="62" spans="1:9" x14ac:dyDescent="0.2">
      <c r="A62" s="6"/>
      <c r="B62" s="6"/>
      <c r="C62" s="6"/>
      <c r="D62" s="6"/>
      <c r="E62" s="6"/>
      <c r="F62" s="6"/>
      <c r="G62" s="6"/>
      <c r="H62" s="6"/>
      <c r="I62" s="6"/>
    </row>
    <row r="63" spans="1:9" x14ac:dyDescent="0.2">
      <c r="A63" s="6"/>
      <c r="B63" s="6"/>
      <c r="C63" s="6"/>
      <c r="D63" s="6"/>
      <c r="E63" s="6"/>
      <c r="F63" s="6"/>
      <c r="G63" s="6"/>
      <c r="H63" s="6"/>
      <c r="I63" s="6"/>
    </row>
    <row r="64" spans="1:9" x14ac:dyDescent="0.2">
      <c r="A64" s="6"/>
      <c r="B64" s="6"/>
      <c r="C64" s="6"/>
      <c r="D64" s="6"/>
      <c r="E64" s="6"/>
      <c r="F64" s="6"/>
      <c r="G64" s="6"/>
      <c r="H64" s="6"/>
      <c r="I64" s="6"/>
    </row>
    <row r="65" spans="1:9" x14ac:dyDescent="0.2">
      <c r="A65" s="6"/>
      <c r="B65" s="6"/>
      <c r="C65" s="6"/>
      <c r="D65" s="6"/>
      <c r="E65" s="6"/>
      <c r="F65" s="6"/>
      <c r="G65" s="6"/>
      <c r="H65" s="6"/>
      <c r="I65" s="6"/>
    </row>
    <row r="66" spans="1:9" x14ac:dyDescent="0.2">
      <c r="A66" s="6"/>
      <c r="B66" s="6"/>
      <c r="C66" s="6"/>
      <c r="D66" s="6"/>
      <c r="E66" s="6"/>
      <c r="F66" s="6"/>
      <c r="G66" s="6"/>
      <c r="H66" s="6"/>
      <c r="I66" s="6"/>
    </row>
    <row r="67" spans="1:9" x14ac:dyDescent="0.2">
      <c r="A67" s="6"/>
      <c r="B67" s="6"/>
      <c r="C67" s="6"/>
      <c r="D67" s="6"/>
      <c r="E67" s="6"/>
      <c r="F67" s="6"/>
      <c r="G67" s="6"/>
      <c r="H67" s="6"/>
      <c r="I67" s="6"/>
    </row>
    <row r="68" spans="1:9" x14ac:dyDescent="0.2">
      <c r="A68" s="6"/>
      <c r="B68" s="6"/>
      <c r="C68" s="6"/>
      <c r="D68" s="6"/>
      <c r="E68" s="6"/>
      <c r="F68" s="6"/>
      <c r="G68" s="6"/>
      <c r="H68" s="6"/>
      <c r="I68" s="6"/>
    </row>
    <row r="69" spans="1:9" x14ac:dyDescent="0.2">
      <c r="A69" s="6"/>
      <c r="B69" s="6"/>
      <c r="C69" s="6"/>
      <c r="D69" s="6"/>
      <c r="E69" s="6"/>
      <c r="F69" s="6"/>
      <c r="G69" s="6"/>
      <c r="H69" s="6"/>
      <c r="I69" s="6"/>
    </row>
    <row r="70" spans="1:9" x14ac:dyDescent="0.2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">
      <c r="A72" s="6"/>
      <c r="B72" s="6"/>
      <c r="C72" s="6"/>
      <c r="D72" s="6"/>
      <c r="E72" s="6"/>
      <c r="F72" s="6"/>
      <c r="G72" s="6"/>
      <c r="H72" s="6"/>
      <c r="I72" s="6"/>
    </row>
  </sheetData>
  <sheetProtection selectLockedCells="1" selectUnlockedCells="1"/>
  <mergeCells count="31">
    <mergeCell ref="B7:C7"/>
    <mergeCell ref="B8:C8"/>
    <mergeCell ref="B10:C10"/>
    <mergeCell ref="B11:C11"/>
    <mergeCell ref="A1:I1"/>
    <mergeCell ref="A2:I2"/>
    <mergeCell ref="B3:D3"/>
    <mergeCell ref="E3:I3"/>
    <mergeCell ref="A4:D4"/>
    <mergeCell ref="B6:C6"/>
    <mergeCell ref="F6:G6"/>
    <mergeCell ref="A35:I35"/>
    <mergeCell ref="B37:C37"/>
    <mergeCell ref="A42:I42"/>
    <mergeCell ref="B44:H44"/>
    <mergeCell ref="F14:G14"/>
    <mergeCell ref="F15:G15"/>
    <mergeCell ref="F17:G17"/>
    <mergeCell ref="F18:G18"/>
    <mergeCell ref="F54:G54"/>
    <mergeCell ref="B46:C46"/>
    <mergeCell ref="D46:E46"/>
    <mergeCell ref="F46:H46"/>
    <mergeCell ref="B47:C47"/>
    <mergeCell ref="D47:E47"/>
    <mergeCell ref="F47:H47"/>
    <mergeCell ref="B49:C49"/>
    <mergeCell ref="D49:E49"/>
    <mergeCell ref="B50:H50"/>
    <mergeCell ref="F51:G51"/>
    <mergeCell ref="B53:H53"/>
  </mergeCells>
  <conditionalFormatting sqref="C14:D30 E32:E34">
    <cfRule type="containsErrors" dxfId="11" priority="65" stopIfTrue="1">
      <formula>ISERROR(C14)</formula>
    </cfRule>
  </conditionalFormatting>
  <conditionalFormatting sqref="D11:D12">
    <cfRule type="containsErrors" dxfId="10" priority="30">
      <formula>ISERROR(D11)</formula>
    </cfRule>
  </conditionalFormatting>
  <conditionalFormatting sqref="F39">
    <cfRule type="containsText" dxfId="9" priority="27" operator="containsText" text="No esbelto">
      <formula>NOT(ISERROR(SEARCH("No esbelto",F39)))</formula>
    </cfRule>
    <cfRule type="containsText" dxfId="8" priority="28" operator="containsText" text="Esbelto">
      <formula>NOT(ISERROR(SEARCH("Esbelto",F39)))</formula>
    </cfRule>
  </conditionalFormatting>
  <conditionalFormatting sqref="F40">
    <cfRule type="containsText" dxfId="7" priority="25" operator="containsText" text="No esbelto">
      <formula>NOT(ISERROR(SEARCH("No esbelto",F40)))</formula>
    </cfRule>
    <cfRule type="containsText" dxfId="6" priority="26" operator="containsText" text="Esbelto">
      <formula>NOT(ISERROR(SEARCH("Esbelto",F40)))</formula>
    </cfRule>
  </conditionalFormatting>
  <conditionalFormatting sqref="B51:H51 B54:H54 B47:H47">
    <cfRule type="containsErrors" dxfId="5" priority="24">
      <formula>ISERROR(B47)</formula>
    </cfRule>
  </conditionalFormatting>
  <conditionalFormatting sqref="H39">
    <cfRule type="containsText" dxfId="4" priority="19" operator="containsText" text="No cumple">
      <formula>NOT(ISERROR(SEARCH("No cumple",H39)))</formula>
    </cfRule>
    <cfRule type="containsText" dxfId="3" priority="20" operator="containsText" text="Cumple">
      <formula>NOT(ISERROR(SEARCH("Cumple",H39)))</formula>
    </cfRule>
  </conditionalFormatting>
  <conditionalFormatting sqref="F34:G34">
    <cfRule type="expression" dxfId="2" priority="11">
      <formula>$H$33="no"</formula>
    </cfRule>
  </conditionalFormatting>
  <conditionalFormatting sqref="H34">
    <cfRule type="expression" dxfId="1" priority="10">
      <formula>$H$33="no"</formula>
    </cfRule>
  </conditionalFormatting>
  <conditionalFormatting sqref="H17:H18 C31:C32">
    <cfRule type="containsErrors" dxfId="0" priority="7">
      <formula>ISERROR(C17)</formula>
    </cfRule>
  </conditionalFormatting>
  <pageMargins left="0.7" right="0.7" top="0.75" bottom="0.75" header="0.3" footer="0.3"/>
  <pageSetup paperSize="9" scale="5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'Datos genericos RIOSTRAS AXIAL'!$C$2:$C$4</xm:f>
          </x14:formula1>
          <xm:sqref>E4</xm:sqref>
        </x14:dataValidation>
        <x14:dataValidation type="list" allowBlank="1" showInputMessage="1" showErrorMessage="1">
          <x14:formula1>
            <xm:f>'Datos genericos RIOSTRAS AXIAL'!$A$2:$A$3</xm:f>
          </x14:formula1>
          <xm:sqref>D8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R11"/>
  <sheetViews>
    <sheetView topLeftCell="I3" zoomScale="55" zoomScaleNormal="55" workbookViewId="0">
      <selection activeCell="M10" sqref="M10"/>
    </sheetView>
  </sheetViews>
  <sheetFormatPr baseColWidth="10" defaultRowHeight="15" x14ac:dyDescent="0.25"/>
  <cols>
    <col min="1" max="1" width="14.5703125" bestFit="1" customWidth="1"/>
    <col min="6" max="6" width="5.28515625" bestFit="1" customWidth="1"/>
    <col min="8" max="8" width="15.28515625" customWidth="1"/>
    <col min="17" max="17" width="15" bestFit="1" customWidth="1"/>
    <col min="18" max="18" width="33" customWidth="1"/>
  </cols>
  <sheetData>
    <row r="1" spans="1:18" ht="30" x14ac:dyDescent="0.25">
      <c r="B1" s="674" t="s">
        <v>1146</v>
      </c>
      <c r="C1" s="674"/>
      <c r="E1" s="674" t="s">
        <v>1154</v>
      </c>
      <c r="F1" s="674"/>
      <c r="G1" s="674"/>
      <c r="H1" s="238" t="s">
        <v>1161</v>
      </c>
      <c r="N1" t="s">
        <v>1210</v>
      </c>
    </row>
    <row r="2" spans="1:18" ht="27.75" customHeight="1" x14ac:dyDescent="0.25">
      <c r="B2" s="685" t="s">
        <v>1147</v>
      </c>
      <c r="C2" s="685"/>
      <c r="E2" s="220">
        <v>3</v>
      </c>
      <c r="F2" s="221">
        <f t="shared" ref="F2:F7" si="0">+E2/8</f>
        <v>0.375</v>
      </c>
      <c r="G2" s="220">
        <f t="shared" ref="G2:G7" si="1">+F2*25.4</f>
        <v>9.5249999999999986</v>
      </c>
      <c r="H2">
        <f>+G2*1.5</f>
        <v>14.287499999999998</v>
      </c>
      <c r="J2" s="685" t="s">
        <v>1181</v>
      </c>
      <c r="K2" s="685"/>
      <c r="L2" s="238" t="s">
        <v>1179</v>
      </c>
      <c r="N2" t="s">
        <v>76</v>
      </c>
      <c r="O2">
        <f>0.5*('Conexiones a corte y momento'!D23/1000000)*('Conexiones a corte y momento'!D9*1000)</f>
        <v>109.89999999999999</v>
      </c>
    </row>
    <row r="3" spans="1:18" x14ac:dyDescent="0.25">
      <c r="B3" t="s">
        <v>1144</v>
      </c>
      <c r="C3" t="s">
        <v>1145</v>
      </c>
      <c r="E3" s="220">
        <v>4</v>
      </c>
      <c r="F3" s="221">
        <f t="shared" si="0"/>
        <v>0.5</v>
      </c>
      <c r="G3" s="220">
        <f t="shared" si="1"/>
        <v>12.7</v>
      </c>
      <c r="H3">
        <v>19.100000000000001</v>
      </c>
      <c r="J3">
        <v>0</v>
      </c>
      <c r="K3">
        <v>6.4</v>
      </c>
      <c r="L3">
        <v>3</v>
      </c>
      <c r="N3" t="s">
        <v>78</v>
      </c>
      <c r="O3">
        <f>0.8*('Conexiones a corte y momento'!D23/1000000)*('Conexiones a corte y momento'!D9*1000)</f>
        <v>175.83999999999997</v>
      </c>
    </row>
    <row r="4" spans="1:18" x14ac:dyDescent="0.25">
      <c r="A4" t="s">
        <v>1142</v>
      </c>
      <c r="B4">
        <v>188</v>
      </c>
      <c r="C4">
        <v>188</v>
      </c>
      <c r="E4" s="220">
        <v>5</v>
      </c>
      <c r="F4" s="221">
        <f t="shared" si="0"/>
        <v>0.625</v>
      </c>
      <c r="G4" s="220">
        <f t="shared" si="1"/>
        <v>15.875</v>
      </c>
      <c r="H4">
        <v>22.2</v>
      </c>
      <c r="J4">
        <v>6.4</v>
      </c>
      <c r="K4">
        <v>12.7</v>
      </c>
      <c r="L4">
        <v>5</v>
      </c>
      <c r="N4" t="s">
        <v>79</v>
      </c>
      <c r="O4">
        <f>0.8*('Conexiones a corte y momento'!D23/1000000)*('Conexiones a corte y momento'!D9*1000)</f>
        <v>175.83999999999997</v>
      </c>
    </row>
    <row r="5" spans="1:18" x14ac:dyDescent="0.25">
      <c r="A5" t="s">
        <v>1143</v>
      </c>
      <c r="B5">
        <v>372</v>
      </c>
      <c r="C5">
        <v>457</v>
      </c>
      <c r="E5" s="220">
        <v>6</v>
      </c>
      <c r="F5" s="221">
        <f t="shared" si="0"/>
        <v>0.75</v>
      </c>
      <c r="G5" s="220">
        <f t="shared" si="1"/>
        <v>19.049999999999997</v>
      </c>
      <c r="H5">
        <v>25.4</v>
      </c>
      <c r="J5">
        <v>12.7</v>
      </c>
      <c r="K5">
        <v>19.100000000000001</v>
      </c>
      <c r="L5">
        <v>6</v>
      </c>
    </row>
    <row r="6" spans="1:18" x14ac:dyDescent="0.25">
      <c r="A6" t="s">
        <v>1148</v>
      </c>
      <c r="B6">
        <v>457</v>
      </c>
      <c r="C6">
        <v>579</v>
      </c>
      <c r="E6" s="220">
        <v>7</v>
      </c>
      <c r="F6" s="221">
        <f t="shared" si="0"/>
        <v>0.875</v>
      </c>
      <c r="G6" s="220">
        <f t="shared" si="1"/>
        <v>22.224999999999998</v>
      </c>
      <c r="H6">
        <v>28.6</v>
      </c>
      <c r="J6">
        <v>19.100000000000001</v>
      </c>
      <c r="L6">
        <v>8</v>
      </c>
    </row>
    <row r="7" spans="1:18" x14ac:dyDescent="0.25">
      <c r="A7" t="s">
        <v>1149</v>
      </c>
      <c r="B7">
        <f>0.45*'Conexiones a corte y momento'!D15</f>
        <v>0</v>
      </c>
      <c r="C7">
        <f>0.563*'Conexiones a corte y momento'!D15</f>
        <v>0</v>
      </c>
      <c r="E7" s="220">
        <v>8</v>
      </c>
      <c r="F7" s="236">
        <f t="shared" si="0"/>
        <v>1</v>
      </c>
      <c r="G7" s="220">
        <f t="shared" si="1"/>
        <v>25.4</v>
      </c>
      <c r="H7">
        <v>31.8</v>
      </c>
    </row>
    <row r="8" spans="1:18" x14ac:dyDescent="0.25">
      <c r="J8" s="674"/>
      <c r="K8" s="674"/>
    </row>
    <row r="9" spans="1:18" ht="30" x14ac:dyDescent="0.25">
      <c r="Q9" s="379" t="s">
        <v>1133</v>
      </c>
      <c r="R9" t="s">
        <v>2515</v>
      </c>
    </row>
    <row r="10" spans="1:18" ht="207" customHeight="1" x14ac:dyDescent="0.25">
      <c r="Q10" t="s">
        <v>2516</v>
      </c>
    </row>
    <row r="11" spans="1:18" ht="207" customHeight="1" x14ac:dyDescent="0.25">
      <c r="Q11" t="s">
        <v>2517</v>
      </c>
    </row>
  </sheetData>
  <mergeCells count="5">
    <mergeCell ref="B1:C1"/>
    <mergeCell ref="B2:C2"/>
    <mergeCell ref="E1:G1"/>
    <mergeCell ref="J2:K2"/>
    <mergeCell ref="J8:K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857F0"/>
    <pageSetUpPr fitToPage="1"/>
  </sheetPr>
  <dimension ref="A1:K87"/>
  <sheetViews>
    <sheetView tabSelected="1" view="pageBreakPreview" topLeftCell="A29" zoomScale="70" zoomScaleNormal="100" zoomScaleSheetLayoutView="70" workbookViewId="0">
      <selection activeCell="Q46" sqref="Q46"/>
    </sheetView>
  </sheetViews>
  <sheetFormatPr baseColWidth="10" defaultRowHeight="15" x14ac:dyDescent="0.2"/>
  <cols>
    <col min="1" max="1" width="8.7109375" style="349" customWidth="1"/>
    <col min="2" max="2" width="11.42578125" style="349"/>
    <col min="3" max="3" width="16.7109375" style="349" customWidth="1"/>
    <col min="4" max="4" width="10" style="349" customWidth="1"/>
    <col min="5" max="5" width="13.42578125" style="349" customWidth="1"/>
    <col min="6" max="6" width="13.7109375" style="349" bestFit="1" customWidth="1"/>
    <col min="7" max="7" width="12" style="349" customWidth="1"/>
    <col min="8" max="8" width="11.42578125" style="349"/>
    <col min="9" max="9" width="11.140625" style="349" customWidth="1"/>
    <col min="10" max="10" width="11.42578125" style="348"/>
    <col min="11" max="11" width="11.5703125" style="348" bestFit="1" customWidth="1"/>
    <col min="12" max="16384" width="11.42578125" style="348"/>
  </cols>
  <sheetData>
    <row r="1" spans="1:11" ht="15.75" customHeight="1" x14ac:dyDescent="0.25">
      <c r="A1" s="488" t="s">
        <v>2471</v>
      </c>
      <c r="B1" s="488"/>
      <c r="C1" s="488"/>
      <c r="D1" s="488"/>
      <c r="E1" s="488"/>
      <c r="F1" s="488"/>
      <c r="G1" s="488"/>
      <c r="H1" s="488"/>
      <c r="I1" s="488"/>
    </row>
    <row r="2" spans="1:11" ht="15.75" customHeight="1" x14ac:dyDescent="0.2">
      <c r="A2" s="495" t="s">
        <v>2477</v>
      </c>
      <c r="B2" s="495"/>
      <c r="C2" s="495"/>
      <c r="D2" s="495"/>
      <c r="E2" s="495"/>
      <c r="F2" s="495"/>
      <c r="G2" s="495"/>
      <c r="H2" s="495"/>
      <c r="I2" s="495"/>
      <c r="K2" s="350"/>
    </row>
    <row r="3" spans="1:11" ht="15.75" customHeight="1" x14ac:dyDescent="0.2">
      <c r="A3" s="90"/>
      <c r="B3" s="90"/>
      <c r="C3" s="90"/>
      <c r="D3" s="90"/>
      <c r="E3" s="90"/>
      <c r="F3" s="90"/>
      <c r="G3" s="90"/>
      <c r="H3" s="90"/>
      <c r="I3" s="90"/>
      <c r="K3" s="350"/>
    </row>
    <row r="4" spans="1:11" ht="15" customHeight="1" x14ac:dyDescent="0.2">
      <c r="B4" s="498" t="s">
        <v>2431</v>
      </c>
      <c r="C4" s="498"/>
      <c r="D4" s="500" t="s">
        <v>2473</v>
      </c>
      <c r="E4" s="501"/>
      <c r="F4" s="501"/>
      <c r="G4" s="501"/>
      <c r="H4" s="502"/>
      <c r="I4" s="90"/>
    </row>
    <row r="5" spans="1:11" ht="15.75" x14ac:dyDescent="0.2">
      <c r="B5" s="498"/>
      <c r="C5" s="498"/>
      <c r="D5" s="503"/>
      <c r="E5" s="504"/>
      <c r="F5" s="504"/>
      <c r="G5" s="504"/>
      <c r="H5" s="505"/>
      <c r="I5" s="90"/>
    </row>
    <row r="6" spans="1:11" ht="15" customHeight="1" x14ac:dyDescent="0.2">
      <c r="B6" s="496" t="s">
        <v>2432</v>
      </c>
      <c r="C6" s="496"/>
      <c r="D6" s="499" t="s">
        <v>1128</v>
      </c>
      <c r="E6" s="515" t="str">
        <f>+VLOOKUP(D4,'Datos genéricos irregularidades'!A2:B4,2,FALSE)</f>
        <v>DMO</v>
      </c>
      <c r="F6" s="513" t="str">
        <f>+IF(AND(OR(espectro!G9="Alta",espectro!G9="Intermedia"),E6="DMI"),"SRS no cumple capacidad de disipación de energía para zona de amenaza sísmica",IF(AND(espectro!G9="Alta",E6="DMO"),"SRS no cumple capacidad de disipación de energía para zona de amenaza sísmica",""))</f>
        <v/>
      </c>
      <c r="G6" s="513"/>
      <c r="H6" s="513"/>
    </row>
    <row r="7" spans="1:11" x14ac:dyDescent="0.2">
      <c r="B7" s="496"/>
      <c r="C7" s="496"/>
      <c r="D7" s="499"/>
      <c r="E7" s="516"/>
      <c r="F7" s="514"/>
      <c r="G7" s="514"/>
      <c r="H7" s="514"/>
    </row>
    <row r="8" spans="1:11" x14ac:dyDescent="0.2">
      <c r="B8" s="497" t="s">
        <v>2505</v>
      </c>
      <c r="C8" s="497"/>
      <c r="D8" s="360" t="s">
        <v>1128</v>
      </c>
      <c r="E8" s="516"/>
      <c r="F8" s="514"/>
      <c r="G8" s="514"/>
      <c r="H8" s="514"/>
    </row>
    <row r="9" spans="1:11" x14ac:dyDescent="0.2">
      <c r="B9" s="377"/>
      <c r="C9" s="377"/>
      <c r="D9" s="378"/>
    </row>
    <row r="10" spans="1:11" x14ac:dyDescent="0.2">
      <c r="B10" s="489" t="s">
        <v>2504</v>
      </c>
      <c r="C10" s="489"/>
      <c r="D10" s="360">
        <v>2.16</v>
      </c>
      <c r="F10" s="357" t="s">
        <v>2433</v>
      </c>
      <c r="G10" s="358">
        <f>VLOOKUP(D4,'Datos genéricos irregularidades'!A2:D4,3,FALSE)</f>
        <v>5</v>
      </c>
    </row>
    <row r="11" spans="1:11" x14ac:dyDescent="0.2">
      <c r="B11" s="489" t="s">
        <v>2503</v>
      </c>
      <c r="C11" s="489"/>
      <c r="D11" s="360">
        <v>3</v>
      </c>
      <c r="F11" s="357" t="s">
        <v>2434</v>
      </c>
      <c r="G11" s="359">
        <f>VLOOKUP(D4,'Datos genéricos irregularidades'!A2:D4,4,FALSE)</f>
        <v>3</v>
      </c>
    </row>
    <row r="12" spans="1:11" x14ac:dyDescent="0.2">
      <c r="B12" s="353"/>
      <c r="C12" s="353"/>
      <c r="D12" s="352"/>
    </row>
    <row r="13" spans="1:11" ht="15.75" customHeight="1" x14ac:dyDescent="0.2">
      <c r="A13" s="495" t="s">
        <v>2435</v>
      </c>
      <c r="B13" s="495"/>
      <c r="C13" s="495"/>
      <c r="D13" s="495"/>
      <c r="E13" s="495"/>
      <c r="F13" s="495"/>
      <c r="G13" s="495"/>
      <c r="H13" s="495"/>
      <c r="I13" s="495"/>
    </row>
    <row r="14" spans="1:11" s="349" customFormat="1" ht="15.75" customHeight="1" x14ac:dyDescent="0.2">
      <c r="A14" s="90"/>
      <c r="B14" s="90"/>
      <c r="C14" s="90"/>
      <c r="D14" s="90"/>
      <c r="E14" s="90"/>
      <c r="F14" s="90"/>
      <c r="G14" s="90"/>
      <c r="H14" s="90"/>
      <c r="I14" s="90"/>
    </row>
    <row r="15" spans="1:11" ht="15.75" x14ac:dyDescent="0.25">
      <c r="B15" s="354" t="s">
        <v>2436</v>
      </c>
      <c r="C15" s="354" t="s">
        <v>2437</v>
      </c>
    </row>
    <row r="17" spans="2:7" x14ac:dyDescent="0.2">
      <c r="C17" s="363" t="s">
        <v>2438</v>
      </c>
      <c r="D17" s="360" t="s">
        <v>2479</v>
      </c>
      <c r="F17" s="361" t="s">
        <v>2439</v>
      </c>
      <c r="G17" s="362">
        <f>VLOOKUP(D17,'Datos genéricos irregularidades'!F2:G4,2,FALSE)</f>
        <v>1</v>
      </c>
    </row>
    <row r="19" spans="2:7" ht="15.75" x14ac:dyDescent="0.25">
      <c r="B19" s="354" t="s">
        <v>2440</v>
      </c>
      <c r="C19" s="354" t="s">
        <v>2441</v>
      </c>
    </row>
    <row r="21" spans="2:7" x14ac:dyDescent="0.2">
      <c r="C21" s="364" t="s">
        <v>2442</v>
      </c>
      <c r="D21" s="365">
        <v>5</v>
      </c>
      <c r="F21" s="363" t="s">
        <v>2438</v>
      </c>
      <c r="G21" s="363" t="str">
        <f>+IF(AND(D21&gt;0.15*D22,D23&gt;0.15*D24),"Si tiene","No tiene")</f>
        <v>Si tiene</v>
      </c>
    </row>
    <row r="22" spans="2:7" x14ac:dyDescent="0.2">
      <c r="C22" s="364" t="s">
        <v>2443</v>
      </c>
      <c r="D22" s="365">
        <v>10</v>
      </c>
    </row>
    <row r="23" spans="2:7" x14ac:dyDescent="0.2">
      <c r="C23" s="364" t="s">
        <v>2444</v>
      </c>
      <c r="D23" s="365">
        <v>5</v>
      </c>
      <c r="F23" s="361" t="s">
        <v>2439</v>
      </c>
      <c r="G23" s="362">
        <f>VLOOKUP(G21,'Datos genéricos irregularidades'!I2:J3,2,FALSE)</f>
        <v>0.9</v>
      </c>
    </row>
    <row r="24" spans="2:7" x14ac:dyDescent="0.2">
      <c r="C24" s="364" t="s">
        <v>2445</v>
      </c>
      <c r="D24" s="365">
        <v>13.1</v>
      </c>
    </row>
    <row r="26" spans="2:7" ht="15.75" x14ac:dyDescent="0.25">
      <c r="B26" s="354" t="s">
        <v>2446</v>
      </c>
      <c r="C26" s="354" t="s">
        <v>2447</v>
      </c>
    </row>
    <row r="28" spans="2:7" x14ac:dyDescent="0.2">
      <c r="C28" s="364" t="s">
        <v>2442</v>
      </c>
      <c r="D28" s="365">
        <f>+D22</f>
        <v>10</v>
      </c>
      <c r="F28" s="363" t="s">
        <v>2448</v>
      </c>
      <c r="G28" s="360">
        <v>2</v>
      </c>
    </row>
    <row r="29" spans="2:7" x14ac:dyDescent="0.2">
      <c r="C29" s="364" t="s">
        <v>2443</v>
      </c>
      <c r="D29" s="365">
        <v>3.2</v>
      </c>
    </row>
    <row r="30" spans="2:7" x14ac:dyDescent="0.2">
      <c r="C30" s="364" t="s">
        <v>2444</v>
      </c>
      <c r="D30" s="365">
        <f>+D24</f>
        <v>13.1</v>
      </c>
      <c r="F30" s="363" t="s">
        <v>2438</v>
      </c>
      <c r="G30" s="363" t="str">
        <f>+IF(G28='Datos genéricos irregularidades'!L3,IF(D30*D31&gt;0.5*D28*D29,"Si tiene","No tiene"),IF(G28='Datos genéricos irregularidades'!L4,IF((D30*D31+D30*D32)&gt;0.5*D28*D29,"Si tiene","No tiene"),"No tiene"))</f>
        <v>Si tiene</v>
      </c>
    </row>
    <row r="31" spans="2:7" x14ac:dyDescent="0.2">
      <c r="C31" s="364" t="s">
        <v>2445</v>
      </c>
      <c r="D31" s="365">
        <f>3.2*3</f>
        <v>9.6000000000000014</v>
      </c>
    </row>
    <row r="32" spans="2:7" x14ac:dyDescent="0.2">
      <c r="C32" s="364" t="s">
        <v>2449</v>
      </c>
      <c r="D32" s="365">
        <f>+F24</f>
        <v>0</v>
      </c>
      <c r="F32" s="361" t="s">
        <v>2439</v>
      </c>
      <c r="G32" s="362">
        <f>+VLOOKUP(G30,'Datos genéricos irregularidades'!M3:N4,2,FALSE)</f>
        <v>0.9</v>
      </c>
    </row>
    <row r="34" spans="1:9" ht="15.75" x14ac:dyDescent="0.25">
      <c r="B34" s="354" t="s">
        <v>2450</v>
      </c>
      <c r="C34" s="354" t="s">
        <v>2451</v>
      </c>
    </row>
    <row r="36" spans="1:9" x14ac:dyDescent="0.2">
      <c r="C36" s="364" t="s">
        <v>2438</v>
      </c>
      <c r="D36" s="366" t="s">
        <v>2482</v>
      </c>
      <c r="F36" s="42" t="s">
        <v>2439</v>
      </c>
      <c r="G36" s="367">
        <f>+VLOOKUP(D36,'Datos genéricos irregularidades'!P3:Q4,2,FALSE)</f>
        <v>0.8</v>
      </c>
    </row>
    <row r="38" spans="1:9" ht="15.75" x14ac:dyDescent="0.25">
      <c r="B38" s="354" t="s">
        <v>2452</v>
      </c>
      <c r="C38" s="354" t="s">
        <v>2453</v>
      </c>
    </row>
    <row r="40" spans="1:9" x14ac:dyDescent="0.2">
      <c r="C40" s="364" t="s">
        <v>2438</v>
      </c>
      <c r="D40" s="366" t="s">
        <v>2479</v>
      </c>
      <c r="F40" s="42" t="s">
        <v>2439</v>
      </c>
      <c r="G40" s="367">
        <f>+VLOOKUP(D40,'Datos genéricos irregularidades'!S2:T3,2,FALSE)</f>
        <v>1</v>
      </c>
    </row>
    <row r="42" spans="1:9" ht="15.75" x14ac:dyDescent="0.2">
      <c r="A42" s="495" t="s">
        <v>2454</v>
      </c>
      <c r="B42" s="495"/>
      <c r="C42" s="495"/>
      <c r="D42" s="495"/>
      <c r="E42" s="495"/>
      <c r="F42" s="495"/>
      <c r="G42" s="495"/>
      <c r="H42" s="495"/>
      <c r="I42" s="495"/>
    </row>
    <row r="43" spans="1:9" ht="15.75" x14ac:dyDescent="0.25">
      <c r="B43" s="354" t="s">
        <v>2455</v>
      </c>
      <c r="C43" s="354" t="s">
        <v>2456</v>
      </c>
    </row>
    <row r="45" spans="1:9" ht="19.5" x14ac:dyDescent="0.35">
      <c r="C45" s="364" t="s">
        <v>2491</v>
      </c>
      <c r="D45" s="366">
        <v>3</v>
      </c>
      <c r="F45" s="363" t="s">
        <v>2438</v>
      </c>
      <c r="G45" s="363" t="str">
        <f>+IF(OR(((0.6*D46)&lt;=(D45)&lt;(0.7*D46)),(((0.7*(D46+D47+D48))/3)&lt;=(D45)&lt;((0.8*(D46+D47+D48))/3))),"Tipo 1aA",IF(OR(((D45)&lt;(0.6*D46)),((D45)&lt;((0.7*(D46+D47+D48))/3))),"Tipo 1bA","No tiene"))</f>
        <v>Tipo 1bA</v>
      </c>
    </row>
    <row r="46" spans="1:9" ht="19.5" x14ac:dyDescent="0.35">
      <c r="C46" s="364" t="s">
        <v>2492</v>
      </c>
      <c r="D46" s="366">
        <v>5</v>
      </c>
    </row>
    <row r="47" spans="1:9" ht="19.5" x14ac:dyDescent="0.35">
      <c r="C47" s="364" t="s">
        <v>2493</v>
      </c>
      <c r="D47" s="366">
        <v>5</v>
      </c>
      <c r="F47" s="42" t="s">
        <v>2458</v>
      </c>
      <c r="G47" s="42">
        <f>VLOOKUP(G45,'Datos genéricos irregularidades'!V2:W4,2,FALSE)</f>
        <v>0.8</v>
      </c>
    </row>
    <row r="48" spans="1:9" ht="19.5" x14ac:dyDescent="0.35">
      <c r="C48" s="364" t="s">
        <v>2494</v>
      </c>
      <c r="D48" s="366">
        <v>5</v>
      </c>
    </row>
    <row r="50" spans="2:8" ht="15.75" x14ac:dyDescent="0.25">
      <c r="B50" s="354" t="s">
        <v>2459</v>
      </c>
      <c r="C50" s="354" t="s">
        <v>2460</v>
      </c>
    </row>
    <row r="52" spans="2:8" ht="19.5" x14ac:dyDescent="0.35">
      <c r="C52" s="364" t="s">
        <v>2488</v>
      </c>
      <c r="D52" s="366">
        <v>20</v>
      </c>
      <c r="F52" s="363" t="s">
        <v>2438</v>
      </c>
      <c r="G52" s="363" t="str">
        <f>+IF(OR(D53&gt;(1.5*D54),D53&gt;(1.5*D52)),"Si tiene","No tiene")</f>
        <v>Si tiene</v>
      </c>
    </row>
    <row r="53" spans="2:8" ht="19.5" x14ac:dyDescent="0.35">
      <c r="C53" s="364" t="s">
        <v>2489</v>
      </c>
      <c r="D53" s="366">
        <v>40</v>
      </c>
    </row>
    <row r="54" spans="2:8" ht="19.5" x14ac:dyDescent="0.35">
      <c r="C54" s="364" t="s">
        <v>2490</v>
      </c>
      <c r="D54" s="366">
        <v>20</v>
      </c>
      <c r="F54" s="361" t="s">
        <v>2458</v>
      </c>
      <c r="G54" s="362">
        <f>VLOOKUP(G52,'Datos genéricos irregularidades'!Y2:Z3,2,FALSE)</f>
        <v>0.9</v>
      </c>
    </row>
    <row r="55" spans="2:8" x14ac:dyDescent="0.2">
      <c r="H55" s="355"/>
    </row>
    <row r="56" spans="2:8" ht="15.75" x14ac:dyDescent="0.25">
      <c r="B56" s="354" t="s">
        <v>2461</v>
      </c>
      <c r="C56" s="354" t="s">
        <v>2462</v>
      </c>
    </row>
    <row r="58" spans="2:8" x14ac:dyDescent="0.2">
      <c r="C58" s="364" t="s">
        <v>2495</v>
      </c>
      <c r="D58" s="365">
        <f>+D22</f>
        <v>10</v>
      </c>
      <c r="F58" s="363" t="s">
        <v>2438</v>
      </c>
      <c r="G58" s="363" t="str">
        <f>+IF(D58&gt;(1.3*D59),"Si tiene","No tiene")</f>
        <v>Si tiene</v>
      </c>
    </row>
    <row r="59" spans="2:8" x14ac:dyDescent="0.2">
      <c r="C59" s="364" t="s">
        <v>196</v>
      </c>
      <c r="D59" s="365">
        <v>6.4</v>
      </c>
    </row>
    <row r="60" spans="2:8" x14ac:dyDescent="0.2">
      <c r="C60" s="370"/>
      <c r="D60" s="371"/>
      <c r="F60" s="369" t="s">
        <v>2458</v>
      </c>
      <c r="G60" s="369">
        <f>VLOOKUP(G58,'Datos genéricos irregularidades'!AB2:AC3,2,FALSE)</f>
        <v>0.9</v>
      </c>
    </row>
    <row r="62" spans="2:8" ht="15.75" x14ac:dyDescent="0.25">
      <c r="B62" s="354" t="s">
        <v>2463</v>
      </c>
      <c r="C62" s="354" t="s">
        <v>2464</v>
      </c>
    </row>
    <row r="64" spans="2:8" x14ac:dyDescent="0.2">
      <c r="C64" s="364" t="s">
        <v>2495</v>
      </c>
      <c r="D64" s="365">
        <v>0.5</v>
      </c>
      <c r="F64" s="363" t="s">
        <v>2438</v>
      </c>
      <c r="G64" s="363" t="str">
        <f>+IF((D65&gt;D64),"Si tiene","No tiene")</f>
        <v>Si tiene</v>
      </c>
    </row>
    <row r="65" spans="1:9" x14ac:dyDescent="0.2">
      <c r="C65" s="364" t="s">
        <v>196</v>
      </c>
      <c r="D65" s="365">
        <v>6.4</v>
      </c>
    </row>
    <row r="66" spans="1:9" x14ac:dyDescent="0.2">
      <c r="C66" s="370"/>
      <c r="D66" s="371"/>
      <c r="F66" s="369" t="s">
        <v>2458</v>
      </c>
      <c r="G66" s="42">
        <f>VLOOKUP(G64,'Datos genéricos irregularidades'!AE2:AF3,2,FALSE)</f>
        <v>0.8</v>
      </c>
    </row>
    <row r="67" spans="1:9" x14ac:dyDescent="0.2">
      <c r="E67" s="355"/>
      <c r="H67" s="355"/>
    </row>
    <row r="68" spans="1:9" ht="15.75" x14ac:dyDescent="0.25">
      <c r="B68" s="354" t="s">
        <v>2465</v>
      </c>
      <c r="C68" s="354" t="s">
        <v>2466</v>
      </c>
    </row>
    <row r="70" spans="1:9" x14ac:dyDescent="0.2">
      <c r="C70" s="364" t="s">
        <v>2499</v>
      </c>
      <c r="D70" s="365">
        <v>0.5</v>
      </c>
      <c r="F70" s="363" t="s">
        <v>2438</v>
      </c>
      <c r="G70" s="363" t="str">
        <f>+IF(0.65*D71&lt;=D70&lt;0.8*D71,"Tipo 5aA",IF(D70&lt;0.65*D71,"Tipo 5bA","No tiene"))</f>
        <v>Tipo 5bA</v>
      </c>
    </row>
    <row r="71" spans="1:9" x14ac:dyDescent="0.2">
      <c r="C71" s="364" t="s">
        <v>2498</v>
      </c>
      <c r="D71" s="365">
        <v>6.4</v>
      </c>
    </row>
    <row r="72" spans="1:9" x14ac:dyDescent="0.2">
      <c r="F72" s="369" t="s">
        <v>2458</v>
      </c>
      <c r="G72" s="42">
        <f>VLOOKUP(G70,'Datos genéricos irregularidades'!AH2:AI4,2,FALSE)</f>
        <v>0.8</v>
      </c>
    </row>
    <row r="74" spans="1:9" ht="15.75" x14ac:dyDescent="0.2">
      <c r="A74" s="495" t="s">
        <v>2468</v>
      </c>
      <c r="B74" s="495"/>
      <c r="C74" s="495"/>
      <c r="D74" s="495"/>
      <c r="E74" s="495"/>
      <c r="F74" s="495"/>
      <c r="G74" s="495"/>
      <c r="H74" s="495"/>
      <c r="I74" s="495"/>
    </row>
    <row r="75" spans="1:9" ht="15.75" x14ac:dyDescent="0.2">
      <c r="A75" s="90"/>
      <c r="B75" s="373"/>
      <c r="C75" s="373"/>
      <c r="D75" s="90"/>
      <c r="E75" s="90"/>
      <c r="F75" s="90"/>
      <c r="G75" s="90"/>
      <c r="H75" s="90"/>
      <c r="I75" s="90"/>
    </row>
    <row r="76" spans="1:9" ht="15.75" customHeight="1" x14ac:dyDescent="0.2">
      <c r="B76" s="518" t="s">
        <v>2433</v>
      </c>
      <c r="C76" s="518"/>
      <c r="D76" s="374">
        <f>+G10</f>
        <v>5</v>
      </c>
      <c r="G76" s="517" t="s">
        <v>2469</v>
      </c>
      <c r="H76" s="493">
        <f>+D76*D77*D78*D79*D80</f>
        <v>2.1600000000000006</v>
      </c>
    </row>
    <row r="77" spans="1:9" ht="15" customHeight="1" x14ac:dyDescent="0.2">
      <c r="B77" s="518" t="s">
        <v>2439</v>
      </c>
      <c r="C77" s="518"/>
      <c r="D77" s="374">
        <f>+MIN(G17,G23,G32,G36,G40)</f>
        <v>0.8</v>
      </c>
      <c r="G77" s="517"/>
      <c r="H77" s="494"/>
      <c r="I77" s="370"/>
    </row>
    <row r="78" spans="1:9" ht="15" customHeight="1" x14ac:dyDescent="0.2">
      <c r="B78" s="518" t="s">
        <v>2458</v>
      </c>
      <c r="C78" s="518"/>
      <c r="D78" s="374">
        <f>+MIN(G47,G54,G60,G66,G72)</f>
        <v>0.8</v>
      </c>
      <c r="I78" s="376"/>
    </row>
    <row r="79" spans="1:9" ht="15" customHeight="1" x14ac:dyDescent="0.2">
      <c r="B79" s="518" t="s">
        <v>2470</v>
      </c>
      <c r="C79" s="518"/>
      <c r="D79" s="375">
        <f>+IF(D6="si",0.75,1)</f>
        <v>0.75</v>
      </c>
      <c r="G79" s="517" t="str">
        <f>+F11</f>
        <v>Ωo:</v>
      </c>
      <c r="H79" s="491">
        <f>+G11</f>
        <v>3</v>
      </c>
    </row>
    <row r="80" spans="1:9" ht="15" customHeight="1" x14ac:dyDescent="0.2">
      <c r="B80" s="506" t="s">
        <v>2500</v>
      </c>
      <c r="C80" s="506"/>
      <c r="D80" s="369">
        <f>IF(E6="DMI",1,IF(D8="si",0.9,1))</f>
        <v>0.9</v>
      </c>
      <c r="G80" s="517"/>
      <c r="H80" s="492"/>
    </row>
    <row r="81" spans="2:8" x14ac:dyDescent="0.2">
      <c r="B81" s="372"/>
      <c r="C81" s="372"/>
      <c r="D81" s="351"/>
    </row>
    <row r="82" spans="2:8" ht="15.75" customHeight="1" x14ac:dyDescent="0.2">
      <c r="B82" s="490" t="s">
        <v>2502</v>
      </c>
      <c r="C82" s="490"/>
      <c r="D82" s="336">
        <f>+D10</f>
        <v>2.16</v>
      </c>
      <c r="E82" s="334" t="s">
        <v>1021</v>
      </c>
      <c r="F82" s="335">
        <f>+H76</f>
        <v>2.1600000000000006</v>
      </c>
      <c r="G82" s="490" t="s">
        <v>2501</v>
      </c>
      <c r="H82" s="490"/>
    </row>
    <row r="83" spans="2:8" ht="15.75" customHeight="1" x14ac:dyDescent="0.2">
      <c r="B83" s="490" t="s">
        <v>2503</v>
      </c>
      <c r="C83" s="490"/>
      <c r="D83" s="336">
        <f>+D11</f>
        <v>3</v>
      </c>
      <c r="E83" s="334" t="s">
        <v>1021</v>
      </c>
      <c r="F83" s="335">
        <f>+H79</f>
        <v>3</v>
      </c>
      <c r="G83" s="490" t="s">
        <v>2506</v>
      </c>
      <c r="H83" s="490"/>
    </row>
    <row r="84" spans="2:8" ht="15.75" thickBot="1" x14ac:dyDescent="0.25"/>
    <row r="85" spans="2:8" ht="15.75" customHeight="1" x14ac:dyDescent="0.2">
      <c r="B85" s="507" t="str">
        <f>IF(D82="","",IF(AND(D82&lt;=F82,D83&lt;=F83),"CUMPLE","NO CUMPLE"))</f>
        <v>CUMPLE</v>
      </c>
      <c r="C85" s="508"/>
      <c r="D85" s="508"/>
      <c r="E85" s="508"/>
      <c r="F85" s="508"/>
      <c r="G85" s="508"/>
      <c r="H85" s="509"/>
    </row>
    <row r="86" spans="2:8" ht="15.75" thickBot="1" x14ac:dyDescent="0.25">
      <c r="B86" s="510"/>
      <c r="C86" s="511"/>
      <c r="D86" s="511"/>
      <c r="E86" s="511"/>
      <c r="F86" s="511"/>
      <c r="G86" s="511"/>
      <c r="H86" s="512"/>
    </row>
    <row r="87" spans="2:8" ht="15.75" customHeight="1" x14ac:dyDescent="0.2"/>
  </sheetData>
  <mergeCells count="28">
    <mergeCell ref="B85:H86"/>
    <mergeCell ref="B11:C11"/>
    <mergeCell ref="F6:H8"/>
    <mergeCell ref="E6:E8"/>
    <mergeCell ref="B83:C83"/>
    <mergeCell ref="G83:H83"/>
    <mergeCell ref="G76:G77"/>
    <mergeCell ref="G79:G80"/>
    <mergeCell ref="B76:C76"/>
    <mergeCell ref="B77:C77"/>
    <mergeCell ref="B78:C78"/>
    <mergeCell ref="B79:C79"/>
    <mergeCell ref="A1:I1"/>
    <mergeCell ref="B10:C10"/>
    <mergeCell ref="B82:C82"/>
    <mergeCell ref="H79:H80"/>
    <mergeCell ref="H76:H77"/>
    <mergeCell ref="G82:H82"/>
    <mergeCell ref="A2:I2"/>
    <mergeCell ref="A13:I13"/>
    <mergeCell ref="A42:I42"/>
    <mergeCell ref="A74:I74"/>
    <mergeCell ref="B6:C7"/>
    <mergeCell ref="B8:C8"/>
    <mergeCell ref="B4:C5"/>
    <mergeCell ref="D6:D7"/>
    <mergeCell ref="D4:H5"/>
    <mergeCell ref="B80:C80"/>
  </mergeCells>
  <conditionalFormatting sqref="B85">
    <cfRule type="containsText" dxfId="311" priority="1" operator="containsText" text="No cumple">
      <formula>NOT(ISERROR(SEARCH("No cumple",B85)))</formula>
    </cfRule>
    <cfRule type="containsText" dxfId="310" priority="2" operator="containsText" text="Cumple">
      <formula>NOT(ISERROR(SEARCH("Cumple",B85)))</formula>
    </cfRule>
  </conditionalFormatting>
  <dataValidations count="3">
    <dataValidation type="list" allowBlank="1" showInputMessage="1" showErrorMessage="1" sqref="G28">
      <formula1>"1,2"</formula1>
    </dataValidation>
    <dataValidation type="list" allowBlank="1" showInputMessage="1" showErrorMessage="1" sqref="D6 D8:D9">
      <formula1>"si,no"</formula1>
    </dataValidation>
    <dataValidation type="list" allowBlank="1" showInputMessage="1" showErrorMessage="1" sqref="H67">
      <formula1>$L$67:$L$67</formula1>
    </dataValidation>
  </dataValidations>
  <pageMargins left="0.7" right="0.7" top="0.75" bottom="0.75" header="0.3" footer="0.3"/>
  <pageSetup scale="83" fitToHeight="0" orientation="portrait" horizontalDpi="4294967292" verticalDpi="0" r:id="rId1"/>
  <rowBreaks count="1" manualBreakCount="1">
    <brk id="55" max="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'Datos genéricos irregularidades'!$A$2:$A$4</xm:f>
          </x14:formula1>
          <xm:sqref>D4</xm:sqref>
        </x14:dataValidation>
        <x14:dataValidation type="list" allowBlank="1" showInputMessage="1" showErrorMessage="1">
          <x14:formula1>
            <xm:f>'Datos genéricos irregularidades'!$F$2:$F$4</xm:f>
          </x14:formula1>
          <xm:sqref>D17</xm:sqref>
        </x14:dataValidation>
        <x14:dataValidation type="list" allowBlank="1" showInputMessage="1" showErrorMessage="1">
          <x14:formula1>
            <xm:f>'Datos genéricos irregularidades'!$P$3:$P$4</xm:f>
          </x14:formula1>
          <xm:sqref>D36 D40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3857F0"/>
  </sheetPr>
  <dimension ref="A1:Z174"/>
  <sheetViews>
    <sheetView view="pageBreakPreview" topLeftCell="A82" zoomScale="80" zoomScaleNormal="80" zoomScaleSheetLayoutView="80" zoomScalePageLayoutView="70" workbookViewId="0">
      <selection activeCell="B99" sqref="B99:H101"/>
    </sheetView>
  </sheetViews>
  <sheetFormatPr baseColWidth="10" defaultColWidth="11.42578125" defaultRowHeight="14.25" x14ac:dyDescent="0.2"/>
  <cols>
    <col min="1" max="1" width="11.7109375" style="4" customWidth="1"/>
    <col min="2" max="3" width="13" style="4" customWidth="1"/>
    <col min="4" max="4" width="11.28515625" style="4" customWidth="1"/>
    <col min="5" max="5" width="12" style="4" customWidth="1"/>
    <col min="6" max="6" width="12.140625" style="4" customWidth="1"/>
    <col min="7" max="7" width="10.85546875" style="4" customWidth="1"/>
    <col min="8" max="8" width="14.42578125" style="4" customWidth="1"/>
    <col min="9" max="9" width="12.140625" style="4" customWidth="1"/>
    <col min="10" max="16384" width="11.42578125" style="4"/>
  </cols>
  <sheetData>
    <row r="1" spans="1:26" ht="33" customHeight="1" x14ac:dyDescent="0.25">
      <c r="A1" s="574" t="s">
        <v>1212</v>
      </c>
      <c r="B1" s="574"/>
      <c r="C1" s="574"/>
      <c r="D1" s="574"/>
      <c r="E1" s="488"/>
      <c r="F1" s="488"/>
      <c r="G1" s="488"/>
      <c r="H1" s="488"/>
      <c r="I1" s="488"/>
    </row>
    <row r="2" spans="1:26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26" ht="15" customHeight="1" x14ac:dyDescent="0.2">
      <c r="A3" s="42" t="s">
        <v>207</v>
      </c>
      <c r="B3" s="578" t="s">
        <v>77</v>
      </c>
      <c r="C3" s="579"/>
      <c r="D3" s="580"/>
      <c r="E3" s="575" t="s">
        <v>659</v>
      </c>
      <c r="F3" s="576"/>
      <c r="G3" s="576"/>
      <c r="H3" s="576"/>
      <c r="I3" s="577"/>
    </row>
    <row r="4" spans="1:26" ht="15" x14ac:dyDescent="0.2">
      <c r="A4" s="581" t="s">
        <v>208</v>
      </c>
      <c r="B4" s="582"/>
      <c r="C4" s="582"/>
      <c r="D4" s="583"/>
      <c r="E4" s="47" t="s">
        <v>78</v>
      </c>
      <c r="F4" s="6"/>
      <c r="G4" s="6"/>
      <c r="H4" s="6"/>
      <c r="I4" s="6"/>
    </row>
    <row r="5" spans="1:26" x14ac:dyDescent="0.2">
      <c r="A5" s="6"/>
      <c r="B5" s="6"/>
      <c r="C5" s="6"/>
      <c r="D5" s="6"/>
      <c r="E5" s="6"/>
      <c r="F5" s="6"/>
      <c r="G5" s="6"/>
      <c r="H5" s="6"/>
      <c r="I5" s="6"/>
    </row>
    <row r="6" spans="1:26" x14ac:dyDescent="0.2">
      <c r="A6" s="6"/>
      <c r="B6" s="490" t="s">
        <v>216</v>
      </c>
      <c r="C6" s="490"/>
      <c r="D6" s="86">
        <v>200000</v>
      </c>
      <c r="E6" s="92"/>
      <c r="F6" s="565" t="s">
        <v>224</v>
      </c>
      <c r="G6" s="565"/>
      <c r="H6" s="84">
        <v>150</v>
      </c>
      <c r="I6" s="6"/>
    </row>
    <row r="7" spans="1:26" ht="16.5" customHeight="1" x14ac:dyDescent="0.2">
      <c r="A7" s="6"/>
      <c r="B7" s="490" t="s">
        <v>988</v>
      </c>
      <c r="C7" s="490"/>
      <c r="D7" s="86">
        <v>77200</v>
      </c>
      <c r="E7" s="89"/>
      <c r="F7" s="573" t="s">
        <v>992</v>
      </c>
      <c r="G7" s="122" t="s">
        <v>1036</v>
      </c>
      <c r="H7" s="84">
        <v>25</v>
      </c>
      <c r="I7" s="6"/>
    </row>
    <row r="8" spans="1:26" ht="15" customHeight="1" x14ac:dyDescent="0.2">
      <c r="A8" s="6"/>
      <c r="B8" s="490" t="s">
        <v>217</v>
      </c>
      <c r="C8" s="490"/>
      <c r="D8" s="84">
        <v>350</v>
      </c>
      <c r="F8" s="573"/>
      <c r="G8" s="122" t="s">
        <v>1037</v>
      </c>
      <c r="H8" s="84">
        <v>30</v>
      </c>
      <c r="I8" s="6"/>
    </row>
    <row r="9" spans="1:26" ht="15" customHeight="1" x14ac:dyDescent="0.2">
      <c r="A9" s="6"/>
      <c r="B9" s="99"/>
      <c r="C9" s="6"/>
      <c r="D9" s="6"/>
      <c r="E9" s="99"/>
      <c r="F9" s="559" t="s">
        <v>993</v>
      </c>
      <c r="G9" s="167" t="s">
        <v>1036</v>
      </c>
      <c r="H9" s="121">
        <v>25</v>
      </c>
      <c r="I9" s="6"/>
    </row>
    <row r="10" spans="1:26" ht="15" customHeight="1" x14ac:dyDescent="0.2">
      <c r="A10" s="6"/>
      <c r="B10" s="540" t="s">
        <v>994</v>
      </c>
      <c r="C10" s="540"/>
      <c r="D10" s="51">
        <v>0.9</v>
      </c>
      <c r="E10" s="99"/>
      <c r="F10" s="560"/>
      <c r="G10" s="167" t="s">
        <v>1037</v>
      </c>
      <c r="H10" s="121">
        <v>30</v>
      </c>
      <c r="I10" s="6"/>
    </row>
    <row r="11" spans="1:26" ht="15" customHeight="1" x14ac:dyDescent="0.2">
      <c r="A11" s="6"/>
      <c r="B11" s="526" t="s">
        <v>230</v>
      </c>
      <c r="C11" s="527"/>
      <c r="D11" s="51">
        <f>+H6/(D10*D8*1000*C19*0.0001)</f>
        <v>3.1959092361776922E-2</v>
      </c>
      <c r="E11" s="99"/>
      <c r="F11" s="557" t="s">
        <v>1031</v>
      </c>
      <c r="G11" s="558"/>
      <c r="H11" s="84">
        <v>100</v>
      </c>
      <c r="I11" s="6"/>
      <c r="Z11" s="4" t="e">
        <f>Columnas!$D$10*(Columnas!C26/100^3)*(((PI()^2)*(Columnas!D6*1000))/((MIN(Columnas!H14:H15))/SQRT('Datos genericos columnas'!T11))^2)*SQRT(1+(0.078*((Columnas!C40)/(Columnas!C31*74.59))*(((MIN(Columnas!H20:H21))/(SQRT('Datos genericos columnas'!T11))))^2))</f>
        <v>#VALUE!</v>
      </c>
    </row>
    <row r="12" spans="1:26" ht="15" customHeight="1" x14ac:dyDescent="0.2">
      <c r="A12" s="6"/>
      <c r="B12" s="87"/>
      <c r="C12" s="87"/>
      <c r="D12" s="182"/>
      <c r="E12" s="99"/>
      <c r="F12" s="573" t="s">
        <v>1094</v>
      </c>
      <c r="G12" s="174" t="s">
        <v>1036</v>
      </c>
      <c r="H12" s="84">
        <v>32</v>
      </c>
      <c r="I12" s="6"/>
    </row>
    <row r="13" spans="1:26" ht="15" customHeight="1" x14ac:dyDescent="0.2">
      <c r="A13" s="6"/>
      <c r="B13" s="6"/>
      <c r="C13" s="44" t="s">
        <v>209</v>
      </c>
      <c r="D13" s="44" t="s">
        <v>210</v>
      </c>
      <c r="E13" s="99"/>
      <c r="F13" s="573"/>
      <c r="G13" s="174" t="s">
        <v>1037</v>
      </c>
      <c r="H13" s="84">
        <v>30</v>
      </c>
      <c r="I13" s="6"/>
    </row>
    <row r="14" spans="1:26" ht="15" customHeight="1" x14ac:dyDescent="0.35">
      <c r="A14" s="6"/>
      <c r="B14" s="43" t="s">
        <v>194</v>
      </c>
      <c r="C14" s="46" t="str">
        <f>IF(B3="TUBULAR_CIRCULAR",VLOOKUP($E$3,'Tabla Perfiles tubular'!A1:R360,2,FALSE),"N/A")</f>
        <v>N/A</v>
      </c>
      <c r="D14" s="80" t="str">
        <f>IF(C14="N/A","",IF(C14="","","mm"))</f>
        <v/>
      </c>
      <c r="E14" s="99"/>
      <c r="F14" s="585" t="s">
        <v>996</v>
      </c>
      <c r="G14" s="558"/>
      <c r="H14" s="91">
        <v>2.5</v>
      </c>
      <c r="I14" s="6"/>
    </row>
    <row r="15" spans="1:26" ht="18.75" x14ac:dyDescent="0.35">
      <c r="A15" s="6"/>
      <c r="B15" s="43" t="str">
        <f>IF(B3="LAMINADO","hw","h")</f>
        <v>hw</v>
      </c>
      <c r="C15" s="80">
        <f>IF(B3="LAMINADO",VLOOKUP(E3,'Tabla Perfiles laminados'!A4:AB460,5,FALSE),(IF(B3="TUBULAR_RECTANGULAR",VLOOKUP(E3,'Tabla Perfiles tubular'!A260:R360,3,FALSE),"N/A")))</f>
        <v>208</v>
      </c>
      <c r="D15" s="80" t="str">
        <f>IF(C15="N/A","",IF(C15="","","mm"))</f>
        <v>mm</v>
      </c>
      <c r="E15" s="99"/>
      <c r="F15" s="572" t="s">
        <v>997</v>
      </c>
      <c r="G15" s="558"/>
      <c r="H15" s="91">
        <v>2.5</v>
      </c>
      <c r="I15" s="6"/>
    </row>
    <row r="16" spans="1:26" x14ac:dyDescent="0.2">
      <c r="A16" s="6"/>
      <c r="B16" s="43" t="str">
        <f>IF(B3="LAMINADO","bf","b")</f>
        <v>bf</v>
      </c>
      <c r="C16" s="80">
        <f>IF(B3="LAMINADO",VLOOKUP(E3,'Tabla Perfiles laminados'!A4:AB460,3,FALSE),(IF(B3="TUBULAR_RECTANGULAR",VLOOKUP(E3,'Tabla Perfiles tubular'!A260:R360,4,FALSE),IF(B3="TUBULAR_CUADRADO",VLOOKUP(E3,'Tabla Perfiles tubular'!A171:R259,4,FALSE),"N/A"))))</f>
        <v>300</v>
      </c>
      <c r="D16" s="80" t="str">
        <f>IF(C16="N/A","",IF(C16="","","mm"))</f>
        <v>mm</v>
      </c>
      <c r="E16" s="99"/>
      <c r="F16" s="6"/>
      <c r="G16" s="6"/>
      <c r="H16" s="6"/>
      <c r="I16" s="6"/>
    </row>
    <row r="17" spans="1:9" x14ac:dyDescent="0.2">
      <c r="A17" s="6"/>
      <c r="B17" s="43" t="str">
        <f>IF(B3="LAMINADO","tf","t")</f>
        <v>tf</v>
      </c>
      <c r="C17" s="80">
        <f>IF(B3="LAMINADO",VLOOKUP(E3,'Tabla Perfiles laminados'!A4:AB460,4,FALSE),(IF(B3="TUBULAR_RECTANGULAR",VLOOKUP(E3,'Tabla Perfiles tubular'!A260:R360,5,FALSE),IF(B3="TUBULAR_CUADRADO",VLOOKUP(E3,'Tabla Perfiles tubular'!A171:R259,5,FALSE),IF(B3="TUBULAR_CIRCULAR",VLOOKUP(E3,'Tabla Perfiles tubular'!A3:R170,5,FALSE),"N/A")))))</f>
        <v>19</v>
      </c>
      <c r="D17" s="80" t="str">
        <f>IF(C17="N/A","",IF(C17="","","mm"))</f>
        <v>mm</v>
      </c>
      <c r="E17" s="99"/>
      <c r="F17" s="563" t="s">
        <v>1000</v>
      </c>
      <c r="G17" s="564"/>
      <c r="H17" s="114">
        <f>IF(B3="LAMINADO",(1.76*$C$22*SQRT(D6/$D$8)/100),"N/A")</f>
        <v>3.1890611662816553</v>
      </c>
      <c r="I17" s="6"/>
    </row>
    <row r="18" spans="1:9" ht="18" x14ac:dyDescent="0.25">
      <c r="A18" s="6"/>
      <c r="B18" s="43" t="s">
        <v>211</v>
      </c>
      <c r="C18" s="80">
        <f>IF(B3="LAMINADO",VLOOKUP($E$3,'Tabla Perfiles laminados'!A1:AB460,6,FALSE),"N/A")</f>
        <v>11</v>
      </c>
      <c r="D18" s="80" t="str">
        <f>IF(C18="N/A","",IF(C18="","","mm"))</f>
        <v>mm</v>
      </c>
      <c r="E18" s="99"/>
      <c r="F18" s="563" t="s">
        <v>1017</v>
      </c>
      <c r="G18" s="564"/>
      <c r="H18" s="113">
        <f>IF(B3="LAMINADO",(IF('Datos genericos columnas'!L6="C   ",'Datos genericos columnas'!V3,(IF('Datos genericos columnas'!L6="UPN ",'Datos genericos columnas'!V4,'Datos genericos columnas'!V5)))),"N/A")</f>
        <v>11.769515664513596</v>
      </c>
      <c r="I18" s="6"/>
    </row>
    <row r="19" spans="1:9" ht="18" x14ac:dyDescent="0.25">
      <c r="A19" s="6"/>
      <c r="B19" s="43" t="s">
        <v>221</v>
      </c>
      <c r="C19" s="80">
        <f>IF(B3="LAMINADO",VLOOKUP(E3,'Tabla Perfiles laminados'!A4:AB460,10,FALSE),(IF(B3="TUBULAR_RECTANGULAR",VLOOKUP(E3,'Tabla Perfiles tubular'!A260:R360,7,FALSE),IF(B3="TUBULAR_CUADRADO",VLOOKUP(E3,'Tabla Perfiles tubular'!A171:R259,7,FALSE),IF(B3="TUBULAR_CIRCULAR",VLOOKUP(E3,'Tabla Perfiles tubular'!A3:R170,7,FALSE),"N/A")))))</f>
        <v>149</v>
      </c>
      <c r="D19" s="80" t="str">
        <f>IF(C18="","","cm2")</f>
        <v>cm2</v>
      </c>
      <c r="E19" s="99"/>
      <c r="F19" s="99"/>
      <c r="G19" s="99"/>
      <c r="H19" s="99"/>
      <c r="I19" s="6"/>
    </row>
    <row r="20" spans="1:9" x14ac:dyDescent="0.2">
      <c r="A20" s="6"/>
      <c r="B20" s="6"/>
      <c r="C20" s="6"/>
      <c r="D20" s="6"/>
      <c r="E20" s="99"/>
      <c r="F20" s="99"/>
      <c r="G20" s="99"/>
      <c r="H20" s="99"/>
      <c r="I20" s="6"/>
    </row>
    <row r="21" spans="1:9" ht="18" x14ac:dyDescent="0.25">
      <c r="A21" s="6"/>
      <c r="B21" s="43" t="s">
        <v>212</v>
      </c>
      <c r="C21" s="80">
        <f>IF(B3="LAMINADO",VLOOKUP(E3,'Tabla Perfiles laminados'!A4:AB460,14,FALSE),(IF(B3="TUBULAR_RECTANGULAR",VLOOKUP(E3,'Tabla Perfiles tubular'!A260:R360,13,FALSE),IF(B3="TUBULAR_CUADRADO",VLOOKUP(E3,'Tabla Perfiles tubular'!A171:R259,13,FALSE),IF(B3="TUBULAR_CIRCULAR",VLOOKUP(E3,'Tabla Perfiles tubular'!A3:R170,13,FALSE),"N/A")))))</f>
        <v>13</v>
      </c>
      <c r="D21" s="80" t="s">
        <v>118</v>
      </c>
      <c r="E21" s="99"/>
      <c r="F21" s="99"/>
      <c r="G21" s="99"/>
      <c r="H21" s="99"/>
      <c r="I21" s="6"/>
    </row>
    <row r="22" spans="1:9" ht="18" x14ac:dyDescent="0.25">
      <c r="A22" s="6"/>
      <c r="B22" s="43" t="s">
        <v>213</v>
      </c>
      <c r="C22" s="80">
        <f>IF(B3="LAMINADO",VLOOKUP(E3,'Tabla Perfiles laminados'!A4:AB460,19,FALSE),(IF(B3="TUBULAR_RECTANGULAR",VLOOKUP(E3,'Tabla Perfiles tubular'!A260:R360,14,FALSE),IF(B3="TUBULAR_CUADRADO",VLOOKUP(E3,'Tabla Perfiles tubular'!A171:R259,14,FALSE),IF(B3="TUBULAR_CIRCULAR",VLOOKUP(E3,'Tabla Perfiles tubular'!A3:R170,14,FALSE),"N/A")))))</f>
        <v>7.58</v>
      </c>
      <c r="D22" s="80" t="s">
        <v>118</v>
      </c>
      <c r="E22" s="99"/>
      <c r="F22" s="99"/>
      <c r="G22" s="99"/>
      <c r="H22" s="99"/>
      <c r="I22" s="48"/>
    </row>
    <row r="23" spans="1:9" x14ac:dyDescent="0.2">
      <c r="A23" s="6"/>
      <c r="B23" s="43" t="s">
        <v>100</v>
      </c>
      <c r="C23" s="88">
        <f>IF(B3="LAMINADO",VLOOKUP(E3,'Tabla Perfiles laminados'!A4:AB460,12,FALSE),(IF(B3="TUBULAR_RECTANGULAR",VLOOKUP(E3,'Tabla Perfiles tubular'!A260:R360,9,FALSE),IF(B3="TUBULAR_CUADRADO",VLOOKUP(E3,'Tabla Perfiles tubular'!A171:R259,9,FALSE),IF(B3="TUBULAR_CIRCULAR",VLOOKUP(E3,'Tabla Perfiles tubular'!A3:R170,9,FALSE),"N/A")))))</f>
        <v>25170</v>
      </c>
      <c r="D23" s="88" t="s">
        <v>116</v>
      </c>
      <c r="E23" s="99"/>
      <c r="F23" s="99"/>
      <c r="G23" s="99"/>
      <c r="H23" s="99"/>
      <c r="I23" s="6"/>
    </row>
    <row r="24" spans="1:9" x14ac:dyDescent="0.2">
      <c r="A24" s="6"/>
      <c r="B24" s="43" t="s">
        <v>105</v>
      </c>
      <c r="C24" s="88">
        <f>IF(B3="LAMINADO",VLOOKUP(E3,'Tabla Perfiles laminados'!A4:AB460,17,FALSE),(IF(B3="TUBULAR_RECTANGULAR",VLOOKUP(E3,'Tabla Perfiles tubular'!A260:R360,10,FALSE),IF(B3="TUBULAR_CUADRADO",VLOOKUP(E3,'Tabla Perfiles tubular'!A171:R259,10,FALSE),IF(B3="TUBULAR_CIRCULAR",VLOOKUP(E3,'Tabla Perfiles tubular'!A3:R170,10,FALSE),"N/A")))))</f>
        <v>8560</v>
      </c>
      <c r="D24" s="88" t="s">
        <v>116</v>
      </c>
      <c r="E24" s="99"/>
      <c r="F24" s="99"/>
      <c r="G24" s="99"/>
      <c r="H24" s="99"/>
      <c r="I24" s="6"/>
    </row>
    <row r="25" spans="1:9" x14ac:dyDescent="0.2">
      <c r="A25" s="6"/>
      <c r="B25" s="43" t="s">
        <v>101</v>
      </c>
      <c r="C25" s="97">
        <f>IF(B3="LAMINADO",VLOOKUP(E3,'Tabla Perfiles laminados'!A4:AB460,13,FALSE),(IF(B3="TUBULAR_RECTANGULAR",VLOOKUP(E3,'Tabla Perfiles tubular'!A260:R360,11,FALSE),IF(B3="TUBULAR_CUADRADO",VLOOKUP(E3,'Tabla Perfiles tubular'!A171:R259,11,FALSE),IF(B3="TUBULAR_CIRCULAR",VLOOKUP(E3,'Tabla Perfiles tubular'!A3:R170,11,FALSE),"N/A")))))</f>
        <v>1680</v>
      </c>
      <c r="D25" s="97" t="s">
        <v>117</v>
      </c>
      <c r="E25" s="99"/>
      <c r="F25" s="99"/>
      <c r="G25" s="99"/>
      <c r="H25" s="99"/>
      <c r="I25" s="6"/>
    </row>
    <row r="26" spans="1:9" x14ac:dyDescent="0.2">
      <c r="A26" s="6"/>
      <c r="B26" s="43" t="s">
        <v>106</v>
      </c>
      <c r="C26" s="108">
        <f>IF(B3="LAMINADO",VLOOKUP(E3,'Tabla Perfiles laminados'!A4:AB460,18,FALSE),(IF(B3="TUBULAR_RECTANGULAR",VLOOKUP(E3,'Tabla Perfiles tubular'!A260:R360,12,FALSE),IF(B3="TUBULAR_CUADRADO",VLOOKUP(E3,'Tabla Perfiles tubular'!A171:R259,12,FALSE),IF(B3="TUBULAR_CIRCULAR",VLOOKUP(E3,'Tabla Perfiles tubular'!A3:R170,12,FALSE),"N/A")))))</f>
        <v>571</v>
      </c>
      <c r="D26" s="108" t="s">
        <v>117</v>
      </c>
      <c r="E26" s="99"/>
      <c r="F26" s="99"/>
      <c r="G26" s="99"/>
      <c r="H26" s="99"/>
      <c r="I26" s="6"/>
    </row>
    <row r="27" spans="1:9" x14ac:dyDescent="0.2">
      <c r="A27" s="6"/>
      <c r="B27" s="43" t="s">
        <v>104</v>
      </c>
      <c r="C27" s="97">
        <f>IF(B3="LAMINADO",VLOOKUP(E3,'Tabla Perfiles laminados'!A4:AB460,16,FALSE),(IF(B3="TUBULAR_RECTANGULAR",VLOOKUP(E3,'Tabla Perfiles tubular'!A260:R360,15,FALSE),IF(B3="TUBULAR_CUADRADO",VLOOKUP(E3,'Tabla Perfiles tubular'!A171:R259,15,FALSE),IF(B3="TUBULAR_CIRCULAR",VLOOKUP(E3,'Tabla Perfiles tubular'!A3:R170,15,FALSE),"N/A")))))</f>
        <v>1868</v>
      </c>
      <c r="D27" s="97" t="s">
        <v>117</v>
      </c>
      <c r="E27" s="99"/>
      <c r="F27" s="99"/>
      <c r="G27" s="99"/>
      <c r="H27" s="99"/>
      <c r="I27" s="6"/>
    </row>
    <row r="28" spans="1:9" x14ac:dyDescent="0.2">
      <c r="A28" s="6"/>
      <c r="B28" s="43" t="s">
        <v>110</v>
      </c>
      <c r="C28" s="108">
        <f>IF(B3="LAMINADO",VLOOKUP(E3,'Tabla Perfiles laminados'!A4:AB460,22,FALSE),(IF(B3="TUBULAR_RECTANGULAR",VLOOKUP(E3,'Tabla Perfiles tubular'!A260:R360,16,FALSE),IF(B3="TUBULAR_CUADRADO",VLOOKUP(E3,'Tabla Perfiles tubular'!A171:R259,16,FALSE),IF(B3="TUBULAR_CIRCULAR",VLOOKUP(E3,'Tabla Perfiles tubular'!A3:R170,16,FALSE),"N/A")))))</f>
        <v>863</v>
      </c>
      <c r="D28" s="108" t="s">
        <v>117</v>
      </c>
      <c r="E28" s="99"/>
      <c r="F28" s="99"/>
      <c r="G28" s="99"/>
      <c r="H28" s="99"/>
      <c r="I28" s="6"/>
    </row>
    <row r="29" spans="1:9" x14ac:dyDescent="0.2">
      <c r="A29" s="6"/>
      <c r="B29" s="43" t="s">
        <v>88</v>
      </c>
      <c r="C29" s="88">
        <f>IF(B3="LAMINADO",VLOOKUP(E3,'Tabla Perfiles laminados'!A4:AB460,24,FALSE),"N/A")</f>
        <v>1688000</v>
      </c>
      <c r="D29" s="88" t="s">
        <v>119</v>
      </c>
      <c r="E29" s="99"/>
      <c r="F29" s="99"/>
      <c r="G29" s="99"/>
      <c r="H29" s="99"/>
      <c r="I29" s="6"/>
    </row>
    <row r="30" spans="1:9" x14ac:dyDescent="0.2">
      <c r="A30" s="6"/>
      <c r="B30" s="43" t="s">
        <v>87</v>
      </c>
      <c r="C30" s="88">
        <f>IF(B3="LAMINADO",VLOOKUP(E3,'Tabla Perfiles laminados'!A4:AB460,23,FALSE),"N/A")</f>
        <v>149</v>
      </c>
      <c r="D30" s="88" t="s">
        <v>116</v>
      </c>
      <c r="E30" s="99"/>
      <c r="F30" s="99"/>
      <c r="G30" s="99"/>
      <c r="H30" s="99"/>
      <c r="I30" s="6"/>
    </row>
    <row r="31" spans="1:9" x14ac:dyDescent="0.2">
      <c r="A31" s="6"/>
      <c r="B31" s="43" t="s">
        <v>998</v>
      </c>
      <c r="C31" s="97" t="str">
        <f>VLOOKUP(E3,'Tabla Perfiles laminados'!A4:AB460,28,FALSE)</f>
        <v>N/A</v>
      </c>
      <c r="D31" s="97" t="str">
        <f>IF(B31="","","cm")</f>
        <v>cm</v>
      </c>
      <c r="E31" s="99"/>
      <c r="F31" s="99"/>
      <c r="G31" s="99"/>
      <c r="H31" s="99"/>
      <c r="I31" s="6"/>
    </row>
    <row r="32" spans="1:9" x14ac:dyDescent="0.2">
      <c r="A32" s="6"/>
      <c r="B32" s="43" t="s">
        <v>999</v>
      </c>
      <c r="C32" s="97" t="str">
        <f>IF(C31="N/A","N/A",0)</f>
        <v>N/A</v>
      </c>
      <c r="D32" s="97" t="str">
        <f>IF(B32="","","cm")</f>
        <v>cm</v>
      </c>
      <c r="E32" s="6" t="s">
        <v>1018</v>
      </c>
      <c r="F32" s="6"/>
      <c r="G32" s="6"/>
      <c r="H32" s="6"/>
      <c r="I32" s="6"/>
    </row>
    <row r="33" spans="1:9" x14ac:dyDescent="0.2">
      <c r="A33" s="6"/>
      <c r="B33" s="6"/>
      <c r="C33" s="6"/>
      <c r="D33" s="6"/>
      <c r="E33" s="6"/>
      <c r="F33" s="6"/>
      <c r="G33" s="6"/>
      <c r="H33" s="6"/>
      <c r="I33" s="6"/>
    </row>
    <row r="34" spans="1:9" x14ac:dyDescent="0.2">
      <c r="A34" s="6"/>
      <c r="B34" s="6"/>
      <c r="C34" s="6"/>
      <c r="D34" s="6"/>
      <c r="E34" s="6"/>
      <c r="F34" s="565" t="s">
        <v>1080</v>
      </c>
      <c r="G34" s="565"/>
      <c r="H34" s="143" t="s">
        <v>1128</v>
      </c>
      <c r="I34" s="6"/>
    </row>
    <row r="35" spans="1:9" x14ac:dyDescent="0.2">
      <c r="A35" s="6"/>
      <c r="B35" s="5"/>
      <c r="C35" s="148"/>
      <c r="D35" s="148"/>
      <c r="E35" s="6"/>
      <c r="F35" s="566" t="str">
        <f>IF(H34="no","","a (distancia entre rigidizadores) [mm]")</f>
        <v>a (distancia entre rigidizadores) [mm]</v>
      </c>
      <c r="G35" s="567"/>
      <c r="H35" s="570">
        <v>1200</v>
      </c>
      <c r="I35" s="6"/>
    </row>
    <row r="36" spans="1:9" x14ac:dyDescent="0.2">
      <c r="A36" s="6"/>
      <c r="B36" s="5"/>
      <c r="C36" s="148"/>
      <c r="D36" s="148"/>
      <c r="E36" s="6"/>
      <c r="F36" s="568"/>
      <c r="G36" s="569"/>
      <c r="H36" s="571"/>
      <c r="I36" s="6"/>
    </row>
    <row r="37" spans="1:9" s="6" customFormat="1" x14ac:dyDescent="0.2">
      <c r="B37" s="5"/>
      <c r="C37" s="148"/>
      <c r="D37" s="148"/>
      <c r="F37" s="180"/>
      <c r="G37" s="180"/>
      <c r="H37" s="181"/>
    </row>
    <row r="38" spans="1:9" ht="20.25" customHeight="1" x14ac:dyDescent="0.2">
      <c r="A38" s="519" t="s">
        <v>592</v>
      </c>
      <c r="B38" s="520"/>
      <c r="C38" s="520"/>
      <c r="D38" s="520"/>
      <c r="E38" s="520"/>
      <c r="F38" s="520"/>
      <c r="G38" s="520"/>
      <c r="H38" s="520"/>
      <c r="I38" s="521"/>
    </row>
    <row r="39" spans="1:9" ht="20.25" customHeight="1" thickBot="1" x14ac:dyDescent="0.25">
      <c r="A39" s="90"/>
      <c r="B39" s="90"/>
      <c r="C39" s="90"/>
      <c r="D39" s="90"/>
      <c r="E39" s="90"/>
      <c r="F39" s="90"/>
      <c r="G39" s="90"/>
      <c r="H39" s="90"/>
      <c r="I39" s="90"/>
    </row>
    <row r="40" spans="1:9" ht="23.25" customHeight="1" x14ac:dyDescent="0.2">
      <c r="A40" s="6"/>
      <c r="B40" s="64"/>
      <c r="C40" s="64"/>
      <c r="D40" s="6"/>
      <c r="E40" s="561" t="s">
        <v>222</v>
      </c>
      <c r="F40" s="562"/>
      <c r="G40" s="561" t="s">
        <v>223</v>
      </c>
      <c r="H40" s="562"/>
      <c r="I40" s="6"/>
    </row>
    <row r="41" spans="1:9" ht="27.75" customHeight="1" x14ac:dyDescent="0.2">
      <c r="A41" s="6"/>
      <c r="B41" s="81" t="str">
        <f>IF(B3="LAMINADO","bf/2tf (Aletas)",IF(B3="TUBULAR_RECTANGULAR","h/t","b/t"))</f>
        <v>bf/2tf (Aletas)</v>
      </c>
      <c r="C41" s="41">
        <f>IF(B3="TUBULAR_CIRCULAR",(C14/C17),(IF(B3="TUBULAR_RECTANGULAR",(C15/C17),IF(B3="LAMINADO",(C16/(2*C17)),C16/C17))))</f>
        <v>7.8947368421052628</v>
      </c>
      <c r="D41" s="112" t="s">
        <v>214</v>
      </c>
      <c r="E41" s="49">
        <f>IF(B3="LAMINADO",(0.56*SQRT(D6/D8)),IF(B3="TUBULAR_CIRCULAR",(0.11*(D6/D8)),1.4*SQRT(D6/D8)))</f>
        <v>13.386560424545209</v>
      </c>
      <c r="F41" s="50" t="str">
        <f>IF(E41="","",IF(C41&lt;E41,"Compacto","Esbelto"))</f>
        <v>Compacto</v>
      </c>
      <c r="G41" s="129">
        <f>IF(E4="DMI",("NO SE ESPECIFICAN REQUISITOS"),(IF(E4="DMO",(VLOOKUP(B41,'Datos genericos columnas'!H3:J6,2,FALSE)),(VLOOKUP(B41,'Datos genericos columnas'!H3:J6,3,FALSE)))))</f>
        <v>9.0837374309413921</v>
      </c>
      <c r="H41" s="65" t="str">
        <f>IF(E4="DMI","",IF(AND(C41&lt;G41,E4="DMO"),"Ductilidad moderada",IF(AND(C41&lt;G41,E4="DES"),"Ductilidad alta","No dúctil")))</f>
        <v>Ductilidad moderada</v>
      </c>
      <c r="I41" s="6"/>
    </row>
    <row r="42" spans="1:9" ht="29.25" customHeight="1" thickBot="1" x14ac:dyDescent="0.25">
      <c r="A42" s="6"/>
      <c r="B42" s="80" t="str">
        <f>IF(B3="LAMINADO","hw/tw (Alma)","")</f>
        <v>hw/tw (Alma)</v>
      </c>
      <c r="C42" s="46">
        <f>IF(B42="","",C15/C18)</f>
        <v>18.90909090909091</v>
      </c>
      <c r="D42" s="66" t="str">
        <f>IF(B42="","","&lt;")</f>
        <v>&lt;</v>
      </c>
      <c r="E42" s="67">
        <f>IF(B42="","",1.49*SQRT(D6/D8))</f>
        <v>35.617812558164928</v>
      </c>
      <c r="F42" s="68" t="str">
        <f>IF(E42="","",IF(C42&lt;E42,"Compacto","Esbelto"))</f>
        <v>Compacto</v>
      </c>
      <c r="G42" s="130">
        <f>IF(B42="","",IF(E4="DMI",("NO SE ESPECIFICAN REQUISITOS"),(IF(E4="DMO",(VLOOKUP(B42,'Datos genericos columnas'!H3:J6,2,FALSE)),(VLOOKUP(B42,'Datos genericos columnas'!H3:J6,3,FALSE))))))</f>
        <v>81.98175785178492</v>
      </c>
      <c r="H42" s="69" t="str">
        <f>IF(B42="","",IF(E4="DMI","",IF(AND(C42&lt;G42,E4="DMO"),"Ductilidad moderada",IF(AND(C42&lt;G42,E4="DES"),"Ductilidad alta","No dúctil"))))</f>
        <v>Ductilidad moderada</v>
      </c>
      <c r="I42" s="6"/>
    </row>
    <row r="43" spans="1:9" x14ac:dyDescent="0.2">
      <c r="A43" s="6"/>
      <c r="B43" s="6"/>
      <c r="C43" s="6"/>
      <c r="D43" s="6"/>
      <c r="E43" s="6"/>
      <c r="F43" s="6"/>
      <c r="G43" s="6"/>
      <c r="H43" s="6"/>
      <c r="I43" s="6"/>
    </row>
    <row r="44" spans="1:9" x14ac:dyDescent="0.2">
      <c r="B44" s="6"/>
      <c r="C44" s="6"/>
      <c r="E44" s="596" t="str">
        <f>IF(AND(F41="Compacto",F42="Compacto"),"Compacto",IF(AND(F41="Compacto",F42=""),"Compacto","Esbelto"))</f>
        <v>Compacto</v>
      </c>
      <c r="F44" s="597"/>
      <c r="G44" s="526" t="str">
        <f>IF(E4="DMI","No se especifican requisitos",(IF(OR(H41="No dúctil",H42="No dúctil"),"No dúctil",IF(AND(OR(H41="Ductilidad moderada",H41="Ductilidad alta"),H42=""),"Dúctil",(IF(H41=H42,"Dúctil","No dúctil"))))))</f>
        <v>Dúctil</v>
      </c>
      <c r="H44" s="527"/>
      <c r="I44" s="6"/>
    </row>
    <row r="45" spans="1:9" x14ac:dyDescent="0.2">
      <c r="A45" s="6"/>
      <c r="B45" s="6"/>
      <c r="C45" s="6"/>
      <c r="D45" s="87"/>
      <c r="E45" s="87"/>
      <c r="F45" s="87"/>
      <c r="G45" s="87"/>
      <c r="H45" s="87"/>
      <c r="I45" s="6"/>
    </row>
    <row r="46" spans="1:9" ht="28.5" customHeight="1" x14ac:dyDescent="0.2">
      <c r="A46" s="6"/>
      <c r="B46" s="6"/>
      <c r="C46" s="6"/>
      <c r="E46" s="593" t="str">
        <f>IF(AND(E44="Compacto",G44="Dúctil"),"Cumple","No cumple")</f>
        <v>Cumple</v>
      </c>
      <c r="F46" s="594"/>
      <c r="G46" s="594"/>
      <c r="H46" s="595"/>
      <c r="I46" s="6"/>
    </row>
    <row r="47" spans="1:9" x14ac:dyDescent="0.2">
      <c r="A47" s="6"/>
      <c r="B47" s="6"/>
      <c r="C47" s="6"/>
      <c r="D47" s="6"/>
      <c r="E47" s="6"/>
      <c r="F47" s="6"/>
      <c r="G47" s="6"/>
      <c r="H47" s="6"/>
      <c r="I47" s="6"/>
    </row>
    <row r="48" spans="1:9" ht="20.25" customHeight="1" x14ac:dyDescent="0.2">
      <c r="A48" s="519" t="s">
        <v>593</v>
      </c>
      <c r="B48" s="520"/>
      <c r="C48" s="520"/>
      <c r="D48" s="520"/>
      <c r="E48" s="520"/>
      <c r="F48" s="520"/>
      <c r="G48" s="520"/>
      <c r="H48" s="520"/>
      <c r="I48" s="521"/>
    </row>
    <row r="49" spans="1:9" x14ac:dyDescent="0.2">
      <c r="A49" s="6"/>
      <c r="B49" s="6"/>
      <c r="C49" s="6"/>
      <c r="D49" s="6"/>
      <c r="F49" s="6"/>
      <c r="G49" s="6"/>
      <c r="H49" s="6"/>
      <c r="I49" s="6"/>
    </row>
    <row r="50" spans="1:9" x14ac:dyDescent="0.2">
      <c r="B50" s="524" t="s">
        <v>594</v>
      </c>
      <c r="C50" s="525"/>
      <c r="D50" s="88">
        <v>1</v>
      </c>
      <c r="E50" s="6"/>
      <c r="F50" s="6"/>
      <c r="G50" s="6"/>
      <c r="H50" s="6"/>
      <c r="I50" s="6"/>
    </row>
    <row r="51" spans="1:9" x14ac:dyDescent="0.2">
      <c r="A51" s="6"/>
      <c r="B51" s="6"/>
      <c r="C51" s="6"/>
      <c r="D51" s="6"/>
      <c r="E51" s="6"/>
      <c r="F51" s="6"/>
      <c r="G51" s="6"/>
      <c r="H51" s="6"/>
      <c r="I51" s="6"/>
    </row>
    <row r="52" spans="1:9" ht="26.25" customHeight="1" x14ac:dyDescent="0.2">
      <c r="A52" s="6"/>
      <c r="B52" s="88" t="s">
        <v>595</v>
      </c>
      <c r="C52" s="46">
        <f>IF(E3="","",($D$50*($H$14*100))/(C21))</f>
        <v>19.23076923076923</v>
      </c>
      <c r="D52" s="66" t="s">
        <v>214</v>
      </c>
      <c r="E52" s="88">
        <v>200</v>
      </c>
      <c r="F52" s="88" t="str">
        <f>IF(C52="","",IF(C52&lt;=E52,"No esbelto","Esbelto"))</f>
        <v>No esbelto</v>
      </c>
      <c r="G52" s="6"/>
      <c r="H52" s="522" t="str">
        <f>IF(E3="","",IF(AND(F52="No esbelto",F53="No esbelto"),"Cumple","No cumple"))</f>
        <v>Cumple</v>
      </c>
      <c r="I52" s="6"/>
    </row>
    <row r="53" spans="1:9" ht="26.25" customHeight="1" x14ac:dyDescent="0.2">
      <c r="A53" s="6"/>
      <c r="B53" s="88" t="s">
        <v>596</v>
      </c>
      <c r="C53" s="46">
        <f>IF(E3="","",($D$50*($H$15*100))/(C22))</f>
        <v>32.981530343007918</v>
      </c>
      <c r="D53" s="66" t="s">
        <v>214</v>
      </c>
      <c r="E53" s="88">
        <v>200</v>
      </c>
      <c r="F53" s="88" t="str">
        <f>IF(C53="","",IF(C53&lt;=E53,"No esbelto","Esbelto"))</f>
        <v>No esbelto</v>
      </c>
      <c r="G53" s="6"/>
      <c r="H53" s="523"/>
      <c r="I53" s="6"/>
    </row>
    <row r="54" spans="1:9" x14ac:dyDescent="0.2">
      <c r="A54" s="6"/>
      <c r="B54" s="6"/>
      <c r="C54" s="6"/>
      <c r="D54" s="6"/>
      <c r="E54" s="6"/>
      <c r="F54" s="6"/>
      <c r="G54" s="6"/>
      <c r="H54" s="6"/>
      <c r="I54" s="6"/>
    </row>
    <row r="55" spans="1:9" ht="20.25" customHeight="1" x14ac:dyDescent="0.2">
      <c r="A55" s="519" t="s">
        <v>597</v>
      </c>
      <c r="B55" s="520"/>
      <c r="C55" s="520"/>
      <c r="D55" s="520"/>
      <c r="E55" s="520"/>
      <c r="F55" s="520"/>
      <c r="G55" s="520"/>
      <c r="H55" s="520"/>
      <c r="I55" s="521"/>
    </row>
    <row r="56" spans="1:9" x14ac:dyDescent="0.2">
      <c r="A56" s="6"/>
      <c r="B56" s="6"/>
      <c r="C56" s="6"/>
      <c r="D56" s="6"/>
      <c r="E56" s="6"/>
      <c r="F56" s="6"/>
      <c r="G56" s="6"/>
      <c r="H56" s="6"/>
      <c r="I56" s="6"/>
    </row>
    <row r="57" spans="1:9" ht="15" x14ac:dyDescent="0.25">
      <c r="A57" s="92"/>
      <c r="B57" s="530" t="s">
        <v>987</v>
      </c>
      <c r="C57" s="530"/>
      <c r="D57" s="530"/>
      <c r="E57" s="530"/>
      <c r="F57" s="530"/>
      <c r="G57" s="530"/>
      <c r="H57" s="530"/>
      <c r="I57" s="6"/>
    </row>
    <row r="58" spans="1:9" x14ac:dyDescent="0.2">
      <c r="A58" s="6"/>
      <c r="B58" s="6"/>
      <c r="C58" s="6"/>
      <c r="D58" s="6"/>
      <c r="E58" s="6"/>
      <c r="F58" s="6"/>
      <c r="G58" s="6"/>
      <c r="H58" s="6"/>
      <c r="I58" s="6"/>
    </row>
    <row r="59" spans="1:9" ht="15" x14ac:dyDescent="0.25">
      <c r="B59" s="530" t="s">
        <v>984</v>
      </c>
      <c r="C59" s="530"/>
      <c r="D59" s="530" t="s">
        <v>985</v>
      </c>
      <c r="E59" s="530"/>
      <c r="F59" s="530" t="s">
        <v>986</v>
      </c>
      <c r="G59" s="530"/>
      <c r="H59" s="530"/>
      <c r="I59" s="6"/>
    </row>
    <row r="60" spans="1:9" x14ac:dyDescent="0.2">
      <c r="A60" s="6"/>
      <c r="B60" s="540" t="str">
        <f>IF(VLOOKUP('Datos genericos columnas'!L6,'Datos genericos columnas'!L8:P20,3,FALSE)=1,"Aplica","No aplica")</f>
        <v>Aplica</v>
      </c>
      <c r="C60" s="540"/>
      <c r="D60" s="540" t="str">
        <f>IF(VLOOKUP('Datos genericos columnas'!L6,'Datos genericos columnas'!L8:P20,4,FALSE)=1,"Aplica","No aplica")</f>
        <v>Aplica</v>
      </c>
      <c r="E60" s="540"/>
      <c r="F60" s="540" t="str">
        <f>IF(VLOOKUP('Datos genericos columnas'!L6,'Datos genericos columnas'!L8:P20,5,FALSE)=1,"Aplica","No aplica")</f>
        <v>No aplica</v>
      </c>
      <c r="G60" s="540"/>
      <c r="H60" s="540"/>
      <c r="I60" s="6"/>
    </row>
    <row r="61" spans="1:9" x14ac:dyDescent="0.2">
      <c r="A61" s="6"/>
      <c r="B61" s="6"/>
      <c r="C61" s="6"/>
      <c r="D61" s="6"/>
      <c r="E61" s="6"/>
      <c r="F61" s="6"/>
      <c r="G61" s="6"/>
      <c r="H61" s="6"/>
      <c r="I61" s="6"/>
    </row>
    <row r="62" spans="1:9" hidden="1" x14ac:dyDescent="0.2">
      <c r="A62" s="6"/>
      <c r="B62" s="541">
        <f>+(((PI()^2)*$D$6)/(MAX(C52:C53)^2))</f>
        <v>1814.6302025944015</v>
      </c>
      <c r="C62" s="541"/>
      <c r="D62" s="541">
        <f>((((PI()^2)*$D$6*($C$29))/((D50*($H$14*100))^2))+($D$7*($C$30)))*(1/($C$23+$C$24))</f>
        <v>1921.5670066090802</v>
      </c>
      <c r="E62" s="541"/>
      <c r="F62" s="95">
        <f>(((PI()^2)*$D$6)/(C52^2))</f>
        <v>5337.4820601091251</v>
      </c>
      <c r="G62" s="95" t="e">
        <f>((((PI()^2)*$D$6*($C$29))/((D50*($H$14*100))^2))+($D$7*($C$30)))*(1/($C$19*(($C$31^2)+($C$32^2)+(($C$23+$C$24)/$C$19))))</f>
        <v>#VALUE!</v>
      </c>
      <c r="H62" s="95" t="e">
        <f>(($F$62+$G$62)/(2*(1-(((C31^2)+(C32^2))/((($C$31^2)+($C$32^2)+(($C$23+$C$24)/$C$19)))))))*(1-(SQRT(1-((4*$F$62*$G$62*((1-(((C31^2)+(C32^2))/((($C$31^2)+($C$32^2)+(($C$23+$C$24)/$C$19)))))))/((($F$62+$G$62)^2))))))</f>
        <v>#VALUE!</v>
      </c>
      <c r="I62" s="6"/>
    </row>
    <row r="63" spans="1:9" ht="15" x14ac:dyDescent="0.25">
      <c r="A63" s="6"/>
      <c r="B63" s="528" t="s">
        <v>989</v>
      </c>
      <c r="C63" s="528"/>
      <c r="D63" s="528"/>
      <c r="E63" s="528"/>
      <c r="F63" s="528"/>
      <c r="G63" s="528"/>
      <c r="H63" s="528"/>
      <c r="I63" s="6"/>
    </row>
    <row r="64" spans="1:9" x14ac:dyDescent="0.2">
      <c r="A64" s="6"/>
      <c r="B64" s="94">
        <f>+IF(B60="No aplica","",IF((MAX(C52:C53)&lt;=(4.71*SQRT($D$6/$D$8))),((0.658^($D$8/(B62)))*$D$8),(0.877*B62)))</f>
        <v>322.85539134665379</v>
      </c>
      <c r="C64" s="94" t="str">
        <f>IF(B64="","","MPa")</f>
        <v>MPa</v>
      </c>
      <c r="D64" s="93">
        <f>+IF(D60="No aplica","",IF((MAX(C52:C53)&lt;=(4.71*SQRT($D$6/$D$8))),((0.658^($D$8/(D62)))*$D$8),(0.877*D62)))</f>
        <v>324.30911966630686</v>
      </c>
      <c r="E64" s="93" t="str">
        <f>IF(D64="","","MPa")</f>
        <v>MPa</v>
      </c>
      <c r="F64" s="542" t="str">
        <f>IF(F60="No aplica","",IF((MAX(C52:C53)&lt;=(4.71*SQRT($D$6/$D$8))),((0.658^($D$8/(H62)))*$D$8),(0.877*H62)))</f>
        <v/>
      </c>
      <c r="G64" s="543"/>
      <c r="H64" s="93" t="str">
        <f>IF(F64="","","MPa")</f>
        <v/>
      </c>
      <c r="I64" s="6"/>
    </row>
    <row r="65" spans="1:9" x14ac:dyDescent="0.2">
      <c r="A65" s="6"/>
      <c r="B65" s="6"/>
      <c r="C65" s="6"/>
      <c r="D65" s="6"/>
      <c r="E65" s="6"/>
      <c r="F65" s="6"/>
      <c r="G65" s="6"/>
      <c r="H65" s="6"/>
      <c r="I65" s="6"/>
    </row>
    <row r="66" spans="1:9" ht="16.5" x14ac:dyDescent="0.3">
      <c r="A66" s="6"/>
      <c r="B66" s="528" t="s">
        <v>995</v>
      </c>
      <c r="C66" s="528"/>
      <c r="D66" s="528"/>
      <c r="E66" s="528"/>
      <c r="F66" s="528"/>
      <c r="G66" s="528"/>
      <c r="H66" s="528"/>
      <c r="I66" s="6"/>
    </row>
    <row r="67" spans="1:9" x14ac:dyDescent="0.2">
      <c r="A67" s="6"/>
      <c r="B67" s="46">
        <f>IF(B60="No aplica","",0.9*(B64*($C$19*0.0001)*1000))</f>
        <v>4329.4907979586278</v>
      </c>
      <c r="C67" s="88" t="str">
        <f>IF(B67="","","kN")</f>
        <v>kN</v>
      </c>
      <c r="D67" s="88">
        <f>IF(D60="No aplica","",0.9*(D64*($C$19*0.0001)*1000))</f>
        <v>4348.9852947251757</v>
      </c>
      <c r="E67" s="88" t="str">
        <f>IF(D67="","","Mpa")</f>
        <v>Mpa</v>
      </c>
      <c r="F67" s="529" t="str">
        <f>IF(F60="No aplica","",0.9*(F64*($C$19*0.0001)*1000))</f>
        <v/>
      </c>
      <c r="G67" s="529"/>
      <c r="H67" s="88" t="str">
        <f>IF(F67="","","Mpa")</f>
        <v/>
      </c>
      <c r="I67" s="6"/>
    </row>
    <row r="68" spans="1:9" x14ac:dyDescent="0.2">
      <c r="A68" s="6"/>
      <c r="B68" s="6"/>
      <c r="C68" s="6"/>
      <c r="D68" s="6"/>
      <c r="E68" s="6"/>
      <c r="F68" s="6"/>
      <c r="G68" s="6"/>
      <c r="H68" s="6"/>
      <c r="I68" s="6"/>
    </row>
    <row r="69" spans="1:9" ht="28.5" customHeight="1" x14ac:dyDescent="0.2">
      <c r="B69" s="88" t="s">
        <v>991</v>
      </c>
      <c r="C69" s="41">
        <f>IF(E3="","",MIN(B67,D67,F67))</f>
        <v>4329.4907979586278</v>
      </c>
      <c r="D69" s="66" t="s">
        <v>990</v>
      </c>
      <c r="E69" s="88">
        <f>$H$6</f>
        <v>150</v>
      </c>
      <c r="F69" s="108" t="s">
        <v>224</v>
      </c>
      <c r="H69" s="108" t="str">
        <f>IF(C69="","",IF(C69&gt;E69,"Cumple","No cumple"))</f>
        <v>Cumple</v>
      </c>
      <c r="I69" s="6"/>
    </row>
    <row r="70" spans="1:9" x14ac:dyDescent="0.2">
      <c r="A70" s="6"/>
      <c r="B70" s="6"/>
      <c r="C70" s="6"/>
      <c r="D70" s="6"/>
      <c r="E70" s="6"/>
      <c r="F70" s="6"/>
      <c r="G70" s="6"/>
      <c r="H70" s="6"/>
      <c r="I70" s="6"/>
    </row>
    <row r="71" spans="1:9" ht="20.25" customHeight="1" x14ac:dyDescent="0.2">
      <c r="A71" s="519" t="s">
        <v>1053</v>
      </c>
      <c r="B71" s="520"/>
      <c r="C71" s="520"/>
      <c r="D71" s="520"/>
      <c r="E71" s="520"/>
      <c r="F71" s="520"/>
      <c r="G71" s="520"/>
      <c r="H71" s="520"/>
      <c r="I71" s="521"/>
    </row>
    <row r="72" spans="1:9" ht="14.25" customHeight="1" x14ac:dyDescent="0.2">
      <c r="A72" s="6"/>
      <c r="B72" s="6"/>
      <c r="C72" s="6"/>
      <c r="D72" s="6"/>
      <c r="E72" s="6"/>
      <c r="F72" s="6"/>
      <c r="G72" s="6"/>
      <c r="H72" s="6"/>
      <c r="I72" s="6"/>
    </row>
    <row r="73" spans="1:9" ht="14.25" customHeight="1" x14ac:dyDescent="0.2">
      <c r="B73" s="544" t="s">
        <v>1019</v>
      </c>
      <c r="C73" s="544"/>
      <c r="D73" s="540" t="str">
        <f>IF(B3="LAMINADO",(IF(H14&lt;=$H$17,"Aparición de articulaciones plásticas",IF(AND(H14&gt;$H$17,H14&lt;=$H$18),"Pandeo flexotorsional en rango inelástico",IF(H14&gt;$H$18,"Pandeo flexotorsional en rango elástico","")))),"Aparición de articulaciones plásticas")</f>
        <v>Aparición de articulaciones plásticas</v>
      </c>
      <c r="E73" s="540"/>
      <c r="F73" s="540"/>
      <c r="G73" s="540"/>
      <c r="H73" s="92"/>
      <c r="I73" s="6"/>
    </row>
    <row r="74" spans="1:9" ht="14.25" customHeight="1" x14ac:dyDescent="0.2">
      <c r="A74" s="6"/>
      <c r="B74" s="526" t="s">
        <v>1045</v>
      </c>
      <c r="C74" s="527"/>
      <c r="D74" s="586">
        <f>VLOOKUP($D$73,'Datos genericos columnas'!Y3:Z5,2,FALSE)</f>
        <v>588.42000000000007</v>
      </c>
      <c r="E74" s="586"/>
      <c r="F74" s="587"/>
      <c r="G74" s="110" t="s">
        <v>1042</v>
      </c>
      <c r="H74" s="6"/>
      <c r="I74" s="6"/>
    </row>
    <row r="75" spans="1:9" ht="14.25" customHeight="1" x14ac:dyDescent="0.2">
      <c r="A75" s="6"/>
      <c r="B75" s="544" t="s">
        <v>1019</v>
      </c>
      <c r="C75" s="544"/>
      <c r="D75" s="587" t="str">
        <f>IF(B3="LAMINADO",(IF(H15&lt;=$H$17,"Aparición de articulaciones plásticas",IF(AND(H15&gt;$H$17,H15&lt;=$H$18),"Pandeo flexotorsional en rango inelástico",IF(H15&gt;$H$18,"Pandeo flexotorsional en rango elástico","")))),"Aparición de articulaciones plásticas")</f>
        <v>Aparición de articulaciones plásticas</v>
      </c>
      <c r="E75" s="588"/>
      <c r="F75" s="588"/>
      <c r="G75" s="589"/>
      <c r="H75" s="6"/>
      <c r="I75" s="6"/>
    </row>
    <row r="76" spans="1:9" ht="14.25" customHeight="1" x14ac:dyDescent="0.2">
      <c r="A76" s="6"/>
      <c r="B76" s="526" t="s">
        <v>1044</v>
      </c>
      <c r="C76" s="527"/>
      <c r="D76" s="586">
        <f>VLOOKUP($D$75,'Datos genericos columnas'!Y10:Z12,2,FALSE)</f>
        <v>271.84500000000003</v>
      </c>
      <c r="E76" s="586"/>
      <c r="F76" s="587"/>
      <c r="G76" s="110" t="s">
        <v>1042</v>
      </c>
      <c r="H76" s="6"/>
      <c r="I76" s="6"/>
    </row>
    <row r="77" spans="1:9" x14ac:dyDescent="0.2">
      <c r="A77" s="6"/>
      <c r="B77" s="6"/>
      <c r="C77" s="6"/>
      <c r="D77" s="6"/>
      <c r="E77" s="6"/>
      <c r="F77" s="6"/>
      <c r="G77" s="6"/>
      <c r="H77" s="6"/>
      <c r="I77" s="6"/>
    </row>
    <row r="78" spans="1:9" ht="20.25" customHeight="1" x14ac:dyDescent="0.2">
      <c r="A78" s="519" t="s">
        <v>1020</v>
      </c>
      <c r="B78" s="520"/>
      <c r="C78" s="520"/>
      <c r="D78" s="520"/>
      <c r="E78" s="520"/>
      <c r="F78" s="520"/>
      <c r="G78" s="520"/>
      <c r="H78" s="520"/>
      <c r="I78" s="521"/>
    </row>
    <row r="79" spans="1:9" x14ac:dyDescent="0.2">
      <c r="A79" s="6"/>
      <c r="B79" s="6"/>
      <c r="C79" s="6"/>
      <c r="D79" s="6"/>
      <c r="E79" s="6"/>
      <c r="F79" s="6"/>
      <c r="G79" s="6"/>
      <c r="H79" s="6"/>
      <c r="I79" s="6"/>
    </row>
    <row r="80" spans="1:9" ht="18.75" x14ac:dyDescent="0.35">
      <c r="A80" s="6"/>
      <c r="B80" s="6"/>
      <c r="C80" s="6"/>
      <c r="D80" s="98" t="s">
        <v>1022</v>
      </c>
      <c r="E80" s="546" t="s">
        <v>1021</v>
      </c>
      <c r="F80" s="545">
        <f>IF(C69="","",$H$6/$C$69)</f>
        <v>3.4646106667030128E-2</v>
      </c>
      <c r="G80" s="6"/>
      <c r="H80" s="6"/>
      <c r="I80" s="6"/>
    </row>
    <row r="81" spans="1:9" ht="18" x14ac:dyDescent="0.35">
      <c r="A81" s="6"/>
      <c r="B81" s="6"/>
      <c r="C81" s="6"/>
      <c r="D81" s="111" t="s">
        <v>1023</v>
      </c>
      <c r="E81" s="546"/>
      <c r="F81" s="545"/>
      <c r="G81" s="6"/>
      <c r="H81" s="6"/>
      <c r="I81" s="6"/>
    </row>
    <row r="82" spans="1:9" x14ac:dyDescent="0.2">
      <c r="A82" s="6"/>
      <c r="B82" s="6"/>
      <c r="C82" s="6"/>
      <c r="D82" s="6"/>
      <c r="E82" s="6"/>
      <c r="F82" s="6"/>
      <c r="G82" s="6"/>
      <c r="H82" s="6"/>
      <c r="I82" s="6"/>
    </row>
    <row r="83" spans="1:9" ht="30.75" customHeight="1" x14ac:dyDescent="0.25">
      <c r="A83" s="6"/>
      <c r="B83" s="590" t="s">
        <v>2511</v>
      </c>
      <c r="C83" s="591"/>
      <c r="D83" s="591"/>
      <c r="E83" s="591"/>
      <c r="F83" s="591"/>
      <c r="G83" s="591"/>
      <c r="H83" s="592"/>
      <c r="I83" s="6"/>
    </row>
    <row r="84" spans="1:9" ht="18.75" x14ac:dyDescent="0.35">
      <c r="A84" s="6"/>
      <c r="B84" s="127" t="s">
        <v>1098</v>
      </c>
      <c r="C84" s="109">
        <f>'Datos genericos columnas'!$AE$5*'Datos genericos columnas'!$AE$9+'Datos genericos columnas'!$AE$8*'Datos genericos columnas'!$AE$10</f>
        <v>25.047262706802254</v>
      </c>
      <c r="D84" s="125" t="s">
        <v>1042</v>
      </c>
      <c r="F84" s="127" t="s">
        <v>1099</v>
      </c>
      <c r="G84" s="126">
        <f>+'Datos genericos columnas'!AG5*'Datos genericos columnas'!AG9+'Datos genericos columnas'!AG8*'Datos genericos columnas'!AG10</f>
        <v>30.167380697998148</v>
      </c>
      <c r="H84" s="125" t="s">
        <v>1042</v>
      </c>
      <c r="I84" s="6"/>
    </row>
    <row r="85" spans="1:9" x14ac:dyDescent="0.2">
      <c r="A85" s="6"/>
      <c r="B85" s="6"/>
      <c r="C85" s="6"/>
      <c r="D85" s="6"/>
      <c r="E85" s="6"/>
      <c r="F85" s="6"/>
      <c r="G85" s="6"/>
      <c r="H85" s="6"/>
      <c r="I85" s="6"/>
    </row>
    <row r="86" spans="1:9" x14ac:dyDescent="0.2">
      <c r="A86" s="6"/>
      <c r="B86" s="551">
        <f>IF($F$80&gt;=0.2,((($H$6)/($C$69))+((8/9)*((($C$84)/($D$74))+(($G$84)/($D$76))))),((($H$6)/($C$69*2))+(((($C$84)/($D$74))+(($G$84)/($D$76))))))</f>
        <v>0.1708627598977657</v>
      </c>
      <c r="C86" s="552"/>
      <c r="D86" s="555" t="s">
        <v>1043</v>
      </c>
      <c r="E86" s="522">
        <v>1</v>
      </c>
      <c r="F86" s="6"/>
      <c r="G86" s="547" t="str">
        <f>IF(B86="","",IF(B86&lt;=E86,"Cumple","No cumple"))</f>
        <v>Cumple</v>
      </c>
      <c r="H86" s="548"/>
      <c r="I86" s="6"/>
    </row>
    <row r="87" spans="1:9" x14ac:dyDescent="0.2">
      <c r="A87" s="6"/>
      <c r="B87" s="553"/>
      <c r="C87" s="554"/>
      <c r="D87" s="556"/>
      <c r="E87" s="523"/>
      <c r="F87" s="6"/>
      <c r="G87" s="549"/>
      <c r="H87" s="550"/>
      <c r="I87" s="6"/>
    </row>
    <row r="88" spans="1:9" x14ac:dyDescent="0.2">
      <c r="A88" s="6"/>
      <c r="B88" s="176"/>
      <c r="C88" s="176"/>
      <c r="D88" s="148"/>
      <c r="E88" s="148"/>
      <c r="F88" s="6"/>
      <c r="G88" s="148"/>
      <c r="H88" s="148"/>
      <c r="I88" s="6"/>
    </row>
    <row r="89" spans="1:9" ht="15.75" x14ac:dyDescent="0.2">
      <c r="A89" s="519" t="s">
        <v>1081</v>
      </c>
      <c r="B89" s="520"/>
      <c r="C89" s="520"/>
      <c r="D89" s="520"/>
      <c r="E89" s="520"/>
      <c r="F89" s="520"/>
      <c r="G89" s="520"/>
      <c r="H89" s="520"/>
      <c r="I89" s="521"/>
    </row>
    <row r="90" spans="1:9" x14ac:dyDescent="0.2">
      <c r="A90" s="6"/>
      <c r="B90" s="6"/>
      <c r="C90" s="6"/>
      <c r="D90" s="6"/>
      <c r="E90" s="6"/>
      <c r="F90" s="6"/>
      <c r="G90" s="6"/>
      <c r="H90" s="6"/>
      <c r="I90" s="6"/>
    </row>
    <row r="91" spans="1:9" ht="18.75" customHeight="1" x14ac:dyDescent="0.2">
      <c r="A91" s="6"/>
      <c r="B91" s="593" t="s">
        <v>1101</v>
      </c>
      <c r="C91" s="594"/>
      <c r="D91" s="595"/>
      <c r="E91" s="6"/>
      <c r="F91" s="593" t="s">
        <v>1100</v>
      </c>
      <c r="G91" s="594"/>
      <c r="H91" s="595"/>
      <c r="I91" s="6"/>
    </row>
    <row r="92" spans="1:9" ht="18.75" x14ac:dyDescent="0.2">
      <c r="A92" s="6"/>
      <c r="B92" s="490" t="s">
        <v>1077</v>
      </c>
      <c r="C92" s="490"/>
      <c r="D92" s="179">
        <f>IF(B3="LAMINADO",IF(((IF('Datos genericos columnas'!L6="C   ",C16,(C16/2)))/C17)&lt;=(2.24*(SQRT(D6/D8))),1,0.9),IF(B3="TUBULAR_CUADRADO",IF((C16/C17)&lt;=(2.24*(SQRT(D6/D8))),1,0.9),IF(B3="TUBULAR_RECTANGULAR",IF((C16/C17)&lt;=(2.24*(SQRT(D6/D8))),1,0.9),0.9)))</f>
        <v>1</v>
      </c>
      <c r="E92" s="6"/>
      <c r="F92" s="490" t="s">
        <v>1077</v>
      </c>
      <c r="G92" s="490"/>
      <c r="H92" s="179">
        <f>IF(B3="LAMINADO",IF((C15/C18)&lt;=(2.24*(SQRT(D6/D8))),1,0.9),IF(B3="TUBULAR_CUADRADO",IF((C16/C17)&lt;=(2.24*(SQRT(D6/D8))),1,0.9),IF(B3="TUBULAR_RECTANGULAR",IF((C15/C17)&lt;=(2.24*(SQRT(D6/D8))),1,0.9),0.9)))</f>
        <v>1</v>
      </c>
      <c r="I92" s="6"/>
    </row>
    <row r="93" spans="1:9" x14ac:dyDescent="0.2">
      <c r="A93" s="6"/>
      <c r="B93" s="584" t="s">
        <v>1078</v>
      </c>
      <c r="C93" s="584"/>
      <c r="D93" s="178">
        <f>IF(OR(B3="LAMINADO",B3="TUBULAR_RECTANGULAR"),VLOOKUP($B$3,'Datos genericos columnas'!AV4:AZ9,5,FALSE),IF(B3="TUBULAR_CUADRADO",VLOOKUP($B$3,'Datos genericos columnas'!AI4:AM12,5,FALSE),"N/A"))</f>
        <v>1.2</v>
      </c>
      <c r="E93" s="6"/>
      <c r="F93" s="584" t="s">
        <v>1078</v>
      </c>
      <c r="G93" s="584"/>
      <c r="H93" s="187">
        <f>IF(B3="TUBULAR_CIRCULAR","N/A",VLOOKUP($B$3,'Datos genericos columnas'!AI4:AT12,5,FALSE))</f>
        <v>5</v>
      </c>
      <c r="I93" s="6"/>
    </row>
    <row r="94" spans="1:9" x14ac:dyDescent="0.2">
      <c r="A94" s="6"/>
      <c r="B94" s="490" t="s">
        <v>1079</v>
      </c>
      <c r="C94" s="490"/>
      <c r="D94" s="94">
        <f>IF($B$3="LAMINADO",VLOOKUP("Cumple",'Datos genericos columnas'!BD4:BE6,2,FALSE),IF($B$3="TUBULAR_RECTANGULAR",VLOOKUP("Cumple",'Datos genericos columnas'!BD7:BE9,2,FALSE),IF($B$3="TUBULAR_CUADRADO",VLOOKUP("Cumple",'Datos genericos columnas'!AQ10:AR12,2,FALSE),"N/A")))</f>
        <v>1</v>
      </c>
      <c r="E94" s="6"/>
      <c r="F94" s="490" t="s">
        <v>1079</v>
      </c>
      <c r="G94" s="490"/>
      <c r="H94" s="94">
        <f>IF($B$3="LAMINADO",VLOOKUP("Cumple",'Datos genericos columnas'!AQ4:AT6,2,FALSE),IF($B$3="TUBULAR_RECTANGULAR",VLOOKUP("Cumple",'Datos genericos columnas'!AQ7:AT9,2,FALSE),IF($B$3="TUBULAR_CUADRADO",VLOOKUP("Cumple",'Datos genericos columnas'!AQ10:AT12,2,FALSE),"N/A")))</f>
        <v>1</v>
      </c>
      <c r="I94" s="6"/>
    </row>
    <row r="95" spans="1:9" x14ac:dyDescent="0.2">
      <c r="A95" s="6"/>
      <c r="B95" s="6"/>
      <c r="C95" s="6"/>
      <c r="D95" s="6"/>
      <c r="E95" s="6"/>
      <c r="F95" s="6"/>
      <c r="G95" s="6"/>
      <c r="H95" s="6"/>
      <c r="I95" s="6"/>
    </row>
    <row r="96" spans="1:9" ht="18.75" x14ac:dyDescent="0.2">
      <c r="A96" s="6"/>
      <c r="B96" s="168" t="s">
        <v>1095</v>
      </c>
      <c r="C96" s="170">
        <f>IF(B3="TUBULAR_CIRCULAR",((((IF(MAX(((1.6*$D$6)/(SQRT(((MAX(H14:H15)*1000))/C14)*((C14/C17)^(5/4)))),((0.78*D6)/((C14/C17)^(3/2))))&lt;0.6*D8,MAX(((1.6*$D$6)/(SQRT(((MAX(H14:H15)*1000))/C14)*((C14/C17)^(5/4)))),((0.78*D6)/((C14/C17)^(3/2)))),0.6*D8))*(C19))/2)/10),IF($B$3="LAMINADO",VLOOKUP("Cumple",'Datos genericos columnas'!BD4:BG6,4,FALSE),IF($B$3="TUBULAR_RECTANGULAR",VLOOKUP("Cumple",'Datos genericos columnas'!BD7:BG9,4,FALSE),VLOOKUP("Cumple",'Datos genericos columnas'!AQ10:AT12,4,FALSE))))</f>
        <v>1197</v>
      </c>
      <c r="D96" s="169" t="s">
        <v>990</v>
      </c>
      <c r="E96" s="168">
        <f>H12</f>
        <v>32</v>
      </c>
      <c r="F96" s="168" t="s">
        <v>1051</v>
      </c>
      <c r="G96" s="6"/>
      <c r="H96" s="490" t="str">
        <f>IF(C96="","",IF(AND(C96&gt;E96,C97&gt;E97),"Cumple","No cumple"))</f>
        <v>Cumple</v>
      </c>
      <c r="I96" s="6"/>
    </row>
    <row r="97" spans="1:9" ht="18.75" x14ac:dyDescent="0.2">
      <c r="A97" s="6"/>
      <c r="B97" s="171" t="s">
        <v>1096</v>
      </c>
      <c r="C97" s="179">
        <f>IF(B3="TUBULAR_CIRCULAR",((((IF(MAX(((1.6*$D$6)/(SQRT(((MAX(H14:H15)*1000))/C14)*((C14/C17)^(5/4)))),((0.78*D6)/((C14/C17)^(3/2))))&lt;0.6*D8,MAX(((1.6*$D$6)/(SQRT(((MAX(H14:H15)*1000))/C14)*((C14/C17)^(5/4)))),((0.78*D6)/((C14/C17)^(3/2)))),0.6*D8))*(C19))/2)/10),IF(B3="LAMINADO",VLOOKUP("Cumple",'Datos genericos columnas'!AQ4:AT6,4,FALSE),IF(B3="TUBULAR_RECTANGULAR",VLOOKUP("Cumple",'Datos genericos columnas'!AQ7:AT9,4,FALSE),VLOOKUP("Cumple",'Datos genericos columnas'!AQ10:AT12,4,FALSE))))</f>
        <v>480.48</v>
      </c>
      <c r="D97" s="173" t="s">
        <v>990</v>
      </c>
      <c r="E97" s="175">
        <f>+H13</f>
        <v>30</v>
      </c>
      <c r="F97" s="172" t="s">
        <v>1051</v>
      </c>
      <c r="G97" s="6"/>
      <c r="H97" s="490"/>
      <c r="I97" s="6"/>
    </row>
    <row r="98" spans="1:9" ht="15" thickBot="1" x14ac:dyDescent="0.25">
      <c r="A98" s="6"/>
      <c r="B98" s="6"/>
      <c r="C98" s="6"/>
      <c r="D98" s="6"/>
      <c r="E98" s="6"/>
      <c r="F98" s="6"/>
      <c r="G98" s="6"/>
      <c r="H98" s="6"/>
      <c r="I98" s="6"/>
    </row>
    <row r="99" spans="1:9" x14ac:dyDescent="0.2">
      <c r="A99" s="6"/>
      <c r="B99" s="531" t="str">
        <f>IF(AND(E46="Cumple",H52="Cumple",H69="Cumple",G86="Cumple",H96="Cumple"),"CUMPLE","NO CUMPLE")</f>
        <v>CUMPLE</v>
      </c>
      <c r="C99" s="532"/>
      <c r="D99" s="532"/>
      <c r="E99" s="532"/>
      <c r="F99" s="532"/>
      <c r="G99" s="532"/>
      <c r="H99" s="533"/>
      <c r="I99" s="6"/>
    </row>
    <row r="100" spans="1:9" x14ac:dyDescent="0.2">
      <c r="A100" s="6"/>
      <c r="B100" s="534"/>
      <c r="C100" s="535"/>
      <c r="D100" s="535"/>
      <c r="E100" s="535"/>
      <c r="F100" s="535"/>
      <c r="G100" s="535"/>
      <c r="H100" s="536"/>
      <c r="I100" s="6"/>
    </row>
    <row r="101" spans="1:9" ht="15" thickBot="1" x14ac:dyDescent="0.25">
      <c r="A101" s="6"/>
      <c r="B101" s="537"/>
      <c r="C101" s="538"/>
      <c r="D101" s="538"/>
      <c r="E101" s="538"/>
      <c r="F101" s="538"/>
      <c r="G101" s="538"/>
      <c r="H101" s="539"/>
      <c r="I101" s="6"/>
    </row>
    <row r="102" spans="1:9" x14ac:dyDescent="0.2">
      <c r="A102" s="6"/>
      <c r="B102" s="6"/>
      <c r="C102" s="6"/>
      <c r="D102" s="6"/>
      <c r="E102" s="6"/>
      <c r="F102" s="6"/>
      <c r="G102" s="6"/>
      <c r="H102" s="6"/>
      <c r="I102" s="6"/>
    </row>
    <row r="103" spans="1:9" x14ac:dyDescent="0.2">
      <c r="A103" s="6"/>
      <c r="B103" s="6"/>
      <c r="C103" s="6"/>
      <c r="D103" s="6"/>
      <c r="E103" s="6"/>
      <c r="F103" s="6"/>
      <c r="G103" s="6"/>
      <c r="H103" s="6"/>
      <c r="I103" s="6"/>
    </row>
    <row r="104" spans="1:9" x14ac:dyDescent="0.2">
      <c r="A104" s="6"/>
      <c r="B104" s="6"/>
      <c r="C104" s="6"/>
      <c r="D104" s="6"/>
      <c r="E104" s="6"/>
      <c r="F104" s="6"/>
      <c r="G104" s="6"/>
      <c r="H104" s="6"/>
      <c r="I104" s="6"/>
    </row>
    <row r="105" spans="1:9" x14ac:dyDescent="0.2">
      <c r="A105" s="6"/>
      <c r="B105" s="6"/>
      <c r="C105" s="6"/>
      <c r="D105" s="6"/>
      <c r="E105" s="6"/>
      <c r="F105" s="6"/>
      <c r="G105" s="6"/>
      <c r="H105" s="6"/>
      <c r="I105" s="6"/>
    </row>
    <row r="106" spans="1:9" x14ac:dyDescent="0.2">
      <c r="A106" s="6"/>
      <c r="B106" s="6"/>
      <c r="C106" s="6"/>
      <c r="D106" s="6"/>
      <c r="E106" s="6"/>
      <c r="F106" s="6"/>
      <c r="G106" s="6"/>
      <c r="H106" s="6"/>
      <c r="I106" s="6"/>
    </row>
    <row r="107" spans="1:9" x14ac:dyDescent="0.2">
      <c r="A107" s="6"/>
      <c r="B107" s="6"/>
      <c r="C107" s="6"/>
      <c r="D107" s="6"/>
      <c r="E107" s="6"/>
      <c r="F107" s="6"/>
      <c r="G107" s="6"/>
      <c r="H107" s="6"/>
      <c r="I107" s="6"/>
    </row>
    <row r="108" spans="1:9" x14ac:dyDescent="0.2">
      <c r="A108" s="6"/>
      <c r="B108" s="6"/>
      <c r="C108" s="6"/>
      <c r="D108" s="6"/>
      <c r="E108" s="6"/>
      <c r="F108" s="6"/>
      <c r="G108" s="6"/>
      <c r="H108" s="6"/>
      <c r="I108" s="6"/>
    </row>
    <row r="109" spans="1:9" x14ac:dyDescent="0.2">
      <c r="A109" s="6"/>
      <c r="I109" s="6"/>
    </row>
    <row r="110" spans="1:9" x14ac:dyDescent="0.2">
      <c r="A110" s="6"/>
      <c r="I110" s="6"/>
    </row>
    <row r="111" spans="1:9" x14ac:dyDescent="0.2">
      <c r="A111" s="6"/>
      <c r="I111" s="6"/>
    </row>
    <row r="112" spans="1:9" x14ac:dyDescent="0.2">
      <c r="A112" s="6"/>
      <c r="B112" s="6"/>
      <c r="C112" s="6"/>
      <c r="D112" s="6"/>
      <c r="E112" s="6"/>
      <c r="F112" s="6"/>
      <c r="G112" s="6"/>
      <c r="H112" s="6"/>
      <c r="I112" s="6"/>
    </row>
    <row r="113" spans="1:9" x14ac:dyDescent="0.2">
      <c r="A113" s="6"/>
      <c r="B113" s="6"/>
      <c r="C113" s="6"/>
      <c r="D113" s="6"/>
      <c r="E113" s="6"/>
      <c r="F113" s="6"/>
      <c r="G113" s="6"/>
      <c r="H113" s="6"/>
      <c r="I113" s="6"/>
    </row>
    <row r="114" spans="1:9" x14ac:dyDescent="0.2">
      <c r="A114" s="6"/>
      <c r="B114" s="6"/>
      <c r="C114" s="6"/>
      <c r="D114" s="6"/>
      <c r="E114" s="6"/>
      <c r="F114" s="6"/>
      <c r="G114" s="6"/>
      <c r="H114" s="6"/>
      <c r="I114" s="6"/>
    </row>
    <row r="115" spans="1:9" x14ac:dyDescent="0.2">
      <c r="A115" s="6"/>
      <c r="B115" s="6"/>
      <c r="C115" s="6"/>
      <c r="D115" s="6"/>
      <c r="E115" s="6"/>
      <c r="F115" s="6"/>
      <c r="G115" s="6"/>
      <c r="H115" s="6"/>
      <c r="I115" s="6"/>
    </row>
    <row r="116" spans="1:9" x14ac:dyDescent="0.2">
      <c r="A116" s="6"/>
      <c r="B116" s="6"/>
      <c r="C116" s="6"/>
      <c r="D116" s="6"/>
      <c r="E116" s="6"/>
      <c r="F116" s="6"/>
      <c r="G116" s="6"/>
      <c r="H116" s="6"/>
      <c r="I116" s="6"/>
    </row>
    <row r="117" spans="1:9" x14ac:dyDescent="0.2">
      <c r="A117" s="6"/>
      <c r="B117" s="6"/>
      <c r="C117" s="6"/>
      <c r="D117" s="6"/>
      <c r="E117" s="6"/>
      <c r="F117" s="6"/>
      <c r="G117" s="6"/>
      <c r="H117" s="6"/>
      <c r="I117" s="6"/>
    </row>
    <row r="118" spans="1:9" x14ac:dyDescent="0.2">
      <c r="A118" s="6"/>
      <c r="B118" s="6"/>
      <c r="C118" s="6"/>
      <c r="D118" s="6"/>
      <c r="E118" s="6"/>
      <c r="F118" s="6"/>
      <c r="G118" s="6"/>
      <c r="H118" s="6"/>
      <c r="I118" s="6"/>
    </row>
    <row r="119" spans="1:9" x14ac:dyDescent="0.2">
      <c r="A119" s="6"/>
      <c r="B119" s="6"/>
      <c r="C119" s="6"/>
      <c r="D119" s="6"/>
      <c r="E119" s="6"/>
      <c r="F119" s="6"/>
      <c r="G119" s="6"/>
      <c r="H119" s="6"/>
      <c r="I119" s="6"/>
    </row>
    <row r="120" spans="1:9" x14ac:dyDescent="0.2">
      <c r="A120" s="6"/>
      <c r="B120" s="6"/>
      <c r="C120" s="6"/>
      <c r="D120" s="6"/>
      <c r="E120" s="6"/>
      <c r="F120" s="6"/>
      <c r="G120" s="6"/>
      <c r="H120" s="6"/>
      <c r="I120" s="6"/>
    </row>
    <row r="121" spans="1:9" x14ac:dyDescent="0.2">
      <c r="A121" s="6"/>
      <c r="B121" s="6"/>
      <c r="C121" s="6"/>
      <c r="D121" s="6"/>
      <c r="E121" s="6"/>
      <c r="F121" s="6"/>
      <c r="G121" s="6"/>
      <c r="H121" s="6"/>
      <c r="I121" s="6"/>
    </row>
    <row r="122" spans="1:9" x14ac:dyDescent="0.2">
      <c r="A122" s="6"/>
      <c r="B122" s="6"/>
      <c r="C122" s="6"/>
      <c r="D122" s="6"/>
      <c r="E122" s="6"/>
      <c r="F122" s="6"/>
      <c r="G122" s="6"/>
      <c r="H122" s="6"/>
      <c r="I122" s="6"/>
    </row>
    <row r="123" spans="1:9" x14ac:dyDescent="0.2">
      <c r="A123" s="6"/>
      <c r="B123" s="6"/>
      <c r="C123" s="6"/>
      <c r="D123" s="6"/>
      <c r="E123" s="6"/>
      <c r="F123" s="6"/>
      <c r="G123" s="6"/>
      <c r="H123" s="6"/>
      <c r="I123" s="6"/>
    </row>
    <row r="124" spans="1:9" x14ac:dyDescent="0.2">
      <c r="A124" s="6"/>
      <c r="B124" s="6"/>
      <c r="C124" s="6"/>
      <c r="D124" s="6"/>
      <c r="E124" s="6"/>
      <c r="F124" s="6"/>
      <c r="G124" s="6"/>
      <c r="H124" s="6"/>
      <c r="I124" s="6"/>
    </row>
    <row r="125" spans="1:9" x14ac:dyDescent="0.2">
      <c r="A125" s="6"/>
      <c r="B125" s="6"/>
      <c r="C125" s="6"/>
      <c r="D125" s="6"/>
      <c r="E125" s="6"/>
      <c r="F125" s="6"/>
      <c r="G125" s="6"/>
      <c r="H125" s="6"/>
      <c r="I125" s="6"/>
    </row>
    <row r="126" spans="1:9" x14ac:dyDescent="0.2">
      <c r="A126" s="6"/>
      <c r="B126" s="6"/>
      <c r="C126" s="6"/>
      <c r="D126" s="6"/>
      <c r="E126" s="6"/>
      <c r="F126" s="6"/>
      <c r="G126" s="6"/>
      <c r="H126" s="6"/>
      <c r="I126" s="6"/>
    </row>
    <row r="127" spans="1:9" x14ac:dyDescent="0.2">
      <c r="A127" s="6"/>
      <c r="B127" s="6"/>
      <c r="C127" s="6"/>
      <c r="D127" s="6"/>
      <c r="E127" s="6"/>
      <c r="F127" s="6"/>
      <c r="G127" s="6"/>
      <c r="H127" s="6"/>
      <c r="I127" s="6"/>
    </row>
    <row r="128" spans="1:9" x14ac:dyDescent="0.2">
      <c r="A128" s="6"/>
      <c r="B128" s="6"/>
      <c r="C128" s="6"/>
      <c r="D128" s="6"/>
      <c r="E128" s="6"/>
      <c r="F128" s="6"/>
      <c r="G128" s="6"/>
      <c r="H128" s="6"/>
      <c r="I128" s="6"/>
    </row>
    <row r="129" spans="1:9" x14ac:dyDescent="0.2">
      <c r="A129" s="6"/>
      <c r="B129" s="6"/>
      <c r="C129" s="6"/>
      <c r="D129" s="6"/>
      <c r="E129" s="6"/>
      <c r="F129" s="6"/>
      <c r="G129" s="6"/>
      <c r="H129" s="6"/>
      <c r="I129" s="6"/>
    </row>
    <row r="130" spans="1:9" x14ac:dyDescent="0.2">
      <c r="A130" s="6"/>
      <c r="B130" s="6"/>
      <c r="C130" s="6"/>
      <c r="D130" s="6"/>
      <c r="E130" s="6"/>
      <c r="F130" s="6"/>
      <c r="G130" s="6"/>
      <c r="H130" s="6"/>
      <c r="I130" s="6"/>
    </row>
    <row r="131" spans="1:9" x14ac:dyDescent="0.2">
      <c r="A131" s="6"/>
      <c r="B131" s="6"/>
      <c r="C131" s="6"/>
      <c r="D131" s="6"/>
      <c r="E131" s="6"/>
      <c r="F131" s="6"/>
      <c r="G131" s="6"/>
      <c r="H131" s="6"/>
      <c r="I131" s="6"/>
    </row>
    <row r="132" spans="1:9" x14ac:dyDescent="0.2">
      <c r="A132" s="6"/>
      <c r="B132" s="6"/>
      <c r="C132" s="6"/>
      <c r="D132" s="6"/>
      <c r="E132" s="6"/>
      <c r="F132" s="6"/>
      <c r="G132" s="6"/>
      <c r="H132" s="6"/>
      <c r="I132" s="6"/>
    </row>
    <row r="133" spans="1:9" x14ac:dyDescent="0.2">
      <c r="A133" s="6"/>
      <c r="B133" s="6"/>
      <c r="C133" s="6"/>
      <c r="D133" s="6"/>
      <c r="E133" s="6"/>
      <c r="F133" s="6"/>
      <c r="G133" s="6"/>
      <c r="H133" s="6"/>
      <c r="I133" s="6"/>
    </row>
    <row r="134" spans="1:9" x14ac:dyDescent="0.2">
      <c r="A134" s="6"/>
      <c r="B134" s="6"/>
      <c r="C134" s="6"/>
      <c r="D134" s="6"/>
      <c r="E134" s="6"/>
      <c r="F134" s="6"/>
      <c r="G134" s="6"/>
      <c r="H134" s="6"/>
      <c r="I134" s="6"/>
    </row>
    <row r="135" spans="1:9" x14ac:dyDescent="0.2">
      <c r="A135" s="6"/>
      <c r="B135" s="6"/>
      <c r="C135" s="6"/>
      <c r="D135" s="6"/>
      <c r="E135" s="6"/>
      <c r="F135" s="6"/>
      <c r="G135" s="6"/>
      <c r="H135" s="6"/>
      <c r="I135" s="6"/>
    </row>
    <row r="136" spans="1:9" x14ac:dyDescent="0.2">
      <c r="A136" s="6"/>
      <c r="B136" s="6"/>
      <c r="C136" s="6"/>
      <c r="D136" s="6"/>
      <c r="E136" s="6"/>
      <c r="F136" s="6"/>
      <c r="G136" s="6"/>
      <c r="H136" s="6"/>
      <c r="I136" s="6"/>
    </row>
    <row r="137" spans="1:9" x14ac:dyDescent="0.2">
      <c r="A137" s="6"/>
      <c r="B137" s="6"/>
      <c r="C137" s="6"/>
      <c r="D137" s="6"/>
      <c r="E137" s="6"/>
      <c r="F137" s="6"/>
      <c r="G137" s="6"/>
      <c r="H137" s="6"/>
      <c r="I137" s="6"/>
    </row>
    <row r="138" spans="1:9" x14ac:dyDescent="0.2">
      <c r="A138" s="6"/>
      <c r="B138" s="6"/>
      <c r="C138" s="6"/>
      <c r="D138" s="6"/>
      <c r="E138" s="6"/>
      <c r="F138" s="6"/>
      <c r="G138" s="6"/>
      <c r="H138" s="6"/>
      <c r="I138" s="6"/>
    </row>
    <row r="139" spans="1:9" x14ac:dyDescent="0.2">
      <c r="A139" s="6"/>
      <c r="B139" s="6"/>
      <c r="C139" s="6"/>
      <c r="D139" s="6"/>
      <c r="E139" s="6"/>
      <c r="F139" s="6"/>
      <c r="G139" s="6"/>
      <c r="H139" s="6"/>
      <c r="I139" s="6"/>
    </row>
    <row r="140" spans="1:9" x14ac:dyDescent="0.2">
      <c r="A140" s="6"/>
      <c r="B140" s="6"/>
      <c r="C140" s="6"/>
      <c r="D140" s="6"/>
      <c r="E140" s="6"/>
      <c r="F140" s="6"/>
      <c r="G140" s="6"/>
      <c r="H140" s="6"/>
      <c r="I140" s="6"/>
    </row>
    <row r="141" spans="1:9" x14ac:dyDescent="0.2">
      <c r="A141" s="6"/>
      <c r="B141" s="6"/>
      <c r="C141" s="6"/>
      <c r="D141" s="6"/>
      <c r="E141" s="6"/>
      <c r="F141" s="6"/>
      <c r="G141" s="6"/>
      <c r="H141" s="6"/>
      <c r="I141" s="6"/>
    </row>
    <row r="142" spans="1:9" x14ac:dyDescent="0.2">
      <c r="A142" s="6"/>
      <c r="B142" s="6"/>
      <c r="C142" s="6"/>
      <c r="D142" s="6"/>
      <c r="E142" s="6"/>
      <c r="F142" s="6"/>
      <c r="G142" s="6"/>
      <c r="H142" s="6"/>
      <c r="I142" s="6"/>
    </row>
    <row r="143" spans="1:9" x14ac:dyDescent="0.2">
      <c r="A143" s="6"/>
      <c r="B143" s="6"/>
      <c r="C143" s="6"/>
      <c r="D143" s="6"/>
      <c r="E143" s="6"/>
      <c r="F143" s="6"/>
      <c r="G143" s="6"/>
      <c r="H143" s="6"/>
      <c r="I143" s="6"/>
    </row>
    <row r="144" spans="1:9" x14ac:dyDescent="0.2">
      <c r="A144" s="6"/>
      <c r="B144" s="6"/>
      <c r="C144" s="6"/>
      <c r="D144" s="6"/>
      <c r="E144" s="6"/>
      <c r="F144" s="6"/>
      <c r="G144" s="6"/>
      <c r="H144" s="6"/>
      <c r="I144" s="6"/>
    </row>
    <row r="145" spans="1:9" x14ac:dyDescent="0.2">
      <c r="A145" s="6"/>
      <c r="B145" s="6"/>
      <c r="C145" s="6"/>
      <c r="D145" s="6"/>
      <c r="E145" s="6"/>
      <c r="F145" s="6"/>
      <c r="G145" s="6"/>
      <c r="H145" s="6"/>
      <c r="I145" s="6"/>
    </row>
    <row r="146" spans="1:9" x14ac:dyDescent="0.2">
      <c r="A146" s="6"/>
      <c r="B146" s="6"/>
      <c r="C146" s="6"/>
      <c r="D146" s="6"/>
      <c r="E146" s="6"/>
      <c r="F146" s="6"/>
      <c r="G146" s="6"/>
      <c r="H146" s="6"/>
      <c r="I146" s="6"/>
    </row>
    <row r="147" spans="1:9" x14ac:dyDescent="0.2">
      <c r="A147" s="6"/>
      <c r="B147" s="6"/>
      <c r="C147" s="6"/>
      <c r="D147" s="6"/>
      <c r="E147" s="6"/>
      <c r="F147" s="6"/>
      <c r="G147" s="6"/>
      <c r="H147" s="6"/>
      <c r="I147" s="6"/>
    </row>
    <row r="148" spans="1:9" x14ac:dyDescent="0.2">
      <c r="A148" s="6"/>
      <c r="B148" s="6"/>
      <c r="C148" s="6"/>
      <c r="D148" s="6"/>
      <c r="E148" s="6"/>
      <c r="F148" s="6"/>
      <c r="G148" s="6"/>
      <c r="H148" s="6"/>
      <c r="I148" s="6"/>
    </row>
    <row r="149" spans="1:9" x14ac:dyDescent="0.2">
      <c r="A149" s="6"/>
      <c r="B149" s="6"/>
      <c r="C149" s="6"/>
      <c r="D149" s="6"/>
      <c r="E149" s="6"/>
      <c r="F149" s="6"/>
      <c r="G149" s="6"/>
      <c r="H149" s="6"/>
      <c r="I149" s="6"/>
    </row>
    <row r="150" spans="1:9" x14ac:dyDescent="0.2">
      <c r="A150" s="6"/>
      <c r="B150" s="6"/>
      <c r="C150" s="6"/>
      <c r="D150" s="6"/>
      <c r="E150" s="6"/>
      <c r="F150" s="6"/>
      <c r="G150" s="6"/>
      <c r="H150" s="6"/>
      <c r="I150" s="6"/>
    </row>
    <row r="151" spans="1:9" x14ac:dyDescent="0.2">
      <c r="A151" s="6"/>
      <c r="B151" s="6"/>
      <c r="C151" s="6"/>
      <c r="D151" s="6"/>
      <c r="E151" s="6"/>
      <c r="F151" s="6"/>
      <c r="G151" s="6"/>
      <c r="H151" s="6"/>
      <c r="I151" s="6"/>
    </row>
    <row r="152" spans="1:9" x14ac:dyDescent="0.2">
      <c r="A152" s="6"/>
      <c r="B152" s="6"/>
      <c r="C152" s="6"/>
      <c r="D152" s="6"/>
      <c r="E152" s="6"/>
      <c r="F152" s="6"/>
      <c r="G152" s="6"/>
      <c r="H152" s="6"/>
      <c r="I152" s="6"/>
    </row>
    <row r="153" spans="1:9" x14ac:dyDescent="0.2">
      <c r="A153" s="6"/>
      <c r="B153" s="6"/>
      <c r="C153" s="6"/>
      <c r="D153" s="6"/>
      <c r="E153" s="6"/>
      <c r="F153" s="6"/>
      <c r="G153" s="6"/>
      <c r="H153" s="6"/>
      <c r="I153" s="6"/>
    </row>
    <row r="154" spans="1:9" x14ac:dyDescent="0.2">
      <c r="A154" s="6"/>
      <c r="B154" s="6"/>
      <c r="C154" s="6"/>
      <c r="D154" s="6"/>
      <c r="E154" s="6"/>
      <c r="F154" s="6"/>
      <c r="G154" s="6"/>
      <c r="H154" s="6"/>
      <c r="I154" s="6"/>
    </row>
    <row r="155" spans="1:9" x14ac:dyDescent="0.2">
      <c r="A155" s="6"/>
      <c r="B155" s="6"/>
      <c r="C155" s="6"/>
      <c r="D155" s="6"/>
      <c r="E155" s="6"/>
      <c r="F155" s="6"/>
      <c r="G155" s="6"/>
      <c r="H155" s="6"/>
      <c r="I155" s="6"/>
    </row>
    <row r="156" spans="1:9" x14ac:dyDescent="0.2">
      <c r="A156" s="6"/>
      <c r="B156" s="6"/>
      <c r="C156" s="6"/>
      <c r="D156" s="6"/>
      <c r="E156" s="6"/>
      <c r="F156" s="6"/>
      <c r="G156" s="6"/>
      <c r="H156" s="6"/>
      <c r="I156" s="6"/>
    </row>
    <row r="157" spans="1:9" x14ac:dyDescent="0.2">
      <c r="A157" s="6"/>
      <c r="B157" s="6"/>
      <c r="C157" s="6"/>
      <c r="D157" s="6"/>
      <c r="E157" s="6"/>
      <c r="F157" s="6"/>
      <c r="G157" s="6"/>
      <c r="H157" s="6"/>
      <c r="I157" s="6"/>
    </row>
    <row r="158" spans="1:9" x14ac:dyDescent="0.2">
      <c r="A158" s="6"/>
      <c r="B158" s="6"/>
      <c r="C158" s="6"/>
      <c r="D158" s="6"/>
      <c r="E158" s="6"/>
      <c r="F158" s="6"/>
      <c r="G158" s="6"/>
      <c r="H158" s="6"/>
      <c r="I158" s="6"/>
    </row>
    <row r="159" spans="1:9" x14ac:dyDescent="0.2">
      <c r="A159" s="6"/>
      <c r="B159" s="6"/>
      <c r="C159" s="6"/>
      <c r="D159" s="6"/>
      <c r="E159" s="6"/>
      <c r="F159" s="6"/>
      <c r="G159" s="6"/>
      <c r="H159" s="6"/>
      <c r="I159" s="6"/>
    </row>
    <row r="160" spans="1:9" x14ac:dyDescent="0.2">
      <c r="A160" s="6"/>
      <c r="B160" s="6"/>
      <c r="C160" s="6"/>
      <c r="D160" s="6"/>
      <c r="E160" s="6"/>
      <c r="F160" s="6"/>
      <c r="G160" s="6"/>
      <c r="H160" s="6"/>
      <c r="I160" s="6"/>
    </row>
    <row r="161" spans="1:9" x14ac:dyDescent="0.2">
      <c r="A161" s="6"/>
      <c r="B161" s="6"/>
      <c r="C161" s="6"/>
      <c r="D161" s="6"/>
      <c r="E161" s="6"/>
      <c r="F161" s="6"/>
      <c r="G161" s="6"/>
      <c r="H161" s="6"/>
      <c r="I161" s="6"/>
    </row>
    <row r="162" spans="1:9" x14ac:dyDescent="0.2">
      <c r="A162" s="6"/>
      <c r="B162" s="6"/>
      <c r="C162" s="6"/>
      <c r="D162" s="6"/>
      <c r="E162" s="6"/>
      <c r="F162" s="6"/>
      <c r="G162" s="6"/>
      <c r="H162" s="6"/>
      <c r="I162" s="6"/>
    </row>
    <row r="163" spans="1:9" x14ac:dyDescent="0.2">
      <c r="A163" s="6"/>
      <c r="B163" s="6"/>
      <c r="C163" s="6"/>
      <c r="D163" s="6"/>
      <c r="E163" s="6"/>
      <c r="F163" s="6"/>
      <c r="G163" s="6"/>
      <c r="H163" s="6"/>
      <c r="I163" s="6"/>
    </row>
    <row r="164" spans="1:9" x14ac:dyDescent="0.2">
      <c r="A164" s="6"/>
      <c r="B164" s="6"/>
      <c r="C164" s="6"/>
      <c r="D164" s="6"/>
      <c r="E164" s="6"/>
      <c r="F164" s="6"/>
      <c r="G164" s="6"/>
      <c r="H164" s="6"/>
      <c r="I164" s="6"/>
    </row>
    <row r="165" spans="1:9" x14ac:dyDescent="0.2">
      <c r="A165" s="6"/>
      <c r="B165" s="6"/>
      <c r="C165" s="6"/>
      <c r="D165" s="6"/>
      <c r="E165" s="6"/>
      <c r="F165" s="6"/>
      <c r="G165" s="6"/>
      <c r="H165" s="6"/>
      <c r="I165" s="6"/>
    </row>
    <row r="166" spans="1:9" x14ac:dyDescent="0.2">
      <c r="A166" s="6"/>
      <c r="B166" s="6"/>
      <c r="C166" s="6"/>
      <c r="D166" s="6"/>
      <c r="E166" s="6"/>
      <c r="F166" s="6"/>
      <c r="G166" s="6"/>
      <c r="H166" s="6"/>
      <c r="I166" s="6"/>
    </row>
    <row r="167" spans="1:9" x14ac:dyDescent="0.2">
      <c r="A167" s="6"/>
      <c r="B167" s="6"/>
      <c r="C167" s="6"/>
      <c r="D167" s="6"/>
      <c r="E167" s="6"/>
      <c r="F167" s="6"/>
      <c r="G167" s="6"/>
      <c r="H167" s="6"/>
      <c r="I167" s="6"/>
    </row>
    <row r="168" spans="1:9" x14ac:dyDescent="0.2">
      <c r="A168" s="6"/>
      <c r="B168" s="6"/>
      <c r="C168" s="6"/>
      <c r="D168" s="6"/>
      <c r="E168" s="6"/>
      <c r="F168" s="6"/>
      <c r="G168" s="6"/>
      <c r="H168" s="6"/>
      <c r="I168" s="6"/>
    </row>
    <row r="169" spans="1:9" x14ac:dyDescent="0.2">
      <c r="A169" s="6"/>
      <c r="B169" s="6"/>
      <c r="C169" s="6"/>
      <c r="D169" s="6"/>
      <c r="E169" s="6"/>
      <c r="F169" s="6"/>
      <c r="G169" s="6"/>
      <c r="H169" s="6"/>
      <c r="I169" s="6"/>
    </row>
    <row r="170" spans="1:9" x14ac:dyDescent="0.2">
      <c r="A170" s="6"/>
      <c r="B170" s="6"/>
      <c r="C170" s="6"/>
      <c r="D170" s="6"/>
      <c r="E170" s="6"/>
      <c r="F170" s="6"/>
      <c r="G170" s="6"/>
      <c r="H170" s="6"/>
      <c r="I170" s="6"/>
    </row>
    <row r="171" spans="1:9" x14ac:dyDescent="0.2">
      <c r="A171" s="6"/>
      <c r="B171" s="6"/>
      <c r="C171" s="6"/>
      <c r="D171" s="6"/>
      <c r="E171" s="6"/>
      <c r="F171" s="6"/>
      <c r="G171" s="6"/>
      <c r="H171" s="6"/>
      <c r="I171" s="6"/>
    </row>
    <row r="172" spans="1:9" x14ac:dyDescent="0.2">
      <c r="A172" s="6"/>
      <c r="B172" s="6"/>
      <c r="C172" s="6"/>
      <c r="D172" s="6"/>
      <c r="E172" s="6"/>
      <c r="F172" s="6"/>
      <c r="G172" s="6"/>
      <c r="H172" s="6"/>
      <c r="I172" s="6"/>
    </row>
    <row r="173" spans="1:9" x14ac:dyDescent="0.2">
      <c r="A173" s="6"/>
      <c r="B173" s="6"/>
      <c r="C173" s="6"/>
      <c r="D173" s="6"/>
      <c r="E173" s="6"/>
      <c r="F173" s="6"/>
      <c r="G173" s="6"/>
      <c r="H173" s="6"/>
      <c r="I173" s="6"/>
    </row>
    <row r="174" spans="1:9" x14ac:dyDescent="0.2">
      <c r="A174" s="6"/>
      <c r="B174" s="6"/>
      <c r="C174" s="6"/>
      <c r="D174" s="6"/>
      <c r="E174" s="6"/>
      <c r="F174" s="6"/>
      <c r="G174" s="6"/>
      <c r="H174" s="6"/>
      <c r="I174" s="6"/>
    </row>
  </sheetData>
  <sheetProtection selectLockedCells="1" selectUnlockedCells="1"/>
  <mergeCells count="73">
    <mergeCell ref="H96:H97"/>
    <mergeCell ref="F92:G92"/>
    <mergeCell ref="F93:G93"/>
    <mergeCell ref="F94:G94"/>
    <mergeCell ref="B91:D91"/>
    <mergeCell ref="F91:H91"/>
    <mergeCell ref="A89:I89"/>
    <mergeCell ref="B92:C92"/>
    <mergeCell ref="B93:C93"/>
    <mergeCell ref="B94:C94"/>
    <mergeCell ref="F14:G14"/>
    <mergeCell ref="D76:F76"/>
    <mergeCell ref="D75:G75"/>
    <mergeCell ref="B75:C75"/>
    <mergeCell ref="D73:G73"/>
    <mergeCell ref="D74:F74"/>
    <mergeCell ref="B74:C74"/>
    <mergeCell ref="A78:I78"/>
    <mergeCell ref="B83:H83"/>
    <mergeCell ref="E46:H46"/>
    <mergeCell ref="G44:H44"/>
    <mergeCell ref="E44:F44"/>
    <mergeCell ref="F6:G6"/>
    <mergeCell ref="F7:F8"/>
    <mergeCell ref="B6:C6"/>
    <mergeCell ref="B7:C7"/>
    <mergeCell ref="B8:C8"/>
    <mergeCell ref="A1:I1"/>
    <mergeCell ref="E3:I3"/>
    <mergeCell ref="B3:D3"/>
    <mergeCell ref="A4:D4"/>
    <mergeCell ref="A2:I2"/>
    <mergeCell ref="F11:G11"/>
    <mergeCell ref="A38:I38"/>
    <mergeCell ref="F9:F10"/>
    <mergeCell ref="G40:H40"/>
    <mergeCell ref="E40:F40"/>
    <mergeCell ref="B10:C10"/>
    <mergeCell ref="B11:C11"/>
    <mergeCell ref="F17:G17"/>
    <mergeCell ref="F18:G18"/>
    <mergeCell ref="F34:G34"/>
    <mergeCell ref="F35:G36"/>
    <mergeCell ref="H35:H36"/>
    <mergeCell ref="F15:G15"/>
    <mergeCell ref="F12:F13"/>
    <mergeCell ref="B99:H101"/>
    <mergeCell ref="B60:C60"/>
    <mergeCell ref="D60:E60"/>
    <mergeCell ref="F60:H60"/>
    <mergeCell ref="B62:C62"/>
    <mergeCell ref="D62:E62"/>
    <mergeCell ref="F64:G64"/>
    <mergeCell ref="B63:H63"/>
    <mergeCell ref="A71:I71"/>
    <mergeCell ref="B73:C73"/>
    <mergeCell ref="F80:F81"/>
    <mergeCell ref="E80:E81"/>
    <mergeCell ref="G86:H87"/>
    <mergeCell ref="B86:C87"/>
    <mergeCell ref="E86:E87"/>
    <mergeCell ref="D86:D87"/>
    <mergeCell ref="A55:I55"/>
    <mergeCell ref="H52:H53"/>
    <mergeCell ref="A48:I48"/>
    <mergeCell ref="B50:C50"/>
    <mergeCell ref="B76:C76"/>
    <mergeCell ref="B66:H66"/>
    <mergeCell ref="F67:G67"/>
    <mergeCell ref="B57:H57"/>
    <mergeCell ref="B59:C59"/>
    <mergeCell ref="D59:E59"/>
    <mergeCell ref="F59:H59"/>
  </mergeCells>
  <conditionalFormatting sqref="D45 E44 D41:F41 E32:E37 C14:D30">
    <cfRule type="containsErrors" dxfId="309" priority="100" stopIfTrue="1">
      <formula>ISERROR(C14)</formula>
    </cfRule>
  </conditionalFormatting>
  <conditionalFormatting sqref="F41">
    <cfRule type="containsText" dxfId="308" priority="87" operator="containsText" text="esbelto">
      <formula>NOT(ISERROR(SEARCH("esbelto",F41)))</formula>
    </cfRule>
    <cfRule type="containsText" dxfId="307" priority="88" operator="containsText" text="compacto">
      <formula>NOT(ISERROR(SEARCH("compacto",F41)))</formula>
    </cfRule>
  </conditionalFormatting>
  <conditionalFormatting sqref="D42 A43">
    <cfRule type="containsErrors" dxfId="306" priority="86" stopIfTrue="1">
      <formula>ISERROR(A42)</formula>
    </cfRule>
  </conditionalFormatting>
  <conditionalFormatting sqref="D45 E44">
    <cfRule type="containsText" dxfId="305" priority="84" operator="containsText" text="Esbelto">
      <formula>NOT(ISERROR(SEARCH("Esbelto",D44)))</formula>
    </cfRule>
    <cfRule type="containsText" dxfId="304" priority="85" operator="containsText" text="Compacto">
      <formula>NOT(ISERROR(SEARCH("Compacto",D44)))</formula>
    </cfRule>
  </conditionalFormatting>
  <conditionalFormatting sqref="B42">
    <cfRule type="cellIs" dxfId="303" priority="83" operator="equal">
      <formula>""</formula>
    </cfRule>
  </conditionalFormatting>
  <conditionalFormatting sqref="C42">
    <cfRule type="containsErrors" dxfId="302" priority="77" stopIfTrue="1">
      <formula>ISERROR(C42)</formula>
    </cfRule>
    <cfRule type="cellIs" dxfId="301" priority="82" stopIfTrue="1" operator="equal">
      <formula>""</formula>
    </cfRule>
  </conditionalFormatting>
  <conditionalFormatting sqref="E42">
    <cfRule type="expression" dxfId="300" priority="59">
      <formula>$E$3=""</formula>
    </cfRule>
    <cfRule type="cellIs" dxfId="299" priority="81" operator="equal">
      <formula>""</formula>
    </cfRule>
  </conditionalFormatting>
  <conditionalFormatting sqref="F42">
    <cfRule type="containsErrors" dxfId="298" priority="76" stopIfTrue="1">
      <formula>ISERROR(F42)</formula>
    </cfRule>
    <cfRule type="containsText" dxfId="297" priority="78" operator="containsText" text="Esbelto">
      <formula>NOT(ISERROR(SEARCH("Esbelto",F42)))</formula>
    </cfRule>
    <cfRule type="containsText" dxfId="296" priority="79" operator="containsText" text="Compacto">
      <formula>NOT(ISERROR(SEARCH("Compacto",F42)))</formula>
    </cfRule>
    <cfRule type="cellIs" dxfId="295" priority="80" operator="equal">
      <formula>""</formula>
    </cfRule>
  </conditionalFormatting>
  <conditionalFormatting sqref="H41">
    <cfRule type="containsText" dxfId="294" priority="69" operator="containsText" text="DUCTILIDAD MODERADA">
      <formula>NOT(ISERROR(SEARCH("DUCTILIDAD MODERADA",H41)))</formula>
    </cfRule>
    <cfRule type="containsText" dxfId="293" priority="70" operator="containsText" text="DUCTILIDAD ALTA">
      <formula>NOT(ISERROR(SEARCH("DUCTILIDAD ALTA",H41)))</formula>
    </cfRule>
    <cfRule type="containsText" dxfId="292" priority="71" operator="containsText" text="NO DÚCTIL">
      <formula>NOT(ISERROR(SEARCH("NO DÚCTIL",H41)))</formula>
    </cfRule>
    <cfRule type="containsText" dxfId="291" priority="73" operator="containsText" text="esbelto">
      <formula>NOT(ISERROR(SEARCH("esbelto",H41)))</formula>
    </cfRule>
    <cfRule type="containsText" dxfId="290" priority="74" operator="containsText" text="compacto">
      <formula>NOT(ISERROR(SEARCH("compacto",H41)))</formula>
    </cfRule>
  </conditionalFormatting>
  <conditionalFormatting sqref="H41">
    <cfRule type="containsErrors" dxfId="289" priority="72" stopIfTrue="1">
      <formula>ISERROR(H41)</formula>
    </cfRule>
  </conditionalFormatting>
  <conditionalFormatting sqref="F45:H45 G44">
    <cfRule type="containsText" dxfId="288" priority="56" operator="containsText" text="NO DÚCTIL">
      <formula>NOT(ISERROR(SEARCH("NO DÚCTIL",F44)))</formula>
    </cfRule>
    <cfRule type="containsText" dxfId="287" priority="57" operator="containsText" text="DÚCTIL">
      <formula>NOT(ISERROR(SEARCH("DÚCTIL",F44)))</formula>
    </cfRule>
    <cfRule type="containsErrors" dxfId="286" priority="62">
      <formula>ISERROR(F44)</formula>
    </cfRule>
  </conditionalFormatting>
  <conditionalFormatting sqref="E41">
    <cfRule type="expression" dxfId="285" priority="60">
      <formula>$E$3=""</formula>
    </cfRule>
  </conditionalFormatting>
  <conditionalFormatting sqref="G41">
    <cfRule type="expression" dxfId="284" priority="58">
      <formula>$E$3=""</formula>
    </cfRule>
  </conditionalFormatting>
  <conditionalFormatting sqref="G42">
    <cfRule type="containsErrors" dxfId="283" priority="54">
      <formula>ISERROR(G42)</formula>
    </cfRule>
    <cfRule type="cellIs" dxfId="282" priority="55" operator="equal">
      <formula>""</formula>
    </cfRule>
  </conditionalFormatting>
  <conditionalFormatting sqref="H42">
    <cfRule type="containsText" dxfId="281" priority="47" operator="containsText" text="DUCTILIDAD MODERADA">
      <formula>NOT(ISERROR(SEARCH("DUCTILIDAD MODERADA",H42)))</formula>
    </cfRule>
    <cfRule type="containsText" dxfId="280" priority="48" operator="containsText" text="DUCTILIDAD ALTA">
      <formula>NOT(ISERROR(SEARCH("DUCTILIDAD ALTA",H42)))</formula>
    </cfRule>
    <cfRule type="containsText" dxfId="279" priority="49" operator="containsText" text="NO DÚCTIL">
      <formula>NOT(ISERROR(SEARCH("NO DÚCTIL",H42)))</formula>
    </cfRule>
    <cfRule type="containsText" dxfId="278" priority="51" operator="containsText" text="esbelto">
      <formula>NOT(ISERROR(SEARCH("esbelto",H42)))</formula>
    </cfRule>
    <cfRule type="containsText" dxfId="277" priority="52" operator="containsText" text="compacto">
      <formula>NOT(ISERROR(SEARCH("compacto",H42)))</formula>
    </cfRule>
    <cfRule type="containsBlanks" dxfId="276" priority="53">
      <formula>LEN(TRIM(H42))=0</formula>
    </cfRule>
  </conditionalFormatting>
  <conditionalFormatting sqref="H42">
    <cfRule type="containsErrors" dxfId="275" priority="50" stopIfTrue="1">
      <formula>ISERROR(H42)</formula>
    </cfRule>
  </conditionalFormatting>
  <conditionalFormatting sqref="D11:D12">
    <cfRule type="containsErrors" dxfId="274" priority="46">
      <formula>ISERROR(D11)</formula>
    </cfRule>
  </conditionalFormatting>
  <conditionalFormatting sqref="C41">
    <cfRule type="containsErrors" dxfId="273" priority="45" stopIfTrue="1">
      <formula>ISERROR(C41)</formula>
    </cfRule>
  </conditionalFormatting>
  <conditionalFormatting sqref="F52">
    <cfRule type="containsText" dxfId="272" priority="38" operator="containsText" text="No esbelto">
      <formula>NOT(ISERROR(SEARCH("No esbelto",F52)))</formula>
    </cfRule>
    <cfRule type="containsText" dxfId="271" priority="43" operator="containsText" text="Esbelto">
      <formula>NOT(ISERROR(SEARCH("Esbelto",F52)))</formula>
    </cfRule>
  </conditionalFormatting>
  <conditionalFormatting sqref="F53">
    <cfRule type="containsText" dxfId="270" priority="36" operator="containsText" text="No esbelto">
      <formula>NOT(ISERROR(SEARCH("No esbelto",F53)))</formula>
    </cfRule>
    <cfRule type="containsText" dxfId="269" priority="37" operator="containsText" text="Esbelto">
      <formula>NOT(ISERROR(SEARCH("Esbelto",F53)))</formula>
    </cfRule>
  </conditionalFormatting>
  <conditionalFormatting sqref="E46">
    <cfRule type="containsText" dxfId="268" priority="1" stopIfTrue="1" operator="containsText" text="No cumple">
      <formula>NOT(ISERROR(SEARCH("No cumple",E46)))</formula>
    </cfRule>
  </conditionalFormatting>
  <conditionalFormatting sqref="H69">
    <cfRule type="containsText" dxfId="267" priority="27" operator="containsText" text="No cumple">
      <formula>NOT(ISERROR(SEARCH("No cumple",H69)))</formula>
    </cfRule>
    <cfRule type="containsText" dxfId="266" priority="28" operator="containsText" text="Cumple">
      <formula>NOT(ISERROR(SEARCH("Cumple",H69)))</formula>
    </cfRule>
  </conditionalFormatting>
  <conditionalFormatting sqref="B64:H64 B67:H67 B60:H60 E46">
    <cfRule type="containsErrors" dxfId="265" priority="33">
      <formula>ISERROR(B46)</formula>
    </cfRule>
  </conditionalFormatting>
  <conditionalFormatting sqref="H52">
    <cfRule type="containsText" dxfId="264" priority="24" operator="containsText" text="No cumple">
      <formula>NOT(ISERROR(SEARCH("No cumple",H52)))</formula>
    </cfRule>
    <cfRule type="containsText" dxfId="263" priority="25" operator="containsText" text="Cumple">
      <formula>NOT(ISERROR(SEARCH("Cumple",H52)))</formula>
    </cfRule>
  </conditionalFormatting>
  <conditionalFormatting sqref="B99">
    <cfRule type="containsText" dxfId="262" priority="22" operator="containsText" text="No cumple">
      <formula>NOT(ISERROR(SEARCH("No cumple",B99)))</formula>
    </cfRule>
    <cfRule type="containsText" dxfId="261" priority="23" operator="containsText" text="Cumple">
      <formula>NOT(ISERROR(SEARCH("Cumple",B99)))</formula>
    </cfRule>
  </conditionalFormatting>
  <conditionalFormatting sqref="G86">
    <cfRule type="containsText" dxfId="260" priority="20" operator="containsText" text="No cumple">
      <formula>NOT(ISERROR(SEARCH("No cumple",G86)))</formula>
    </cfRule>
    <cfRule type="containsText" dxfId="259" priority="21" operator="containsText" text="Cumple">
      <formula>NOT(ISERROR(SEARCH("Cumple",G86)))</formula>
    </cfRule>
  </conditionalFormatting>
  <conditionalFormatting sqref="D92">
    <cfRule type="containsErrors" dxfId="258" priority="19" stopIfTrue="1">
      <formula>ISERROR(D92)</formula>
    </cfRule>
  </conditionalFormatting>
  <conditionalFormatting sqref="H96">
    <cfRule type="containsText" dxfId="257" priority="17" operator="containsText" text="No cumple">
      <formula>NOT(ISERROR(SEARCH("No cumple",H96)))</formula>
    </cfRule>
    <cfRule type="containsText" dxfId="256" priority="18" operator="containsText" text="Cumple">
      <formula>NOT(ISERROR(SEARCH("Cumple",H96)))</formula>
    </cfRule>
  </conditionalFormatting>
  <conditionalFormatting sqref="F37:G37">
    <cfRule type="expression" dxfId="255" priority="15">
      <formula>$H$33="no"</formula>
    </cfRule>
  </conditionalFormatting>
  <conditionalFormatting sqref="H37">
    <cfRule type="expression" dxfId="254" priority="14">
      <formula>$H$33="no"</formula>
    </cfRule>
  </conditionalFormatting>
  <conditionalFormatting sqref="F35:H36">
    <cfRule type="expression" dxfId="253" priority="10">
      <formula>$H$34="no"</formula>
    </cfRule>
  </conditionalFormatting>
  <conditionalFormatting sqref="H92">
    <cfRule type="containsErrors" dxfId="252" priority="9" stopIfTrue="1">
      <formula>ISERROR(H92)</formula>
    </cfRule>
  </conditionalFormatting>
  <conditionalFormatting sqref="H17:H18 C31:C32 D73:G73 D74:F74 D76:F76 D75:G75 C84 G84 B86:C87 G86:H87 D94 H96:H97 C96:C97 B99:H101">
    <cfRule type="containsErrors" dxfId="251" priority="8">
      <formula>ISERROR(B17)</formula>
    </cfRule>
  </conditionalFormatting>
  <conditionalFormatting sqref="B93:D93">
    <cfRule type="expression" dxfId="250" priority="6">
      <formula>$B$3="TUBULAR_CIRCULAR"</formula>
    </cfRule>
  </conditionalFormatting>
  <conditionalFormatting sqref="B94:D94">
    <cfRule type="expression" dxfId="249" priority="5">
      <formula>$B$3="TUBULAR_CIRCULAR"</formula>
    </cfRule>
  </conditionalFormatting>
  <conditionalFormatting sqref="F93:H93">
    <cfRule type="expression" dxfId="248" priority="4">
      <formula>$B$3="TUBULAR_CIRCULAR"</formula>
    </cfRule>
  </conditionalFormatting>
  <conditionalFormatting sqref="H94">
    <cfRule type="containsErrors" dxfId="247" priority="3">
      <formula>ISERROR(H94)</formula>
    </cfRule>
  </conditionalFormatting>
  <conditionalFormatting sqref="F94:H94">
    <cfRule type="expression" dxfId="246" priority="2">
      <formula>$B$3="TUBULAR_CIRCULAR"</formula>
    </cfRule>
  </conditionalFormatting>
  <conditionalFormatting sqref="E46:H46">
    <cfRule type="containsText" dxfId="245" priority="26" operator="containsText" text="Cumple">
      <formula>NOT(ISERROR(SEARCH("Cumple",E46)))</formula>
    </cfRule>
  </conditionalFormatting>
  <dataValidations count="4">
    <dataValidation type="list" allowBlank="1" showInputMessage="1" showErrorMessage="1" sqref="B3">
      <formula1>TIPO</formula1>
    </dataValidation>
    <dataValidation type="list" errorStyle="warning" allowBlank="1" showInputMessage="1" showErrorMessage="1" error="Verificar tipo de perfil " prompt="Seleccionar tipo de perfil " sqref="E3:G3">
      <formula1>INDIRECT(B3)</formula1>
    </dataValidation>
    <dataValidation type="list" errorStyle="warning" allowBlank="1" showInputMessage="1" showErrorMessage="1" error="Verificar tipo de perfil " prompt="Seleccionar tipo de perfil " sqref="H3:I3">
      <formula1>INDIRECT(D3)</formula1>
    </dataValidation>
    <dataValidation type="list" allowBlank="1" showInputMessage="1" showErrorMessage="1" sqref="H34">
      <formula1>"si, no"</formula1>
    </dataValidation>
  </dataValidations>
  <pageMargins left="0.7" right="0.7" top="0.75" bottom="0.75" header="0.3" footer="0.3"/>
  <pageSetup paperSize="9" scale="52" orientation="portrait" r:id="rId1"/>
  <rowBreaks count="2" manualBreakCount="2">
    <brk id="88" max="8" man="1"/>
    <brk id="102" max="8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'Datos genericos columnas'!$A$2:$A$3</xm:f>
          </x14:formula1>
          <xm:sqref>D8</xm:sqref>
        </x14:dataValidation>
        <x14:dataValidation type="list" allowBlank="1" showInputMessage="1" showErrorMessage="1">
          <x14:formula1>
            <xm:f>'Datos genericos columnas'!$C$2:$C$4</xm:f>
          </x14:formula1>
          <xm:sqref>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3857F0"/>
  </sheetPr>
  <dimension ref="A1:K156"/>
  <sheetViews>
    <sheetView view="pageBreakPreview" zoomScale="85" zoomScaleNormal="80" zoomScaleSheetLayoutView="85" zoomScalePageLayoutView="70" workbookViewId="0">
      <selection activeCell="D9" sqref="D9"/>
    </sheetView>
  </sheetViews>
  <sheetFormatPr baseColWidth="10" defaultColWidth="11.42578125" defaultRowHeight="14.25" x14ac:dyDescent="0.2"/>
  <cols>
    <col min="1" max="1" width="11.7109375" style="4" customWidth="1"/>
    <col min="2" max="3" width="13" style="4" customWidth="1"/>
    <col min="4" max="4" width="11.28515625" style="4" customWidth="1"/>
    <col min="5" max="5" width="12" style="4" customWidth="1"/>
    <col min="6" max="6" width="12.140625" style="4" customWidth="1"/>
    <col min="7" max="7" width="10.85546875" style="4" customWidth="1"/>
    <col min="8" max="8" width="14.42578125" style="4" customWidth="1"/>
    <col min="9" max="9" width="12.140625" style="4" customWidth="1"/>
    <col min="10" max="16384" width="11.42578125" style="4"/>
  </cols>
  <sheetData>
    <row r="1" spans="1:9" ht="33" customHeight="1" x14ac:dyDescent="0.25">
      <c r="A1" s="574" t="s">
        <v>1213</v>
      </c>
      <c r="B1" s="574"/>
      <c r="C1" s="574"/>
      <c r="D1" s="574"/>
      <c r="E1" s="488"/>
      <c r="F1" s="488"/>
      <c r="G1" s="488"/>
      <c r="H1" s="488"/>
      <c r="I1" s="488"/>
    </row>
    <row r="2" spans="1:9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9" ht="15" customHeight="1" x14ac:dyDescent="0.2">
      <c r="A3" s="42" t="s">
        <v>207</v>
      </c>
      <c r="B3" s="578" t="s">
        <v>77</v>
      </c>
      <c r="C3" s="579"/>
      <c r="D3" s="580"/>
      <c r="E3" s="575" t="s">
        <v>683</v>
      </c>
      <c r="F3" s="576"/>
      <c r="G3" s="576"/>
      <c r="H3" s="576"/>
      <c r="I3" s="577"/>
    </row>
    <row r="4" spans="1:9" ht="15" x14ac:dyDescent="0.2">
      <c r="A4" s="581" t="s">
        <v>208</v>
      </c>
      <c r="B4" s="582"/>
      <c r="C4" s="582"/>
      <c r="D4" s="583"/>
      <c r="E4" s="47" t="s">
        <v>78</v>
      </c>
      <c r="F4" s="6"/>
      <c r="G4" s="6"/>
      <c r="H4" s="6"/>
      <c r="I4" s="6"/>
    </row>
    <row r="5" spans="1:9" x14ac:dyDescent="0.2">
      <c r="A5" s="6"/>
      <c r="B5" s="6"/>
      <c r="C5" s="6"/>
      <c r="D5" s="6"/>
      <c r="E5" s="6"/>
      <c r="F5" s="6"/>
      <c r="G5" s="6"/>
      <c r="H5" s="6"/>
      <c r="I5" s="6"/>
    </row>
    <row r="6" spans="1:9" x14ac:dyDescent="0.2">
      <c r="A6" s="6"/>
      <c r="B6" s="490" t="s">
        <v>216</v>
      </c>
      <c r="C6" s="490"/>
      <c r="D6" s="86">
        <v>200000</v>
      </c>
      <c r="E6" s="92"/>
      <c r="F6" s="565" t="s">
        <v>1052</v>
      </c>
      <c r="G6" s="565"/>
      <c r="H6" s="141">
        <v>50</v>
      </c>
      <c r="I6" s="6"/>
    </row>
    <row r="7" spans="1:9" ht="16.5" customHeight="1" x14ac:dyDescent="0.2">
      <c r="A7" s="6"/>
      <c r="B7" s="490" t="s">
        <v>988</v>
      </c>
      <c r="C7" s="490"/>
      <c r="D7" s="86">
        <v>77200</v>
      </c>
      <c r="E7" s="98"/>
      <c r="F7" s="565" t="s">
        <v>1051</v>
      </c>
      <c r="G7" s="565"/>
      <c r="H7" s="141">
        <v>20</v>
      </c>
      <c r="I7" s="6"/>
    </row>
    <row r="8" spans="1:9" ht="15" customHeight="1" x14ac:dyDescent="0.2">
      <c r="A8" s="6"/>
      <c r="B8" s="490" t="s">
        <v>1057</v>
      </c>
      <c r="C8" s="490"/>
      <c r="D8" s="86">
        <f>IF(D9=250,420,IF(D9=350,450,""))</f>
        <v>450</v>
      </c>
      <c r="F8" s="565" t="s">
        <v>1046</v>
      </c>
      <c r="G8" s="565"/>
      <c r="H8" s="141">
        <v>40</v>
      </c>
      <c r="I8" s="6"/>
    </row>
    <row r="9" spans="1:9" ht="15" customHeight="1" x14ac:dyDescent="0.2">
      <c r="A9" s="6"/>
      <c r="B9" s="490" t="s">
        <v>217</v>
      </c>
      <c r="C9" s="490"/>
      <c r="D9" s="84">
        <v>350</v>
      </c>
      <c r="E9" s="6"/>
      <c r="F9" s="565" t="s">
        <v>992</v>
      </c>
      <c r="G9" s="565"/>
      <c r="H9" s="142">
        <v>40</v>
      </c>
      <c r="I9" s="6"/>
    </row>
    <row r="10" spans="1:9" ht="15" customHeight="1" x14ac:dyDescent="0.2">
      <c r="A10" s="6"/>
      <c r="B10" s="6"/>
      <c r="C10" s="6"/>
      <c r="D10" s="6"/>
      <c r="E10" s="99"/>
      <c r="F10" s="565" t="s">
        <v>993</v>
      </c>
      <c r="G10" s="565"/>
      <c r="H10" s="142">
        <v>40</v>
      </c>
      <c r="I10" s="6"/>
    </row>
    <row r="11" spans="1:9" ht="15" customHeight="1" x14ac:dyDescent="0.2">
      <c r="A11" s="6"/>
      <c r="B11" s="540" t="s">
        <v>994</v>
      </c>
      <c r="C11" s="540"/>
      <c r="D11" s="51">
        <v>0.9</v>
      </c>
      <c r="E11" s="99"/>
      <c r="F11" s="565" t="s">
        <v>1048</v>
      </c>
      <c r="G11" s="565"/>
      <c r="H11" s="143">
        <v>2.5</v>
      </c>
      <c r="I11" s="6"/>
    </row>
    <row r="12" spans="1:9" ht="15" customHeight="1" x14ac:dyDescent="0.2">
      <c r="A12" s="6"/>
      <c r="B12" s="540" t="s">
        <v>230</v>
      </c>
      <c r="C12" s="540"/>
      <c r="D12" s="51">
        <f>+H6/(D11*D9*1000*C21*0.0001)</f>
        <v>2.9503746975865934E-2</v>
      </c>
      <c r="E12" s="99"/>
      <c r="F12" s="6"/>
      <c r="G12" s="6"/>
      <c r="H12" s="6"/>
      <c r="I12" s="6"/>
    </row>
    <row r="13" spans="1:9" ht="15" customHeight="1" x14ac:dyDescent="0.2">
      <c r="A13" s="6"/>
      <c r="B13" s="540" t="s">
        <v>1047</v>
      </c>
      <c r="C13" s="540"/>
      <c r="D13" s="51">
        <v>1</v>
      </c>
      <c r="E13" s="99"/>
      <c r="F13" s="598" t="s">
        <v>1000</v>
      </c>
      <c r="G13" s="598"/>
      <c r="H13" s="114">
        <f>IF(B3="LAMINADO",(1.76*$C$24*SQRT(D6/$D$9)/100),"N/A")</f>
        <v>1.4094135761271169</v>
      </c>
      <c r="I13" s="6"/>
    </row>
    <row r="14" spans="1:9" ht="15" customHeight="1" x14ac:dyDescent="0.2">
      <c r="A14" s="6"/>
      <c r="B14" s="6"/>
      <c r="C14" s="6"/>
      <c r="D14" s="6"/>
      <c r="E14" s="99"/>
      <c r="F14" s="598" t="s">
        <v>1017</v>
      </c>
      <c r="G14" s="598"/>
      <c r="H14" s="113">
        <f>IF(B3="LAMINADO",(IF('Datos genericos vigas'!L6="C   ",'Datos genericos vigas'!V3,(IF('Datos genericos vigas'!L6="UPN ",'Datos genericos vigas'!V4,'Datos genericos vigas'!V5)))),"N/A")</f>
        <v>4.1287479550265127</v>
      </c>
      <c r="I14" s="6"/>
    </row>
    <row r="15" spans="1:9" x14ac:dyDescent="0.2">
      <c r="A15" s="6"/>
      <c r="B15" s="6"/>
      <c r="C15" s="128" t="s">
        <v>209</v>
      </c>
      <c r="D15" s="128" t="s">
        <v>210</v>
      </c>
      <c r="E15" s="99"/>
      <c r="F15" s="164"/>
      <c r="G15" s="164"/>
      <c r="H15" s="165"/>
      <c r="I15" s="6"/>
    </row>
    <row r="16" spans="1:9" x14ac:dyDescent="0.2">
      <c r="A16" s="6"/>
      <c r="B16" s="43" t="s">
        <v>194</v>
      </c>
      <c r="C16" s="119" t="str">
        <f>IF(B3="TUBULAR_CIRCULAR",VLOOKUP($E$3,'Tabla Perfiles tubular'!A1:R360,2,FALSE),"N/A")</f>
        <v>N/A</v>
      </c>
      <c r="D16" s="118" t="str">
        <f>IF(C16="N/A","",IF(C16="","","mm"))</f>
        <v/>
      </c>
      <c r="E16" s="99"/>
      <c r="F16" s="6"/>
      <c r="G16" s="6"/>
      <c r="H16" s="6"/>
      <c r="I16" s="6"/>
    </row>
    <row r="17" spans="1:9" x14ac:dyDescent="0.2">
      <c r="A17" s="6"/>
      <c r="B17" s="43" t="str">
        <f>IF(B3="LAMINADO","hw","h")</f>
        <v>hw</v>
      </c>
      <c r="C17" s="118">
        <f>IF(B3="LAMINADO",VLOOKUP(E3,'Tabla Perfiles laminados'!A4:AB460,5,FALSE),(IF(B3="TUBULAR_RECTANGULAR",VLOOKUP(E3,'Tabla Perfiles tubular'!A260:R360,3,FALSE),"N/A")))</f>
        <v>248</v>
      </c>
      <c r="D17" s="118" t="str">
        <f>IF(C17="N/A","",IF(C17="","","mm"))</f>
        <v>mm</v>
      </c>
      <c r="E17" s="99"/>
      <c r="F17" s="6"/>
      <c r="G17" s="6"/>
      <c r="H17" s="6"/>
      <c r="I17" s="6"/>
    </row>
    <row r="18" spans="1:9" x14ac:dyDescent="0.2">
      <c r="A18" s="6"/>
      <c r="B18" s="43" t="str">
        <f>IF(B3="LAMINADO","bf","b")</f>
        <v>bf</v>
      </c>
      <c r="C18" s="118">
        <f>IF(B3="LAMINADO",VLOOKUP(E3,'Tabla Perfiles laminados'!A4:AB460,3,FALSE),(IF(B3="TUBULAR_RECTANGULAR",VLOOKUP(E3,'Tabla Perfiles tubular'!A260:R360,4,FALSE),IF(B3="TUBULAR_CUADRADO",VLOOKUP(E3,'Tabla Perfiles tubular'!A171:R259,4,FALSE),"N/A"))))</f>
        <v>150</v>
      </c>
      <c r="D18" s="118" t="str">
        <f>IF(C18="N/A","",IF(C18="","","mm"))</f>
        <v>mm</v>
      </c>
      <c r="E18" s="99"/>
      <c r="F18" s="6"/>
      <c r="G18" s="6"/>
      <c r="H18" s="6"/>
      <c r="I18" s="6"/>
    </row>
    <row r="19" spans="1:9" x14ac:dyDescent="0.2">
      <c r="A19" s="6"/>
      <c r="B19" s="43" t="str">
        <f>IF(B3="LAMINADO","tf","t")</f>
        <v>tf</v>
      </c>
      <c r="C19" s="118">
        <f>IF(B3="LAMINADO",VLOOKUP(E3,'Tabla Perfiles laminados'!A4:AB460,4,FALSE),(IF(B3="TUBULAR_RECTANGULAR",VLOOKUP(E3,'Tabla Perfiles tubular'!A260:R360,5,FALSE),IF(B3="TUBULAR_CUADRADO",VLOOKUP(E3,'Tabla Perfiles tubular'!A171:R259,5,FALSE),IF(B3="TUBULAR_CIRCULAR",VLOOKUP(E3,'Tabla Perfiles tubular'!A3:R170,5,FALSE),"N/A")))))</f>
        <v>10.7</v>
      </c>
      <c r="D19" s="118" t="str">
        <f>IF(C19="N/A","",IF(C19="","","mm"))</f>
        <v>mm</v>
      </c>
      <c r="E19" s="99"/>
      <c r="F19" s="99"/>
      <c r="G19" s="99"/>
      <c r="H19" s="99"/>
      <c r="I19" s="6"/>
    </row>
    <row r="20" spans="1:9" ht="18" x14ac:dyDescent="0.25">
      <c r="A20" s="6"/>
      <c r="B20" s="43" t="s">
        <v>211</v>
      </c>
      <c r="C20" s="118">
        <f>IF(B3="LAMINADO",VLOOKUP($E$3,'Tabla Perfiles laminados'!A1:AB460,6,FALSE),"N/A")</f>
        <v>7.1</v>
      </c>
      <c r="D20" s="118" t="str">
        <f>IF(C20="N/A","",IF(C20="","","mm"))</f>
        <v>mm</v>
      </c>
      <c r="E20" s="99"/>
      <c r="F20" s="99"/>
      <c r="G20" s="99"/>
      <c r="H20" s="99"/>
      <c r="I20" s="6"/>
    </row>
    <row r="21" spans="1:9" ht="18" x14ac:dyDescent="0.25">
      <c r="A21" s="6"/>
      <c r="B21" s="43" t="s">
        <v>221</v>
      </c>
      <c r="C21" s="118">
        <f>IF(B3="LAMINADO",VLOOKUP(E3,'Tabla Perfiles laminados'!A4:AB460,10,FALSE),(IF(B3="TUBULAR_RECTANGULAR",VLOOKUP(E3,'Tabla Perfiles tubular'!A260:R360,7,FALSE),IF(B3="TUBULAR_CUADRADO",VLOOKUP(E3,'Tabla Perfiles tubular'!A171:R259,7,FALSE),IF(B3="TUBULAR_CIRCULAR",VLOOKUP(E3,'Tabla Perfiles tubular'!A3:R170,7,FALSE),"N/A")))))</f>
        <v>53.8</v>
      </c>
      <c r="D21" s="118" t="str">
        <f>IF(C20="","","cm2")</f>
        <v>cm2</v>
      </c>
      <c r="E21" s="99"/>
      <c r="F21" s="99"/>
      <c r="G21" s="99"/>
      <c r="H21" s="99"/>
      <c r="I21" s="6"/>
    </row>
    <row r="22" spans="1:9" x14ac:dyDescent="0.2">
      <c r="A22" s="6"/>
      <c r="B22" s="6"/>
      <c r="C22" s="6"/>
      <c r="D22" s="6"/>
      <c r="E22" s="99"/>
      <c r="F22" s="99"/>
      <c r="G22" s="99"/>
      <c r="H22" s="99"/>
      <c r="I22" s="48"/>
    </row>
    <row r="23" spans="1:9" ht="18" x14ac:dyDescent="0.25">
      <c r="A23" s="6"/>
      <c r="B23" s="43" t="s">
        <v>212</v>
      </c>
      <c r="C23" s="150">
        <f>IF(B3="LAMINADO",VLOOKUP(E3,'Tabla Perfiles laminados'!A4:AB460,14,FALSE),(IF(B3="TUBULAR_RECTANGULAR",VLOOKUP(E3,'Tabla Perfiles tubular'!A260:R360,13,FALSE),IF(B3="TUBULAR_CUADRADO",VLOOKUP(E3,'Tabla Perfiles tubular'!A171:R259,13,FALSE),IF(B3="TUBULAR_CIRCULAR",VLOOKUP(E3,'Tabla Perfiles tubular'!A3:R170,13,FALSE),"N/A")))))</f>
        <v>12.5</v>
      </c>
      <c r="D23" s="118" t="s">
        <v>118</v>
      </c>
      <c r="E23" s="99"/>
      <c r="F23" s="99"/>
      <c r="G23" s="99"/>
      <c r="H23" s="99"/>
      <c r="I23" s="6"/>
    </row>
    <row r="24" spans="1:9" ht="18" x14ac:dyDescent="0.25">
      <c r="A24" s="6"/>
      <c r="B24" s="43" t="s">
        <v>213</v>
      </c>
      <c r="C24" s="150">
        <f>IF(B3="LAMINADO",VLOOKUP(E3,'Tabla Perfiles laminados'!A4:AB460,19,FALSE),(IF(B3="TUBULAR_RECTANGULAR",VLOOKUP(E3,'Tabla Perfiles tubular'!A260:R360,14,FALSE),IF(B3="TUBULAR_CUADRADO",VLOOKUP(E3,'Tabla Perfiles tubular'!A171:R259,14,FALSE),IF(B3="TUBULAR_CIRCULAR",VLOOKUP(E3,'Tabla Perfiles tubular'!A3:R170,14,FALSE),"N/A")))))</f>
        <v>3.35</v>
      </c>
      <c r="D24" s="118" t="s">
        <v>118</v>
      </c>
      <c r="E24" s="99"/>
      <c r="F24" s="99"/>
      <c r="G24" s="99"/>
      <c r="H24" s="99"/>
      <c r="I24" s="6"/>
    </row>
    <row r="25" spans="1:9" x14ac:dyDescent="0.2">
      <c r="A25" s="6"/>
      <c r="B25" s="43" t="s">
        <v>100</v>
      </c>
      <c r="C25" s="150">
        <f>IF(B3="LAMINADO",VLOOKUP(E3,'Tabla Perfiles laminados'!A4:AB460,12,FALSE),(IF(B3="TUBULAR_RECTANGULAR",VLOOKUP(E3,'Tabla Perfiles tubular'!A260:R360,9,FALSE),IF(B3="TUBULAR_CUADRADO",VLOOKUP(E3,'Tabla Perfiles tubular'!A171:R259,9,FALSE),IF(B3="TUBULAR_CIRCULAR",VLOOKUP(E3,'Tabla Perfiles tubular'!A3:R170,9,FALSE),"N/A")))))</f>
        <v>8360</v>
      </c>
      <c r="D25" s="118" t="s">
        <v>116</v>
      </c>
      <c r="E25" s="99"/>
      <c r="F25" s="99"/>
      <c r="G25" s="99"/>
      <c r="H25" s="99"/>
      <c r="I25" s="6"/>
    </row>
    <row r="26" spans="1:9" x14ac:dyDescent="0.2">
      <c r="A26" s="6"/>
      <c r="B26" s="43" t="s">
        <v>105</v>
      </c>
      <c r="C26" s="150">
        <f>IF(B3="LAMINADO",VLOOKUP(E3,'Tabla Perfiles laminados'!A4:AB460,17,FALSE),(IF(B3="TUBULAR_RECTANGULAR",VLOOKUP(E3,'Tabla Perfiles tubular'!A260:R360,10,FALSE),IF(B3="TUBULAR_CUADRADO",VLOOKUP(E3,'Tabla Perfiles tubular'!A171:R259,10,FALSE),IF(B3="TUBULAR_CIRCULAR",VLOOKUP(E3,'Tabla Perfiles tubular'!A3:R170,10,FALSE),"N/A")))))</f>
        <v>604</v>
      </c>
      <c r="D26" s="118" t="s">
        <v>116</v>
      </c>
      <c r="E26" s="99"/>
      <c r="F26" s="99"/>
      <c r="G26" s="99"/>
      <c r="H26" s="99"/>
      <c r="I26" s="6"/>
    </row>
    <row r="27" spans="1:9" x14ac:dyDescent="0.2">
      <c r="A27" s="6"/>
      <c r="B27" s="43" t="s">
        <v>101</v>
      </c>
      <c r="C27" s="118">
        <f>IF(B3="LAMINADO",VLOOKUP(E3,'Tabla Perfiles laminados'!A4:AB460,13,FALSE),(IF(B3="TUBULAR_RECTANGULAR",VLOOKUP(E3,'Tabla Perfiles tubular'!A260:R360,11,FALSE),IF(B3="TUBULAR_CUADRADO",VLOOKUP(E3,'Tabla Perfiles tubular'!A171:R259,11,FALSE),IF(B3="TUBULAR_CIRCULAR",VLOOKUP(E3,'Tabla Perfiles tubular'!A3:R170,11,FALSE),"N/A")))))</f>
        <v>557</v>
      </c>
      <c r="D27" s="118" t="s">
        <v>117</v>
      </c>
      <c r="E27" s="99"/>
      <c r="F27" s="99"/>
      <c r="G27" s="99"/>
      <c r="H27" s="99"/>
      <c r="I27" s="6"/>
    </row>
    <row r="28" spans="1:9" x14ac:dyDescent="0.2">
      <c r="A28" s="6"/>
      <c r="B28" s="43" t="s">
        <v>106</v>
      </c>
      <c r="C28" s="150">
        <f>IF(B3="LAMINADO",VLOOKUP(E3,'Tabla Perfiles laminados'!A4:AB460,18,FALSE),(IF(B3="TUBULAR_RECTANGULAR",VLOOKUP(E3,'Tabla Perfiles tubular'!A260:R360,12,FALSE),IF(B3="TUBULAR_CUADRADO",VLOOKUP(E3,'Tabla Perfiles tubular'!A171:R259,12,FALSE),IF(B3="TUBULAR_CIRCULAR",VLOOKUP(E3,'Tabla Perfiles tubular'!A3:R170,12,FALSE),"N/A")))))</f>
        <v>80.5</v>
      </c>
      <c r="D28" s="118" t="s">
        <v>117</v>
      </c>
      <c r="E28" s="99"/>
      <c r="F28" s="99"/>
      <c r="G28" s="99"/>
      <c r="H28" s="99"/>
      <c r="I28" s="6"/>
    </row>
    <row r="29" spans="1:9" x14ac:dyDescent="0.2">
      <c r="A29" s="6"/>
      <c r="B29" s="43" t="s">
        <v>104</v>
      </c>
      <c r="C29" s="150">
        <f>IF(B3="LAMINADO",VLOOKUP(E3,'Tabla Perfiles laminados'!A4:AB460,16,FALSE),(IF(B3="TUBULAR_RECTANGULAR",VLOOKUP(E3,'Tabla Perfiles tubular'!A260:R360,15,FALSE),IF(B3="TUBULAR_CUADRADO",VLOOKUP(E3,'Tabla Perfiles tubular'!A171:R259,15,FALSE),IF(B3="TUBULAR_CIRCULAR",VLOOKUP(E3,'Tabla Perfiles tubular'!A3:R170,15,FALSE),"N/A")))))</f>
        <v>628</v>
      </c>
      <c r="D29" s="118" t="s">
        <v>117</v>
      </c>
      <c r="E29" s="99"/>
      <c r="F29" s="565" t="s">
        <v>1058</v>
      </c>
      <c r="G29" s="565"/>
      <c r="H29" s="160">
        <v>4</v>
      </c>
      <c r="I29" s="6"/>
    </row>
    <row r="30" spans="1:9" x14ac:dyDescent="0.2">
      <c r="A30" s="6"/>
      <c r="B30" s="43" t="s">
        <v>110</v>
      </c>
      <c r="C30" s="150">
        <f>IF(B3="LAMINADO",VLOOKUP(E3,'Tabla Perfiles laminados'!A4:AB460,22,FALSE),(IF(B3="TUBULAR_RECTANGULAR",VLOOKUP(E3,'Tabla Perfiles tubular'!A260:R360,16,FALSE),IF(B3="TUBULAR_CUADRADO",VLOOKUP(E3,'Tabla Perfiles tubular'!A171:R259,16,FALSE),IF(B3="TUBULAR_CIRCULAR",VLOOKUP(E3,'Tabla Perfiles tubular'!A3:R170,16,FALSE),"N/A")))))</f>
        <v>124</v>
      </c>
      <c r="D30" s="118" t="s">
        <v>117</v>
      </c>
      <c r="E30" s="99"/>
      <c r="F30" s="565" t="s">
        <v>1062</v>
      </c>
      <c r="G30" s="565"/>
      <c r="H30" s="143" t="s">
        <v>1065</v>
      </c>
      <c r="I30" s="6"/>
    </row>
    <row r="31" spans="1:9" x14ac:dyDescent="0.2">
      <c r="A31" s="6"/>
      <c r="B31" s="43" t="s">
        <v>88</v>
      </c>
      <c r="C31" s="118">
        <f>IF(B3="LAMINADO",VLOOKUP(E3,'Tabla Perfiles laminados'!A4:AB460,24,FALSE),"N/A")</f>
        <v>125900</v>
      </c>
      <c r="D31" s="118" t="s">
        <v>119</v>
      </c>
      <c r="E31" s="99"/>
      <c r="F31" s="565" t="s">
        <v>1080</v>
      </c>
      <c r="G31" s="565"/>
      <c r="H31" s="143" t="s">
        <v>1128</v>
      </c>
      <c r="I31" s="6"/>
    </row>
    <row r="32" spans="1:9" ht="14.25" customHeight="1" x14ac:dyDescent="0.2">
      <c r="A32" s="6"/>
      <c r="B32" s="43" t="s">
        <v>87</v>
      </c>
      <c r="C32" s="118">
        <f>IF(B3="LAMINADO",VLOOKUP(E3,'Tabla Perfiles laminados'!A4:AB460,23,FALSE),"N/A")</f>
        <v>15.6</v>
      </c>
      <c r="D32" s="118" t="s">
        <v>116</v>
      </c>
      <c r="E32" s="6" t="s">
        <v>1018</v>
      </c>
      <c r="F32" s="566" t="str">
        <f>IF(H31="no","","a (distancia entre rigidizadores) [mm]")</f>
        <v>a (distancia entre rigidizadores) [mm]</v>
      </c>
      <c r="G32" s="567"/>
      <c r="H32" s="570">
        <v>1200</v>
      </c>
      <c r="I32" s="6"/>
    </row>
    <row r="33" spans="1:9" x14ac:dyDescent="0.2">
      <c r="A33" s="6"/>
      <c r="B33" s="43" t="s">
        <v>998</v>
      </c>
      <c r="C33" s="118" t="str">
        <f>VLOOKUP(E3,'Tabla Perfiles laminados'!A4:AB460,28,FALSE)</f>
        <v>N/A</v>
      </c>
      <c r="D33" s="118" t="str">
        <f>IF(B33="","","cm")</f>
        <v>cm</v>
      </c>
      <c r="E33" s="6"/>
      <c r="F33" s="568"/>
      <c r="G33" s="569"/>
      <c r="H33" s="571"/>
      <c r="I33" s="6"/>
    </row>
    <row r="34" spans="1:9" ht="18.75" x14ac:dyDescent="0.35">
      <c r="A34" s="6"/>
      <c r="B34" s="147" t="s">
        <v>999</v>
      </c>
      <c r="C34" s="139" t="str">
        <f>IF(C33="N/A","N/A",0)</f>
        <v>N/A</v>
      </c>
      <c r="D34" s="139" t="str">
        <f>IF(B34="","","cm")</f>
        <v>cm</v>
      </c>
      <c r="E34" s="6"/>
      <c r="F34" s="540" t="s">
        <v>1072</v>
      </c>
      <c r="G34" s="540"/>
      <c r="H34" s="51">
        <f>IF(B3="LAMINADO",((($C$18*$C$19)-(C19*(H29*((VLOOKUP(H30,'Datos genericos vigas'!AB2:AD8,2,FALSE))+1.6))))),"N/A")</f>
        <v>992.96</v>
      </c>
      <c r="I34" s="6"/>
    </row>
    <row r="35" spans="1:9" ht="18.75" x14ac:dyDescent="0.35">
      <c r="A35" s="6"/>
      <c r="B35" s="6"/>
      <c r="C35" s="6"/>
      <c r="D35" s="6"/>
      <c r="E35" s="6"/>
      <c r="F35" s="540" t="s">
        <v>1073</v>
      </c>
      <c r="G35" s="540"/>
      <c r="H35" s="51">
        <f>IF(B3="LAMINADO",(($C$18*$C$19)),"N/A")</f>
        <v>1605</v>
      </c>
      <c r="I35" s="6"/>
    </row>
    <row r="36" spans="1:9" x14ac:dyDescent="0.2">
      <c r="A36" s="6"/>
      <c r="B36" s="6"/>
      <c r="C36" s="6"/>
      <c r="D36" s="6"/>
      <c r="E36" s="6"/>
      <c r="F36" s="6"/>
      <c r="G36" s="6"/>
      <c r="H36" s="6"/>
      <c r="I36" s="6"/>
    </row>
    <row r="37" spans="1:9" ht="20.25" customHeight="1" x14ac:dyDescent="0.2">
      <c r="A37" s="519" t="s">
        <v>592</v>
      </c>
      <c r="B37" s="520"/>
      <c r="C37" s="520"/>
      <c r="D37" s="520"/>
      <c r="E37" s="520"/>
      <c r="F37" s="520"/>
      <c r="G37" s="520"/>
      <c r="H37" s="520"/>
      <c r="I37" s="521"/>
    </row>
    <row r="38" spans="1:9" ht="20.25" customHeight="1" thickBot="1" x14ac:dyDescent="0.25">
      <c r="A38" s="90"/>
      <c r="B38" s="90"/>
      <c r="C38" s="90"/>
      <c r="D38" s="90"/>
      <c r="E38" s="90"/>
      <c r="F38" s="90"/>
      <c r="G38" s="90"/>
      <c r="H38" s="90"/>
      <c r="I38" s="90"/>
    </row>
    <row r="39" spans="1:9" ht="23.25" customHeight="1" x14ac:dyDescent="0.2">
      <c r="A39" s="6"/>
      <c r="B39" s="64"/>
      <c r="C39" s="64"/>
      <c r="D39" s="6"/>
      <c r="E39" s="561" t="s">
        <v>222</v>
      </c>
      <c r="F39" s="562"/>
      <c r="G39" s="561" t="s">
        <v>223</v>
      </c>
      <c r="H39" s="562"/>
      <c r="I39" s="6"/>
    </row>
    <row r="40" spans="1:9" ht="28.5" customHeight="1" x14ac:dyDescent="0.2">
      <c r="A40" s="6"/>
      <c r="B40" s="185" t="str">
        <f>IF(B3="LAMINADO","bf/2tf (Aletas)",IF(B3="TUBULAR_RECTANGULAR","h/t","b/t"))</f>
        <v>bf/2tf (Aletas)</v>
      </c>
      <c r="C40" s="183">
        <f>IF(B3="TUBULAR_CIRCULAR",(C16/C19),(IF(B3="TUBULAR_RECTANGULAR",(C17/C19),IF(B3="LAMINADO",(C18/(2*C19)),C18/C19))))</f>
        <v>7.0093457943925239</v>
      </c>
      <c r="D40" s="184" t="s">
        <v>214</v>
      </c>
      <c r="E40" s="194">
        <f>IF(B3="LAMINADO",(0.56*SQRT(D6/D9)),IF(B3="TUBULAR_CIRCULAR",(0.11*(D6/D9)),1.4*SQRT(D6/D9)))</f>
        <v>13.386560424545209</v>
      </c>
      <c r="F40" s="196" t="str">
        <f>IF(E40="","",IF(C40&lt;E40,"Compacto","Esbelto"))</f>
        <v>Compacto</v>
      </c>
      <c r="G40" s="129">
        <f>IF(E4="DMI",("NO SE ESPECIFICAN REQUISITOS"),(IF(E4="DMO",(VLOOKUP(B40,'Datos genericos vigas'!H3:J6,2,FALSE)),(VLOOKUP(B40,'Datos genericos vigas'!H3:J6,3,FALSE)))))</f>
        <v>9.0837374309413921</v>
      </c>
      <c r="H40" s="65" t="str">
        <f>IF(E4="DMI","",IF(AND(C40&lt;G40,E4="DMO"),"Ductilidad moderada",IF(AND(C40&lt;G40,E4="DES"),"Ductilidad alta","No dúctil")))</f>
        <v>Ductilidad moderada</v>
      </c>
      <c r="I40" s="6"/>
    </row>
    <row r="41" spans="1:9" ht="28.5" customHeight="1" thickBot="1" x14ac:dyDescent="0.25">
      <c r="A41" s="6"/>
      <c r="B41" s="118" t="str">
        <f>IF(B3="LAMINADO","hw/tw (Alma)","")</f>
        <v>hw/tw (Alma)</v>
      </c>
      <c r="C41" s="119">
        <f>IF(B41="","",C17/C20)</f>
        <v>34.929577464788736</v>
      </c>
      <c r="D41" s="117" t="str">
        <f>IF(B41="","","&lt;")</f>
        <v>&lt;</v>
      </c>
      <c r="E41" s="193">
        <f>IF(B41="","",1.49*SQRT(D6/D9))</f>
        <v>35.617812558164928</v>
      </c>
      <c r="F41" s="195" t="str">
        <f>IF(E41="","",IF(C41&lt;E41,"Compacto","Esbelto"))</f>
        <v>Compacto</v>
      </c>
      <c r="G41" s="130">
        <f>IF(B41="","",IF(E4="DMI",("NO SE ESPECIFICAN REQUISITOS"),(IF(E4="DMO",(VLOOKUP(B41,'Datos genericos vigas'!H3:J6,2,FALSE)),(VLOOKUP(B41,'Datos genericos vigas'!H3:J6,3,FALSE))))))</f>
        <v>82.588653615539585</v>
      </c>
      <c r="H41" s="197" t="str">
        <f>IF(B41="","",IF(E4="DMI","",IF(AND(C41&lt;G41,E4="DMO"),"Ductilidad moderada",IF(AND(C41&lt;G41,E4="DES"),"Ductilidad alta","No dúctil"))))</f>
        <v>Ductilidad moderada</v>
      </c>
      <c r="I41" s="6"/>
    </row>
    <row r="42" spans="1:9" x14ac:dyDescent="0.2">
      <c r="A42" s="6"/>
      <c r="B42" s="6"/>
      <c r="C42" s="6"/>
      <c r="D42" s="6"/>
      <c r="E42" s="6"/>
      <c r="F42" s="6"/>
      <c r="G42" s="6"/>
      <c r="H42" s="6"/>
      <c r="I42" s="6"/>
    </row>
    <row r="43" spans="1:9" x14ac:dyDescent="0.2">
      <c r="B43" s="6"/>
      <c r="C43" s="6"/>
      <c r="E43" s="596" t="str">
        <f>IF(AND(F40="Compacto",F41="Compacto"),"Compacto",IF(AND(F40="Compacto",F41=""),"Compacto","Esbelto"))</f>
        <v>Compacto</v>
      </c>
      <c r="F43" s="597"/>
      <c r="G43" s="526" t="str">
        <f>IF(E4="DMI","No se especifican requisitos",(IF(OR(H40="No dúctil",H41="No dúctil"),"No dúctil",IF(AND(OR(H40="Ductilidad moderada",H40="Ductilidad alta"),H41=""),"Dúctil",(IF(H40=H41,"Dúctil","No dúctil"))))))</f>
        <v>Dúctil</v>
      </c>
      <c r="H43" s="527"/>
      <c r="I43" s="6"/>
    </row>
    <row r="44" spans="1:9" x14ac:dyDescent="0.2">
      <c r="A44" s="6"/>
      <c r="B44" s="6"/>
      <c r="C44" s="6"/>
      <c r="D44" s="87"/>
      <c r="E44" s="87"/>
      <c r="F44" s="87"/>
      <c r="G44" s="87"/>
      <c r="H44" s="87"/>
      <c r="I44" s="6"/>
    </row>
    <row r="45" spans="1:9" ht="28.5" customHeight="1" x14ac:dyDescent="0.2">
      <c r="A45" s="6"/>
      <c r="B45" s="6"/>
      <c r="C45" s="6"/>
      <c r="E45" s="593" t="str">
        <f>IF(AND(E43="Compacto",G43="Dúctil"),"Cumple","No cumple")</f>
        <v>Cumple</v>
      </c>
      <c r="F45" s="594"/>
      <c r="G45" s="594"/>
      <c r="H45" s="595"/>
      <c r="I45" s="6"/>
    </row>
    <row r="46" spans="1:9" x14ac:dyDescent="0.2">
      <c r="A46" s="6"/>
      <c r="B46" s="6"/>
      <c r="C46" s="6"/>
      <c r="D46" s="6"/>
      <c r="E46" s="6"/>
      <c r="F46" s="6"/>
      <c r="G46" s="6"/>
      <c r="H46" s="6"/>
      <c r="I46" s="6"/>
    </row>
    <row r="47" spans="1:9" ht="20.25" customHeight="1" x14ac:dyDescent="0.2">
      <c r="A47" s="519" t="s">
        <v>1055</v>
      </c>
      <c r="B47" s="520"/>
      <c r="C47" s="520"/>
      <c r="D47" s="520"/>
      <c r="E47" s="520"/>
      <c r="F47" s="520"/>
      <c r="G47" s="520"/>
      <c r="H47" s="520"/>
      <c r="I47" s="521"/>
    </row>
    <row r="48" spans="1:9" x14ac:dyDescent="0.2">
      <c r="A48" s="6"/>
      <c r="B48" s="6"/>
      <c r="C48" s="6"/>
      <c r="D48" s="6"/>
      <c r="E48" s="6"/>
      <c r="F48" s="6"/>
      <c r="G48" s="6"/>
      <c r="H48" s="6"/>
      <c r="I48" s="6"/>
    </row>
    <row r="49" spans="1:11" x14ac:dyDescent="0.2">
      <c r="A49" s="6"/>
      <c r="B49" s="490" t="s">
        <v>1056</v>
      </c>
      <c r="C49" s="490"/>
      <c r="D49" s="490"/>
      <c r="E49" s="490"/>
      <c r="F49" s="490"/>
      <c r="G49" s="490"/>
      <c r="H49" s="490"/>
      <c r="I49" s="6"/>
    </row>
    <row r="50" spans="1:11" ht="18.75" x14ac:dyDescent="0.2">
      <c r="A50" s="6"/>
      <c r="B50" s="523" t="s">
        <v>1071</v>
      </c>
      <c r="C50" s="523"/>
      <c r="D50" s="523"/>
      <c r="E50" s="149"/>
      <c r="F50" s="608" t="s">
        <v>1070</v>
      </c>
      <c r="G50" s="608"/>
      <c r="H50" s="608"/>
      <c r="I50" s="6"/>
    </row>
    <row r="51" spans="1:11" x14ac:dyDescent="0.2">
      <c r="A51" s="6"/>
      <c r="B51" s="529">
        <f>IF(B3="LAMINADO",($D$8*$H$34)/1000,"N/A")</f>
        <v>446.83199999999999</v>
      </c>
      <c r="C51" s="529"/>
      <c r="D51" s="529"/>
      <c r="E51" s="148" t="str">
        <f>IF(B51&gt;F51,"&gt;",IF(B51&lt;F51,"&lt;",IF(B51=F51,"=","")))</f>
        <v>&lt;</v>
      </c>
      <c r="F51" s="529">
        <f>IF(B3="LAMINADO",((IF(($D$9/$D$8)&lt;=0.8,1,1.1))*$D$9*$H$35)/1000,"N/A")</f>
        <v>561.75</v>
      </c>
      <c r="G51" s="529"/>
      <c r="H51" s="529"/>
      <c r="I51" s="6"/>
    </row>
    <row r="52" spans="1:11" x14ac:dyDescent="0.2">
      <c r="A52" s="6"/>
      <c r="B52" s="87"/>
      <c r="C52" s="145"/>
      <c r="D52" s="145"/>
      <c r="E52" s="144"/>
      <c r="F52" s="87"/>
      <c r="G52" s="146"/>
      <c r="H52" s="145"/>
      <c r="I52" s="6"/>
    </row>
    <row r="53" spans="1:11" ht="18.75" customHeight="1" x14ac:dyDescent="0.2">
      <c r="A53" s="6"/>
      <c r="B53" s="490" t="s">
        <v>1074</v>
      </c>
      <c r="C53" s="490"/>
      <c r="D53" s="490"/>
      <c r="E53" s="529">
        <f>IF(B3="LAMINADO",((($C$19*($C$18^3))/12)/(10^4)),"N/A")</f>
        <v>300.9375</v>
      </c>
      <c r="F53" s="529"/>
      <c r="G53" s="161"/>
      <c r="H53" s="599" t="str">
        <f>IF(E53="N/A","N/A",IF(AND((E53/C26)&lt;=0.9,(E53/C26)&gt;=0.1),"Cumple","No cumple"))</f>
        <v>Cumple</v>
      </c>
      <c r="I53" s="162"/>
      <c r="J53" s="162"/>
      <c r="K53" s="162"/>
    </row>
    <row r="54" spans="1:11" ht="14.25" customHeight="1" x14ac:dyDescent="0.2">
      <c r="A54" s="6"/>
      <c r="B54" s="490"/>
      <c r="C54" s="490"/>
      <c r="D54" s="490"/>
      <c r="E54" s="529"/>
      <c r="F54" s="529"/>
      <c r="G54" s="163"/>
      <c r="H54" s="599"/>
      <c r="I54" s="6"/>
    </row>
    <row r="55" spans="1:11" ht="14.25" customHeight="1" x14ac:dyDescent="0.2">
      <c r="A55" s="6"/>
      <c r="B55" s="161"/>
      <c r="C55" s="161"/>
      <c r="D55" s="149"/>
      <c r="E55" s="163"/>
      <c r="F55" s="5"/>
      <c r="G55" s="163"/>
      <c r="H55" s="163"/>
      <c r="I55" s="6"/>
    </row>
    <row r="56" spans="1:11" ht="14.25" customHeight="1" x14ac:dyDescent="0.2">
      <c r="A56" s="6"/>
      <c r="B56" s="529" t="s">
        <v>1049</v>
      </c>
      <c r="C56" s="529"/>
      <c r="D56" s="529"/>
      <c r="E56" s="529">
        <f>IF(B3="LAMINADO",((((0.12)+(0.076*((MIN(H9:H10))/(MAX(H9:H10)))))*(D6/D9)*C24)/100),"N/A")</f>
        <v>3.7520000000000007</v>
      </c>
      <c r="F56" s="529"/>
      <c r="G56" s="163"/>
      <c r="H56" s="599" t="str">
        <f>IF(E56="N/A","N/A",IF(H11&lt;E56,"Cumple","No cumple"))</f>
        <v>Cumple</v>
      </c>
      <c r="I56" s="6"/>
    </row>
    <row r="57" spans="1:11" ht="14.25" customHeight="1" x14ac:dyDescent="0.2">
      <c r="A57" s="6"/>
      <c r="B57" s="529"/>
      <c r="C57" s="529"/>
      <c r="D57" s="529"/>
      <c r="E57" s="529"/>
      <c r="F57" s="529"/>
      <c r="G57" s="163"/>
      <c r="H57" s="599"/>
      <c r="I57" s="6"/>
    </row>
    <row r="58" spans="1:11" ht="14.25" customHeight="1" x14ac:dyDescent="0.2">
      <c r="A58" s="6"/>
      <c r="B58" s="161"/>
      <c r="C58" s="161"/>
      <c r="D58" s="149"/>
      <c r="E58" s="163"/>
      <c r="F58" s="5"/>
      <c r="G58" s="163"/>
      <c r="H58" s="163"/>
      <c r="I58" s="6"/>
    </row>
    <row r="59" spans="1:11" ht="14.25" customHeight="1" x14ac:dyDescent="0.2">
      <c r="A59" s="6"/>
      <c r="B59" s="161"/>
      <c r="C59" s="161"/>
      <c r="D59" s="163"/>
      <c r="E59" s="163"/>
      <c r="F59" s="5"/>
      <c r="G59" s="163"/>
      <c r="H59" s="163"/>
      <c r="I59" s="6"/>
    </row>
    <row r="60" spans="1:11" ht="20.25" customHeight="1" x14ac:dyDescent="0.2">
      <c r="A60" s="519" t="s">
        <v>1054</v>
      </c>
      <c r="B60" s="520"/>
      <c r="C60" s="520"/>
      <c r="D60" s="520"/>
      <c r="E60" s="520"/>
      <c r="F60" s="520"/>
      <c r="G60" s="520"/>
      <c r="H60" s="520"/>
      <c r="I60" s="521"/>
    </row>
    <row r="61" spans="1:11" ht="14.25" customHeight="1" x14ac:dyDescent="0.2">
      <c r="A61" s="6"/>
      <c r="B61" s="6"/>
      <c r="C61" s="6"/>
      <c r="D61" s="6"/>
      <c r="E61" s="6"/>
      <c r="F61" s="6"/>
      <c r="G61" s="6"/>
      <c r="H61" s="6"/>
      <c r="I61" s="6"/>
    </row>
    <row r="62" spans="1:11" ht="28.5" customHeight="1" x14ac:dyDescent="0.2">
      <c r="B62" s="490" t="s">
        <v>1019</v>
      </c>
      <c r="C62" s="490"/>
      <c r="D62" s="605" t="str">
        <f>IF(B3="LAMINADO",(IF(H11&lt;=$H$13,"Aparición de articulaciones plásticas",IF(AND(H11&gt;$H$13,H11&lt;=$H$14),"Pandeo flexotorsional en rango inelástico",IF(H11&gt;$H$14,"Pandeo flexotorsional en rango elástico","")))),"Aparición de articulaciones plásticas")</f>
        <v>Pandeo flexotorsional en rango inelástico</v>
      </c>
      <c r="E62" s="606"/>
      <c r="F62" s="607"/>
      <c r="G62" s="6"/>
      <c r="H62" s="602" t="str">
        <f>IF(D63&gt;=H8,"Cumple","No cumple")</f>
        <v>Cumple</v>
      </c>
      <c r="I62" s="6"/>
    </row>
    <row r="63" spans="1:11" ht="14.25" customHeight="1" x14ac:dyDescent="0.2">
      <c r="A63" s="6"/>
      <c r="B63" s="526" t="s">
        <v>1050</v>
      </c>
      <c r="C63" s="601"/>
      <c r="D63" s="600">
        <f>IF(B3="LAMINADO",IF((B51&gt;=F51),(VLOOKUP($D$62,'Datos genericos vigas'!Y3:Z5,2,FALSE)),(($D$8*(($H$34)/($H$35))*$C$27)/1000)),(VLOOKUP($D$62,'Datos genericos vigas'!Y3:Z5,2,FALSE)))</f>
        <v>155.06880000000001</v>
      </c>
      <c r="E63" s="600"/>
      <c r="F63" s="135" t="s">
        <v>1042</v>
      </c>
      <c r="G63" s="6"/>
      <c r="H63" s="603"/>
      <c r="I63" s="6"/>
    </row>
    <row r="64" spans="1:11" x14ac:dyDescent="0.2">
      <c r="A64" s="6"/>
      <c r="B64" s="6"/>
      <c r="C64" s="6"/>
      <c r="D64" s="6"/>
      <c r="E64" s="6"/>
      <c r="F64" s="6"/>
      <c r="G64" s="6"/>
      <c r="H64" s="6"/>
      <c r="I64" s="6"/>
    </row>
    <row r="65" spans="1:9" ht="20.25" customHeight="1" x14ac:dyDescent="0.2">
      <c r="A65" s="519" t="s">
        <v>1075</v>
      </c>
      <c r="B65" s="520"/>
      <c r="C65" s="520"/>
      <c r="D65" s="520"/>
      <c r="E65" s="520"/>
      <c r="F65" s="520"/>
      <c r="G65" s="520"/>
      <c r="H65" s="520"/>
      <c r="I65" s="521"/>
    </row>
    <row r="66" spans="1:9" x14ac:dyDescent="0.2">
      <c r="A66" s="6"/>
      <c r="B66" s="6"/>
      <c r="C66" s="6"/>
      <c r="D66" s="6"/>
      <c r="E66" s="6"/>
      <c r="F66" s="6"/>
      <c r="G66" s="6"/>
      <c r="H66" s="6"/>
      <c r="I66" s="6"/>
    </row>
    <row r="67" spans="1:9" ht="28.5" customHeight="1" x14ac:dyDescent="0.2">
      <c r="A67" s="6"/>
      <c r="B67" s="490" t="s">
        <v>1076</v>
      </c>
      <c r="C67" s="490"/>
      <c r="D67" s="600">
        <f>IF(E4="DMI","N/A",(IF(E4="DMO",0.17*(C24/100)*(D6/D9),IF(E4="DES",0.086*(C24/100)*(D6/D9),""))))</f>
        <v>3.2542857142857144</v>
      </c>
      <c r="E67" s="600"/>
      <c r="F67" s="600"/>
      <c r="G67" s="6"/>
      <c r="H67" s="186" t="str">
        <f>IF(D67&gt;=$H$11,"Cumple","No cumple")</f>
        <v>Cumple</v>
      </c>
      <c r="I67" s="6"/>
    </row>
    <row r="68" spans="1:9" ht="14.25" customHeight="1" x14ac:dyDescent="0.2">
      <c r="A68" s="6"/>
      <c r="B68" s="604" t="str">
        <f>IF(H67="Cumple","",(CONCATENATE("Disminuir Lb (longitud libre no arriostrada) de entrada, ya que es mayor al permitido por la NSR 10, valor maximo permitido es ",D67," m")))</f>
        <v/>
      </c>
      <c r="C68" s="604"/>
      <c r="D68" s="604"/>
      <c r="E68" s="604"/>
      <c r="F68" s="604"/>
      <c r="G68" s="604"/>
      <c r="H68" s="604"/>
      <c r="I68" s="6"/>
    </row>
    <row r="69" spans="1:9" ht="14.25" customHeight="1" x14ac:dyDescent="0.2">
      <c r="A69" s="6"/>
      <c r="B69" s="604"/>
      <c r="C69" s="604"/>
      <c r="D69" s="604"/>
      <c r="E69" s="604"/>
      <c r="F69" s="604"/>
      <c r="G69" s="604"/>
      <c r="H69" s="604"/>
      <c r="I69" s="6"/>
    </row>
    <row r="70" spans="1:9" ht="6" customHeight="1" x14ac:dyDescent="0.2">
      <c r="A70" s="6"/>
      <c r="B70" s="6"/>
      <c r="C70" s="6"/>
      <c r="D70" s="6"/>
      <c r="E70" s="6"/>
      <c r="F70" s="6"/>
      <c r="G70" s="6"/>
      <c r="H70" s="6"/>
      <c r="I70" s="6"/>
    </row>
    <row r="71" spans="1:9" ht="20.25" customHeight="1" x14ac:dyDescent="0.2">
      <c r="A71" s="519" t="s">
        <v>1081</v>
      </c>
      <c r="B71" s="520"/>
      <c r="C71" s="520"/>
      <c r="D71" s="520"/>
      <c r="E71" s="520"/>
      <c r="F71" s="520"/>
      <c r="G71" s="520"/>
      <c r="H71" s="520"/>
      <c r="I71" s="521"/>
    </row>
    <row r="72" spans="1:9" x14ac:dyDescent="0.2">
      <c r="A72" s="6"/>
      <c r="B72" s="6"/>
      <c r="C72" s="6"/>
      <c r="D72" s="6"/>
      <c r="E72" s="6"/>
      <c r="F72" s="6"/>
      <c r="G72" s="6"/>
      <c r="H72" s="6"/>
      <c r="I72" s="6"/>
    </row>
    <row r="73" spans="1:9" ht="18.75" x14ac:dyDescent="0.2">
      <c r="A73" s="6"/>
      <c r="B73" s="490" t="s">
        <v>1077</v>
      </c>
      <c r="C73" s="490"/>
      <c r="D73" s="120">
        <f>IF(B3="LAMINADO",IF((C17/C20)&lt;=(2.24*(SQRT(D6/D9))),1,0.9),IF(B3="TUBULAR_CUADRADO",IF((C18/C19)&lt;=(2.24*(SQRT(D6/D9))),1,0.9),IF(B3="TUBULAR_RECTANGULAR",IF((C17/C19)&lt;=(2.24*(SQRT(D6/D9))),1,0.9),0.9)))</f>
        <v>1</v>
      </c>
      <c r="E73" s="6"/>
      <c r="F73" s="6"/>
      <c r="G73" s="6"/>
      <c r="H73" s="6"/>
      <c r="I73" s="6"/>
    </row>
    <row r="74" spans="1:9" x14ac:dyDescent="0.2">
      <c r="A74" s="6"/>
      <c r="B74" s="584" t="s">
        <v>1078</v>
      </c>
      <c r="C74" s="584"/>
      <c r="D74" s="187">
        <f>VLOOKUP(B3,'Datos genericos vigas'!AG4:AK12,5,FALSE)</f>
        <v>5</v>
      </c>
      <c r="E74" s="6"/>
      <c r="F74" s="6"/>
      <c r="G74" s="6"/>
      <c r="H74" s="6"/>
      <c r="I74" s="6"/>
    </row>
    <row r="75" spans="1:9" x14ac:dyDescent="0.2">
      <c r="A75" s="6"/>
      <c r="B75" s="490" t="s">
        <v>1079</v>
      </c>
      <c r="C75" s="490"/>
      <c r="D75" s="94">
        <f>IF(B3="LAMINADO",VLOOKUP("Cumple",'Datos genericos vigas'!AO4:AP6,2,FALSE),IF(B3="TUBULAR_RECTANGULAR",VLOOKUP("Cumple",'Datos genericos vigas'!AO7:AP9,2,FALSE),IF(B3="TUBULAR_CUADRADO",VLOOKUP("Cumple",'Datos genericos vigas'!AO10:AP12,2,FALSE),"N/A")))</f>
        <v>1</v>
      </c>
      <c r="E75" s="6"/>
      <c r="F75" s="6"/>
      <c r="G75" s="6"/>
      <c r="H75" s="6"/>
      <c r="I75" s="6"/>
    </row>
    <row r="76" spans="1:9" x14ac:dyDescent="0.2">
      <c r="A76" s="6"/>
      <c r="B76" s="6"/>
      <c r="C76" s="6"/>
      <c r="D76" s="6"/>
      <c r="E76" s="6"/>
      <c r="F76" s="6"/>
      <c r="G76" s="6"/>
      <c r="H76" s="6"/>
      <c r="I76" s="6"/>
    </row>
    <row r="77" spans="1:9" ht="18.75" x14ac:dyDescent="0.2">
      <c r="A77" s="6"/>
      <c r="B77" s="139" t="s">
        <v>1090</v>
      </c>
      <c r="C77" s="41">
        <f>IF(B3="TUBULAR_CIRCULAR",((((IF(MAX(((1.6*$D$6)/(SQRT(((H11*1000)/2)/C16)*((C16/C19)^(5/4)))),((0.78*D6)/((C16/C19)^(3/2))))&lt;0.6*D9,MAX(((1.6*$D$6)/(SQRT(((H11*1000)/2)/C16)*((C16/C19)^(5/4)))),((0.78*D6)/((C16/C19)^(3/2)))),0.6*D9))*(C21))/2)/10),IF(B3="LAMINADO",VLOOKUP("Cumple",'Datos genericos vigas'!AO4:AR6,4,FALSE),IF(B3="TUBULAR_RECTANGULAR",VLOOKUP("Cumple",'Datos genericos vigas'!AO7:AR9,4,FALSE),VLOOKUP("Cumple",'Datos genericos vigas'!AO10:AR12,4,FALSE))))</f>
        <v>369.76799999999997</v>
      </c>
      <c r="D77" s="140" t="s">
        <v>990</v>
      </c>
      <c r="E77" s="139">
        <f>+H7</f>
        <v>20</v>
      </c>
      <c r="F77" s="139" t="s">
        <v>1051</v>
      </c>
      <c r="H77" s="139" t="str">
        <f>IF(C77="","",IF(C77&gt;=E77,"Cumple","No cumple"))</f>
        <v>Cumple</v>
      </c>
      <c r="I77" s="6"/>
    </row>
    <row r="78" spans="1:9" x14ac:dyDescent="0.2">
      <c r="A78" s="6"/>
      <c r="B78" s="6"/>
      <c r="C78" s="6"/>
      <c r="D78" s="6"/>
      <c r="E78" s="6"/>
      <c r="F78" s="6"/>
      <c r="G78" s="6"/>
      <c r="H78" s="6"/>
      <c r="I78" s="6"/>
    </row>
    <row r="79" spans="1:9" x14ac:dyDescent="0.2">
      <c r="A79" s="6"/>
      <c r="B79" s="6"/>
      <c r="C79" s="6"/>
      <c r="D79" s="6"/>
      <c r="E79" s="6"/>
      <c r="F79" s="6"/>
      <c r="G79" s="6"/>
      <c r="H79" s="6"/>
      <c r="I79" s="6"/>
    </row>
    <row r="80" spans="1:9" ht="15" thickBot="1" x14ac:dyDescent="0.25">
      <c r="A80" s="6"/>
      <c r="B80" s="6"/>
      <c r="C80" s="6"/>
      <c r="D80" s="6"/>
      <c r="E80" s="6"/>
      <c r="F80" s="6"/>
      <c r="G80" s="6"/>
      <c r="H80" s="6"/>
      <c r="I80" s="6"/>
    </row>
    <row r="81" spans="1:9" x14ac:dyDescent="0.2">
      <c r="A81" s="6"/>
      <c r="B81" s="531" t="str">
        <f>IF(B3="LAMINADO",IF(AND(E45="Cumple",H53="Cumple",H56="Cumple",H62="Cumple"),"CUMPLE","NO CUMPLE"),IF(AND(E45="Cumple",H62="Cumple"),"CUMPLE","NO CUMPLE"))</f>
        <v>CUMPLE</v>
      </c>
      <c r="C81" s="532"/>
      <c r="D81" s="532"/>
      <c r="E81" s="532"/>
      <c r="F81" s="532"/>
      <c r="G81" s="532"/>
      <c r="H81" s="533"/>
      <c r="I81" s="6"/>
    </row>
    <row r="82" spans="1:9" x14ac:dyDescent="0.2">
      <c r="A82" s="6"/>
      <c r="B82" s="534"/>
      <c r="C82" s="535"/>
      <c r="D82" s="535"/>
      <c r="E82" s="535"/>
      <c r="F82" s="535"/>
      <c r="G82" s="535"/>
      <c r="H82" s="536"/>
      <c r="I82" s="6"/>
    </row>
    <row r="83" spans="1:9" ht="15" thickBot="1" x14ac:dyDescent="0.25">
      <c r="A83" s="6"/>
      <c r="B83" s="537"/>
      <c r="C83" s="538"/>
      <c r="D83" s="538"/>
      <c r="E83" s="538"/>
      <c r="F83" s="538"/>
      <c r="G83" s="538"/>
      <c r="H83" s="539"/>
      <c r="I83" s="6"/>
    </row>
    <row r="84" spans="1:9" x14ac:dyDescent="0.2">
      <c r="A84" s="6"/>
      <c r="B84" s="6"/>
      <c r="C84" s="6"/>
      <c r="D84" s="6"/>
      <c r="E84" s="6"/>
      <c r="F84" s="6"/>
      <c r="G84" s="6"/>
      <c r="H84" s="6"/>
      <c r="I84" s="6"/>
    </row>
    <row r="85" spans="1:9" x14ac:dyDescent="0.2">
      <c r="A85" s="6"/>
      <c r="B85" s="6"/>
      <c r="C85" s="6"/>
      <c r="D85" s="6"/>
      <c r="E85" s="6"/>
      <c r="F85" s="6"/>
      <c r="G85" s="6"/>
      <c r="H85" s="6"/>
      <c r="I85" s="6"/>
    </row>
    <row r="86" spans="1:9" x14ac:dyDescent="0.2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">
      <c r="A89" s="6"/>
      <c r="B89" s="6"/>
      <c r="C89" s="6"/>
      <c r="D89" s="6"/>
      <c r="E89" s="6"/>
      <c r="F89" s="6"/>
      <c r="G89" s="6"/>
      <c r="H89" s="6"/>
      <c r="I89" s="6"/>
    </row>
    <row r="90" spans="1:9" x14ac:dyDescent="0.2">
      <c r="A90" s="6"/>
      <c r="B90" s="6"/>
      <c r="C90" s="6"/>
      <c r="D90" s="6"/>
      <c r="E90" s="6"/>
      <c r="F90" s="6"/>
      <c r="G90" s="6"/>
      <c r="H90" s="6"/>
      <c r="I90" s="6"/>
    </row>
    <row r="91" spans="1:9" x14ac:dyDescent="0.2">
      <c r="A91" s="6"/>
      <c r="I91" s="6"/>
    </row>
    <row r="92" spans="1:9" x14ac:dyDescent="0.2">
      <c r="A92" s="6"/>
      <c r="I92" s="6"/>
    </row>
    <row r="93" spans="1:9" x14ac:dyDescent="0.2">
      <c r="A93" s="6"/>
      <c r="I93" s="6"/>
    </row>
    <row r="94" spans="1:9" x14ac:dyDescent="0.2">
      <c r="A94" s="6"/>
      <c r="B94" s="6"/>
      <c r="C94" s="6"/>
      <c r="D94" s="6"/>
      <c r="E94" s="6"/>
      <c r="F94" s="6"/>
      <c r="G94" s="6"/>
      <c r="H94" s="6"/>
      <c r="I94" s="6"/>
    </row>
    <row r="95" spans="1:9" x14ac:dyDescent="0.2">
      <c r="A95" s="6"/>
      <c r="B95" s="6"/>
      <c r="C95" s="6"/>
      <c r="D95" s="6"/>
      <c r="E95" s="6"/>
      <c r="F95" s="6"/>
      <c r="G95" s="6"/>
      <c r="H95" s="6"/>
      <c r="I95" s="6"/>
    </row>
    <row r="96" spans="1:9" x14ac:dyDescent="0.2">
      <c r="A96" s="6"/>
      <c r="B96" s="6"/>
      <c r="C96" s="6"/>
      <c r="D96" s="6"/>
      <c r="E96" s="6"/>
      <c r="F96" s="6"/>
      <c r="G96" s="6"/>
      <c r="H96" s="6"/>
      <c r="I96" s="6"/>
    </row>
    <row r="97" spans="1:9" x14ac:dyDescent="0.2">
      <c r="A97" s="6"/>
      <c r="B97" s="6"/>
      <c r="C97" s="6"/>
      <c r="D97" s="6"/>
      <c r="E97" s="6"/>
      <c r="F97" s="6"/>
      <c r="G97" s="6"/>
      <c r="H97" s="6"/>
      <c r="I97" s="6"/>
    </row>
    <row r="98" spans="1:9" x14ac:dyDescent="0.2">
      <c r="A98" s="6"/>
      <c r="B98" s="6"/>
      <c r="C98" s="6"/>
      <c r="D98" s="6"/>
      <c r="E98" s="6"/>
      <c r="F98" s="6"/>
      <c r="G98" s="6"/>
      <c r="H98" s="6"/>
      <c r="I98" s="6"/>
    </row>
    <row r="99" spans="1:9" x14ac:dyDescent="0.2">
      <c r="A99" s="6"/>
      <c r="B99" s="6"/>
      <c r="C99" s="6"/>
      <c r="D99" s="6"/>
      <c r="E99" s="6"/>
      <c r="F99" s="6"/>
      <c r="G99" s="6"/>
      <c r="H99" s="6"/>
      <c r="I99" s="6"/>
    </row>
    <row r="100" spans="1:9" x14ac:dyDescent="0.2">
      <c r="A100" s="6"/>
      <c r="B100" s="6"/>
      <c r="C100" s="6"/>
      <c r="D100" s="6"/>
      <c r="E100" s="6"/>
      <c r="F100" s="6"/>
      <c r="G100" s="6"/>
      <c r="H100" s="6"/>
      <c r="I100" s="6"/>
    </row>
    <row r="101" spans="1:9" x14ac:dyDescent="0.2">
      <c r="A101" s="6"/>
      <c r="B101" s="6"/>
      <c r="C101" s="6"/>
      <c r="D101" s="6"/>
      <c r="E101" s="6"/>
      <c r="F101" s="6"/>
      <c r="G101" s="6"/>
      <c r="H101" s="6"/>
      <c r="I101" s="6"/>
    </row>
    <row r="102" spans="1:9" x14ac:dyDescent="0.2">
      <c r="A102" s="6"/>
      <c r="B102" s="6"/>
      <c r="C102" s="6"/>
      <c r="D102" s="6"/>
      <c r="E102" s="6"/>
      <c r="F102" s="6"/>
      <c r="G102" s="6"/>
      <c r="H102" s="6"/>
      <c r="I102" s="6"/>
    </row>
    <row r="103" spans="1:9" x14ac:dyDescent="0.2">
      <c r="A103" s="6"/>
      <c r="B103" s="6"/>
      <c r="C103" s="6"/>
      <c r="D103" s="6"/>
      <c r="E103" s="6"/>
      <c r="F103" s="6"/>
      <c r="G103" s="6"/>
      <c r="H103" s="6"/>
      <c r="I103" s="6"/>
    </row>
    <row r="104" spans="1:9" x14ac:dyDescent="0.2">
      <c r="A104" s="6"/>
      <c r="B104" s="6"/>
      <c r="C104" s="6"/>
      <c r="D104" s="6"/>
      <c r="E104" s="6"/>
      <c r="F104" s="6"/>
      <c r="G104" s="6"/>
      <c r="H104" s="6"/>
      <c r="I104" s="6"/>
    </row>
    <row r="105" spans="1:9" x14ac:dyDescent="0.2">
      <c r="A105" s="6"/>
      <c r="B105" s="6"/>
      <c r="C105" s="6"/>
      <c r="D105" s="6"/>
      <c r="E105" s="6"/>
      <c r="F105" s="6"/>
      <c r="G105" s="6"/>
      <c r="H105" s="6"/>
      <c r="I105" s="6"/>
    </row>
    <row r="106" spans="1:9" x14ac:dyDescent="0.2">
      <c r="A106" s="6"/>
      <c r="B106" s="6"/>
      <c r="C106" s="6"/>
      <c r="D106" s="6"/>
      <c r="E106" s="6"/>
      <c r="F106" s="6"/>
      <c r="G106" s="6"/>
      <c r="H106" s="6"/>
      <c r="I106" s="6"/>
    </row>
    <row r="107" spans="1:9" x14ac:dyDescent="0.2">
      <c r="A107" s="6"/>
      <c r="B107" s="6"/>
      <c r="C107" s="6"/>
      <c r="D107" s="6"/>
      <c r="E107" s="6"/>
      <c r="F107" s="6"/>
      <c r="G107" s="6"/>
      <c r="H107" s="6"/>
      <c r="I107" s="6"/>
    </row>
    <row r="108" spans="1:9" x14ac:dyDescent="0.2">
      <c r="A108" s="6"/>
      <c r="B108" s="6"/>
      <c r="C108" s="6"/>
      <c r="D108" s="6"/>
      <c r="E108" s="6"/>
      <c r="F108" s="6"/>
      <c r="G108" s="6"/>
      <c r="H108" s="6"/>
      <c r="I108" s="6"/>
    </row>
    <row r="109" spans="1:9" x14ac:dyDescent="0.2">
      <c r="A109" s="6"/>
      <c r="B109" s="6"/>
      <c r="C109" s="6"/>
      <c r="D109" s="6"/>
      <c r="E109" s="6"/>
      <c r="F109" s="6"/>
      <c r="G109" s="6"/>
      <c r="H109" s="6"/>
      <c r="I109" s="6"/>
    </row>
    <row r="110" spans="1:9" x14ac:dyDescent="0.2">
      <c r="A110" s="6"/>
      <c r="B110" s="6"/>
      <c r="C110" s="6"/>
      <c r="D110" s="6"/>
      <c r="E110" s="6"/>
      <c r="F110" s="6"/>
      <c r="G110" s="6"/>
      <c r="H110" s="6"/>
      <c r="I110" s="6"/>
    </row>
    <row r="111" spans="1:9" x14ac:dyDescent="0.2">
      <c r="A111" s="6"/>
      <c r="B111" s="6"/>
      <c r="C111" s="6"/>
      <c r="D111" s="6"/>
      <c r="E111" s="6"/>
      <c r="F111" s="6"/>
      <c r="G111" s="6"/>
      <c r="H111" s="6"/>
      <c r="I111" s="6"/>
    </row>
    <row r="112" spans="1:9" x14ac:dyDescent="0.2">
      <c r="A112" s="6"/>
      <c r="B112" s="6"/>
      <c r="C112" s="6"/>
      <c r="D112" s="6"/>
      <c r="E112" s="6"/>
      <c r="F112" s="6"/>
      <c r="G112" s="6"/>
      <c r="H112" s="6"/>
      <c r="I112" s="6"/>
    </row>
    <row r="113" spans="1:9" x14ac:dyDescent="0.2">
      <c r="A113" s="6"/>
      <c r="B113" s="6"/>
      <c r="C113" s="6"/>
      <c r="D113" s="6"/>
      <c r="E113" s="6"/>
      <c r="F113" s="6"/>
      <c r="G113" s="6"/>
      <c r="H113" s="6"/>
      <c r="I113" s="6"/>
    </row>
    <row r="114" spans="1:9" x14ac:dyDescent="0.2">
      <c r="A114" s="6"/>
      <c r="B114" s="6"/>
      <c r="C114" s="6"/>
      <c r="D114" s="6"/>
      <c r="E114" s="6"/>
      <c r="F114" s="6"/>
      <c r="G114" s="6"/>
      <c r="H114" s="6"/>
      <c r="I114" s="6"/>
    </row>
    <row r="115" spans="1:9" x14ac:dyDescent="0.2">
      <c r="A115" s="6"/>
      <c r="B115" s="6"/>
      <c r="C115" s="6"/>
      <c r="D115" s="6"/>
      <c r="E115" s="6"/>
      <c r="F115" s="6"/>
      <c r="G115" s="6"/>
      <c r="H115" s="6"/>
      <c r="I115" s="6"/>
    </row>
    <row r="116" spans="1:9" x14ac:dyDescent="0.2">
      <c r="A116" s="6"/>
      <c r="B116" s="6"/>
      <c r="C116" s="6"/>
      <c r="D116" s="6"/>
      <c r="E116" s="6"/>
      <c r="F116" s="6"/>
      <c r="G116" s="6"/>
      <c r="H116" s="6"/>
      <c r="I116" s="6"/>
    </row>
    <row r="117" spans="1:9" x14ac:dyDescent="0.2">
      <c r="A117" s="6"/>
      <c r="B117" s="6"/>
      <c r="C117" s="6"/>
      <c r="D117" s="6"/>
      <c r="E117" s="6"/>
      <c r="F117" s="6"/>
      <c r="G117" s="6"/>
      <c r="H117" s="6"/>
      <c r="I117" s="6"/>
    </row>
    <row r="118" spans="1:9" x14ac:dyDescent="0.2">
      <c r="A118" s="6"/>
      <c r="B118" s="6"/>
      <c r="C118" s="6"/>
      <c r="D118" s="6"/>
      <c r="E118" s="6"/>
      <c r="F118" s="6"/>
      <c r="G118" s="6"/>
      <c r="H118" s="6"/>
      <c r="I118" s="6"/>
    </row>
    <row r="119" spans="1:9" x14ac:dyDescent="0.2">
      <c r="A119" s="6"/>
      <c r="B119" s="6"/>
      <c r="C119" s="6"/>
      <c r="D119" s="6"/>
      <c r="E119" s="6"/>
      <c r="F119" s="6"/>
      <c r="G119" s="6"/>
      <c r="H119" s="6"/>
      <c r="I119" s="6"/>
    </row>
    <row r="120" spans="1:9" x14ac:dyDescent="0.2">
      <c r="A120" s="6"/>
      <c r="B120" s="6"/>
      <c r="C120" s="6"/>
      <c r="D120" s="6"/>
      <c r="E120" s="6"/>
      <c r="F120" s="6"/>
      <c r="G120" s="6"/>
      <c r="H120" s="6"/>
      <c r="I120" s="6"/>
    </row>
    <row r="121" spans="1:9" x14ac:dyDescent="0.2">
      <c r="A121" s="6"/>
      <c r="B121" s="6"/>
      <c r="C121" s="6"/>
      <c r="D121" s="6"/>
      <c r="E121" s="6"/>
      <c r="F121" s="6"/>
      <c r="G121" s="6"/>
      <c r="H121" s="6"/>
      <c r="I121" s="6"/>
    </row>
    <row r="122" spans="1:9" x14ac:dyDescent="0.2">
      <c r="A122" s="6"/>
      <c r="B122" s="6"/>
      <c r="C122" s="6"/>
      <c r="D122" s="6"/>
      <c r="E122" s="6"/>
      <c r="F122" s="6"/>
      <c r="G122" s="6"/>
      <c r="H122" s="6"/>
      <c r="I122" s="6"/>
    </row>
    <row r="123" spans="1:9" x14ac:dyDescent="0.2">
      <c r="A123" s="6"/>
      <c r="B123" s="6"/>
      <c r="C123" s="6"/>
      <c r="D123" s="6"/>
      <c r="E123" s="6"/>
      <c r="F123" s="6"/>
      <c r="G123" s="6"/>
      <c r="H123" s="6"/>
      <c r="I123" s="6"/>
    </row>
    <row r="124" spans="1:9" x14ac:dyDescent="0.2">
      <c r="A124" s="6"/>
      <c r="B124" s="6"/>
      <c r="C124" s="6"/>
      <c r="D124" s="6"/>
      <c r="E124" s="6"/>
      <c r="F124" s="6"/>
      <c r="G124" s="6"/>
      <c r="H124" s="6"/>
      <c r="I124" s="6"/>
    </row>
    <row r="125" spans="1:9" x14ac:dyDescent="0.2">
      <c r="A125" s="6"/>
      <c r="B125" s="6"/>
      <c r="C125" s="6"/>
      <c r="D125" s="6"/>
      <c r="E125" s="6"/>
      <c r="F125" s="6"/>
      <c r="G125" s="6"/>
      <c r="H125" s="6"/>
      <c r="I125" s="6"/>
    </row>
    <row r="126" spans="1:9" x14ac:dyDescent="0.2">
      <c r="A126" s="6"/>
      <c r="B126" s="6"/>
      <c r="C126" s="6"/>
      <c r="D126" s="6"/>
      <c r="E126" s="6"/>
      <c r="F126" s="6"/>
      <c r="G126" s="6"/>
      <c r="H126" s="6"/>
      <c r="I126" s="6"/>
    </row>
    <row r="127" spans="1:9" x14ac:dyDescent="0.2">
      <c r="A127" s="6"/>
      <c r="B127" s="6"/>
      <c r="C127" s="6"/>
      <c r="D127" s="6"/>
      <c r="E127" s="6"/>
      <c r="F127" s="6"/>
      <c r="G127" s="6"/>
      <c r="H127" s="6"/>
      <c r="I127" s="6"/>
    </row>
    <row r="128" spans="1:9" x14ac:dyDescent="0.2">
      <c r="A128" s="6"/>
      <c r="B128" s="6"/>
      <c r="C128" s="6"/>
      <c r="D128" s="6"/>
      <c r="E128" s="6"/>
      <c r="F128" s="6"/>
      <c r="G128" s="6"/>
      <c r="H128" s="6"/>
      <c r="I128" s="6"/>
    </row>
    <row r="129" spans="1:9" x14ac:dyDescent="0.2">
      <c r="A129" s="6"/>
      <c r="B129" s="6"/>
      <c r="C129" s="6"/>
      <c r="D129" s="6"/>
      <c r="E129" s="6"/>
      <c r="F129" s="6"/>
      <c r="G129" s="6"/>
      <c r="H129" s="6"/>
      <c r="I129" s="6"/>
    </row>
    <row r="130" spans="1:9" x14ac:dyDescent="0.2">
      <c r="A130" s="6"/>
      <c r="B130" s="6"/>
      <c r="C130" s="6"/>
      <c r="D130" s="6"/>
      <c r="E130" s="6"/>
      <c r="F130" s="6"/>
      <c r="G130" s="6"/>
      <c r="H130" s="6"/>
      <c r="I130" s="6"/>
    </row>
    <row r="131" spans="1:9" x14ac:dyDescent="0.2">
      <c r="A131" s="6"/>
      <c r="B131" s="6"/>
      <c r="C131" s="6"/>
      <c r="D131" s="6"/>
      <c r="E131" s="6"/>
      <c r="F131" s="6"/>
      <c r="G131" s="6"/>
      <c r="H131" s="6"/>
      <c r="I131" s="6"/>
    </row>
    <row r="132" spans="1:9" x14ac:dyDescent="0.2">
      <c r="A132" s="6"/>
      <c r="B132" s="6"/>
      <c r="C132" s="6"/>
      <c r="D132" s="6"/>
      <c r="E132" s="6"/>
      <c r="F132" s="6"/>
      <c r="G132" s="6"/>
      <c r="H132" s="6"/>
      <c r="I132" s="6"/>
    </row>
    <row r="133" spans="1:9" x14ac:dyDescent="0.2">
      <c r="A133" s="6"/>
      <c r="B133" s="6"/>
      <c r="C133" s="6"/>
      <c r="D133" s="6"/>
      <c r="E133" s="6"/>
      <c r="F133" s="6"/>
      <c r="G133" s="6"/>
      <c r="H133" s="6"/>
      <c r="I133" s="6"/>
    </row>
    <row r="134" spans="1:9" x14ac:dyDescent="0.2">
      <c r="A134" s="6"/>
      <c r="B134" s="6"/>
      <c r="C134" s="6"/>
      <c r="D134" s="6"/>
      <c r="E134" s="6"/>
      <c r="F134" s="6"/>
      <c r="G134" s="6"/>
      <c r="H134" s="6"/>
      <c r="I134" s="6"/>
    </row>
    <row r="135" spans="1:9" x14ac:dyDescent="0.2">
      <c r="A135" s="6"/>
      <c r="B135" s="6"/>
      <c r="C135" s="6"/>
      <c r="D135" s="6"/>
      <c r="E135" s="6"/>
      <c r="F135" s="6"/>
      <c r="G135" s="6"/>
      <c r="H135" s="6"/>
      <c r="I135" s="6"/>
    </row>
    <row r="136" spans="1:9" x14ac:dyDescent="0.2">
      <c r="A136" s="6"/>
      <c r="B136" s="6"/>
      <c r="C136" s="6"/>
      <c r="D136" s="6"/>
      <c r="E136" s="6"/>
      <c r="F136" s="6"/>
      <c r="G136" s="6"/>
      <c r="H136" s="6"/>
      <c r="I136" s="6"/>
    </row>
    <row r="137" spans="1:9" x14ac:dyDescent="0.2">
      <c r="A137" s="6"/>
      <c r="B137" s="6"/>
      <c r="C137" s="6"/>
      <c r="D137" s="6"/>
      <c r="E137" s="6"/>
      <c r="F137" s="6"/>
      <c r="G137" s="6"/>
      <c r="H137" s="6"/>
      <c r="I137" s="6"/>
    </row>
    <row r="138" spans="1:9" x14ac:dyDescent="0.2">
      <c r="A138" s="6"/>
      <c r="B138" s="6"/>
      <c r="C138" s="6"/>
      <c r="D138" s="6"/>
      <c r="E138" s="6"/>
      <c r="F138" s="6"/>
      <c r="G138" s="6"/>
      <c r="H138" s="6"/>
      <c r="I138" s="6"/>
    </row>
    <row r="139" spans="1:9" x14ac:dyDescent="0.2">
      <c r="A139" s="6"/>
      <c r="B139" s="6"/>
      <c r="C139" s="6"/>
      <c r="D139" s="6"/>
      <c r="E139" s="6"/>
      <c r="F139" s="6"/>
      <c r="G139" s="6"/>
      <c r="H139" s="6"/>
      <c r="I139" s="6"/>
    </row>
    <row r="140" spans="1:9" x14ac:dyDescent="0.2">
      <c r="A140" s="6"/>
      <c r="B140" s="6"/>
      <c r="C140" s="6"/>
      <c r="D140" s="6"/>
      <c r="E140" s="6"/>
      <c r="F140" s="6"/>
      <c r="G140" s="6"/>
      <c r="H140" s="6"/>
      <c r="I140" s="6"/>
    </row>
    <row r="141" spans="1:9" x14ac:dyDescent="0.2">
      <c r="A141" s="6"/>
      <c r="B141" s="6"/>
      <c r="C141" s="6"/>
      <c r="D141" s="6"/>
      <c r="E141" s="6"/>
      <c r="F141" s="6"/>
      <c r="G141" s="6"/>
      <c r="H141" s="6"/>
      <c r="I141" s="6"/>
    </row>
    <row r="142" spans="1:9" x14ac:dyDescent="0.2">
      <c r="A142" s="6"/>
      <c r="B142" s="6"/>
      <c r="C142" s="6"/>
      <c r="D142" s="6"/>
      <c r="E142" s="6"/>
      <c r="F142" s="6"/>
      <c r="G142" s="6"/>
      <c r="H142" s="6"/>
      <c r="I142" s="6"/>
    </row>
    <row r="143" spans="1:9" x14ac:dyDescent="0.2">
      <c r="A143" s="6"/>
      <c r="B143" s="6"/>
      <c r="C143" s="6"/>
      <c r="D143" s="6"/>
      <c r="E143" s="6"/>
      <c r="F143" s="6"/>
      <c r="G143" s="6"/>
      <c r="H143" s="6"/>
      <c r="I143" s="6"/>
    </row>
    <row r="144" spans="1:9" x14ac:dyDescent="0.2">
      <c r="A144" s="6"/>
      <c r="B144" s="6"/>
      <c r="C144" s="6"/>
      <c r="D144" s="6"/>
      <c r="E144" s="6"/>
      <c r="F144" s="6"/>
      <c r="G144" s="6"/>
      <c r="H144" s="6"/>
      <c r="I144" s="6"/>
    </row>
    <row r="145" spans="1:9" x14ac:dyDescent="0.2">
      <c r="A145" s="6"/>
      <c r="B145" s="6"/>
      <c r="C145" s="6"/>
      <c r="D145" s="6"/>
      <c r="E145" s="6"/>
      <c r="F145" s="6"/>
      <c r="G145" s="6"/>
      <c r="H145" s="6"/>
      <c r="I145" s="6"/>
    </row>
    <row r="146" spans="1:9" x14ac:dyDescent="0.2">
      <c r="A146" s="6"/>
      <c r="B146" s="6"/>
      <c r="C146" s="6"/>
      <c r="D146" s="6"/>
      <c r="E146" s="6"/>
      <c r="F146" s="6"/>
      <c r="G146" s="6"/>
      <c r="H146" s="6"/>
      <c r="I146" s="6"/>
    </row>
    <row r="147" spans="1:9" x14ac:dyDescent="0.2">
      <c r="A147" s="6"/>
      <c r="B147" s="6"/>
      <c r="C147" s="6"/>
      <c r="D147" s="6"/>
      <c r="E147" s="6"/>
      <c r="F147" s="6"/>
      <c r="G147" s="6"/>
      <c r="H147" s="6"/>
      <c r="I147" s="6"/>
    </row>
    <row r="148" spans="1:9" x14ac:dyDescent="0.2">
      <c r="A148" s="6"/>
      <c r="B148" s="6"/>
      <c r="C148" s="6"/>
      <c r="D148" s="6"/>
      <c r="E148" s="6"/>
      <c r="F148" s="6"/>
      <c r="G148" s="6"/>
      <c r="H148" s="6"/>
      <c r="I148" s="6"/>
    </row>
    <row r="149" spans="1:9" x14ac:dyDescent="0.2">
      <c r="A149" s="6"/>
      <c r="B149" s="6"/>
      <c r="C149" s="6"/>
      <c r="D149" s="6"/>
      <c r="E149" s="6"/>
      <c r="F149" s="6"/>
      <c r="G149" s="6"/>
      <c r="H149" s="6"/>
      <c r="I149" s="6"/>
    </row>
    <row r="150" spans="1:9" x14ac:dyDescent="0.2">
      <c r="A150" s="6"/>
      <c r="B150" s="6"/>
      <c r="C150" s="6"/>
      <c r="D150" s="6"/>
      <c r="E150" s="6"/>
      <c r="F150" s="6"/>
      <c r="G150" s="6"/>
      <c r="H150" s="6"/>
      <c r="I150" s="6"/>
    </row>
    <row r="151" spans="1:9" x14ac:dyDescent="0.2">
      <c r="A151" s="6"/>
      <c r="B151" s="6"/>
      <c r="C151" s="6"/>
      <c r="D151" s="6"/>
      <c r="E151" s="6"/>
      <c r="F151" s="6"/>
      <c r="G151" s="6"/>
      <c r="H151" s="6"/>
      <c r="I151" s="6"/>
    </row>
    <row r="152" spans="1:9" x14ac:dyDescent="0.2">
      <c r="A152" s="6"/>
      <c r="B152" s="6"/>
      <c r="C152" s="6"/>
      <c r="D152" s="6"/>
      <c r="E152" s="6"/>
      <c r="F152" s="6"/>
      <c r="G152" s="6"/>
      <c r="H152" s="6"/>
      <c r="I152" s="6"/>
    </row>
    <row r="153" spans="1:9" x14ac:dyDescent="0.2">
      <c r="A153" s="6"/>
      <c r="B153" s="6"/>
      <c r="C153" s="6"/>
      <c r="D153" s="6"/>
      <c r="E153" s="6"/>
      <c r="F153" s="6"/>
      <c r="G153" s="6"/>
      <c r="H153" s="6"/>
      <c r="I153" s="6"/>
    </row>
    <row r="154" spans="1:9" x14ac:dyDescent="0.2">
      <c r="A154" s="6"/>
      <c r="B154" s="6"/>
      <c r="C154" s="6"/>
      <c r="D154" s="6"/>
      <c r="E154" s="6"/>
      <c r="F154" s="6"/>
      <c r="G154" s="6"/>
      <c r="H154" s="6"/>
      <c r="I154" s="6"/>
    </row>
    <row r="155" spans="1:9" x14ac:dyDescent="0.2">
      <c r="A155" s="6"/>
      <c r="B155" s="6"/>
      <c r="C155" s="6"/>
      <c r="D155" s="6"/>
      <c r="E155" s="6"/>
      <c r="F155" s="6"/>
      <c r="G155" s="6"/>
      <c r="H155" s="6"/>
      <c r="I155" s="6"/>
    </row>
    <row r="156" spans="1:9" x14ac:dyDescent="0.2">
      <c r="A156" s="6"/>
      <c r="B156" s="6"/>
      <c r="C156" s="6"/>
      <c r="D156" s="6"/>
      <c r="E156" s="6"/>
      <c r="F156" s="6"/>
      <c r="G156" s="6"/>
      <c r="H156" s="6"/>
      <c r="I156" s="6"/>
    </row>
  </sheetData>
  <mergeCells count="60">
    <mergeCell ref="B74:C74"/>
    <mergeCell ref="B75:C75"/>
    <mergeCell ref="F30:G30"/>
    <mergeCell ref="F29:G29"/>
    <mergeCell ref="F35:G35"/>
    <mergeCell ref="F31:G31"/>
    <mergeCell ref="F32:G33"/>
    <mergeCell ref="B68:H69"/>
    <mergeCell ref="A71:I71"/>
    <mergeCell ref="B73:C73"/>
    <mergeCell ref="B53:D54"/>
    <mergeCell ref="E53:F54"/>
    <mergeCell ref="D62:F62"/>
    <mergeCell ref="D63:E63"/>
    <mergeCell ref="B49:H49"/>
    <mergeCell ref="F50:H50"/>
    <mergeCell ref="B81:H83"/>
    <mergeCell ref="A47:I47"/>
    <mergeCell ref="H53:H54"/>
    <mergeCell ref="B56:D57"/>
    <mergeCell ref="E56:F57"/>
    <mergeCell ref="H56:H57"/>
    <mergeCell ref="A65:I65"/>
    <mergeCell ref="B67:C67"/>
    <mergeCell ref="D67:F67"/>
    <mergeCell ref="F51:H51"/>
    <mergeCell ref="B50:D50"/>
    <mergeCell ref="B51:D51"/>
    <mergeCell ref="A60:I60"/>
    <mergeCell ref="B62:C62"/>
    <mergeCell ref="B63:C63"/>
    <mergeCell ref="H62:H63"/>
    <mergeCell ref="E43:F43"/>
    <mergeCell ref="G43:H43"/>
    <mergeCell ref="E45:H45"/>
    <mergeCell ref="H32:H33"/>
    <mergeCell ref="E39:F39"/>
    <mergeCell ref="G39:H39"/>
    <mergeCell ref="A37:I37"/>
    <mergeCell ref="F34:G34"/>
    <mergeCell ref="B13:C13"/>
    <mergeCell ref="F14:G14"/>
    <mergeCell ref="B8:C8"/>
    <mergeCell ref="F9:G9"/>
    <mergeCell ref="F10:G10"/>
    <mergeCell ref="F13:G13"/>
    <mergeCell ref="B9:C9"/>
    <mergeCell ref="B11:C11"/>
    <mergeCell ref="B12:C12"/>
    <mergeCell ref="F11:G11"/>
    <mergeCell ref="B6:C6"/>
    <mergeCell ref="F6:G6"/>
    <mergeCell ref="F8:G8"/>
    <mergeCell ref="F7:G7"/>
    <mergeCell ref="A1:I1"/>
    <mergeCell ref="A2:I2"/>
    <mergeCell ref="B3:D3"/>
    <mergeCell ref="E3:I3"/>
    <mergeCell ref="A4:D4"/>
    <mergeCell ref="B7:C7"/>
  </mergeCells>
  <conditionalFormatting sqref="B36:E36 D44 E43 E32:E35 C16:D32">
    <cfRule type="containsErrors" dxfId="244" priority="111" stopIfTrue="1">
      <formula>ISERROR(B16)</formula>
    </cfRule>
  </conditionalFormatting>
  <conditionalFormatting sqref="D41 A42">
    <cfRule type="containsErrors" dxfId="243" priority="108" stopIfTrue="1">
      <formula>ISERROR(A41)</formula>
    </cfRule>
  </conditionalFormatting>
  <conditionalFormatting sqref="D44 E43">
    <cfRule type="containsText" dxfId="242" priority="106" operator="containsText" text="Esbelto">
      <formula>NOT(ISERROR(SEARCH("Esbelto",D43)))</formula>
    </cfRule>
    <cfRule type="containsText" dxfId="241" priority="107" operator="containsText" text="Compacto">
      <formula>NOT(ISERROR(SEARCH("Compacto",D43)))</formula>
    </cfRule>
  </conditionalFormatting>
  <conditionalFormatting sqref="B41">
    <cfRule type="cellIs" dxfId="240" priority="105" operator="equal">
      <formula>""</formula>
    </cfRule>
  </conditionalFormatting>
  <conditionalFormatting sqref="C41">
    <cfRule type="containsErrors" dxfId="239" priority="99" stopIfTrue="1">
      <formula>ISERROR(C41)</formula>
    </cfRule>
    <cfRule type="cellIs" dxfId="238" priority="104" stopIfTrue="1" operator="equal">
      <formula>""</formula>
    </cfRule>
  </conditionalFormatting>
  <conditionalFormatting sqref="E41">
    <cfRule type="expression" dxfId="237" priority="89">
      <formula>$E$3=""</formula>
    </cfRule>
    <cfRule type="cellIs" dxfId="236" priority="103" operator="equal">
      <formula>""</formula>
    </cfRule>
  </conditionalFormatting>
  <conditionalFormatting sqref="F41">
    <cfRule type="containsErrors" dxfId="235" priority="98" stopIfTrue="1">
      <formula>ISERROR(F41)</formula>
    </cfRule>
    <cfRule type="containsText" dxfId="234" priority="100" operator="containsText" text="Esbelto">
      <formula>NOT(ISERROR(SEARCH("Esbelto",F41)))</formula>
    </cfRule>
    <cfRule type="containsText" dxfId="233" priority="101" operator="containsText" text="Compacto">
      <formula>NOT(ISERROR(SEARCH("Compacto",F41)))</formula>
    </cfRule>
    <cfRule type="cellIs" dxfId="232" priority="102" operator="equal">
      <formula>""</formula>
    </cfRule>
  </conditionalFormatting>
  <conditionalFormatting sqref="F44:H44 G43">
    <cfRule type="containsText" dxfId="231" priority="86" operator="containsText" text="NO DÚCTIL">
      <formula>NOT(ISERROR(SEARCH("NO DÚCTIL",F43)))</formula>
    </cfRule>
    <cfRule type="containsText" dxfId="230" priority="87" operator="containsText" text="DÚCTIL">
      <formula>NOT(ISERROR(SEARCH("DÚCTIL",F43)))</formula>
    </cfRule>
    <cfRule type="containsErrors" dxfId="229" priority="91">
      <formula>ISERROR(F43)</formula>
    </cfRule>
  </conditionalFormatting>
  <conditionalFormatting sqref="H41">
    <cfRule type="containsText" dxfId="228" priority="77" operator="containsText" text="DUCTILIDAD MODERADA">
      <formula>NOT(ISERROR(SEARCH("DUCTILIDAD MODERADA",H41)))</formula>
    </cfRule>
    <cfRule type="containsText" dxfId="227" priority="78" operator="containsText" text="DUCTILIDAD ALTA">
      <formula>NOT(ISERROR(SEARCH("DUCTILIDAD ALTA",H41)))</formula>
    </cfRule>
    <cfRule type="containsText" dxfId="226" priority="79" operator="containsText" text="NO DÚCTIL">
      <formula>NOT(ISERROR(SEARCH("NO DÚCTIL",H41)))</formula>
    </cfRule>
    <cfRule type="containsText" dxfId="225" priority="81" operator="containsText" text="esbelto">
      <formula>NOT(ISERROR(SEARCH("esbelto",H41)))</formula>
    </cfRule>
    <cfRule type="containsText" dxfId="224" priority="82" operator="containsText" text="compacto">
      <formula>NOT(ISERROR(SEARCH("compacto",H41)))</formula>
    </cfRule>
    <cfRule type="containsBlanks" dxfId="223" priority="83">
      <formula>LEN(TRIM(H41))=0</formula>
    </cfRule>
  </conditionalFormatting>
  <conditionalFormatting sqref="H41">
    <cfRule type="containsErrors" dxfId="222" priority="80" stopIfTrue="1">
      <formula>ISERROR(H41)</formula>
    </cfRule>
  </conditionalFormatting>
  <conditionalFormatting sqref="D12:D13">
    <cfRule type="containsErrors" dxfId="221" priority="76">
      <formula>ISERROR(D12)</formula>
    </cfRule>
  </conditionalFormatting>
  <conditionalFormatting sqref="E45">
    <cfRule type="containsErrors" dxfId="220" priority="66" stopIfTrue="1">
      <formula>ISERROR(E45)</formula>
    </cfRule>
  </conditionalFormatting>
  <conditionalFormatting sqref="B81">
    <cfRule type="containsText" dxfId="219" priority="62" operator="containsText" text="No cumple">
      <formula>NOT(ISERROR(SEARCH("No cumple",B81)))</formula>
    </cfRule>
    <cfRule type="containsText" dxfId="218" priority="63" operator="containsText" text="Cumple">
      <formula>NOT(ISERROR(SEARCH("Cumple",B81)))</formula>
    </cfRule>
  </conditionalFormatting>
  <conditionalFormatting sqref="G54:G58">
    <cfRule type="containsText" dxfId="217" priority="60" operator="containsText" text="No cumple">
      <formula>NOT(ISERROR(SEARCH("No cumple",G54)))</formula>
    </cfRule>
    <cfRule type="containsText" dxfId="216" priority="61" operator="containsText" text="Cumple">
      <formula>NOT(ISERROR(SEARCH("Cumple",G54)))</formula>
    </cfRule>
  </conditionalFormatting>
  <conditionalFormatting sqref="E45:H45">
    <cfRule type="containsText" dxfId="215" priority="55" operator="containsText" text="No cumple">
      <formula>NOT(ISERROR(SEARCH("No cumple",E45)))</formula>
    </cfRule>
    <cfRule type="containsText" dxfId="214" priority="56" operator="containsText" text="Cumple">
      <formula>NOT(ISERROR(SEARCH("Cumple",E45)))</formula>
    </cfRule>
  </conditionalFormatting>
  <conditionalFormatting sqref="H62">
    <cfRule type="containsErrors" dxfId="213" priority="54" stopIfTrue="1">
      <formula>ISERROR(H62)</formula>
    </cfRule>
  </conditionalFormatting>
  <conditionalFormatting sqref="H62">
    <cfRule type="containsText" dxfId="212" priority="52" operator="containsText" text="No cumple">
      <formula>NOT(ISERROR(SEARCH("No cumple",H62)))</formula>
    </cfRule>
    <cfRule type="containsText" dxfId="211" priority="53" operator="containsText" text="Cumple">
      <formula>NOT(ISERROR(SEARCH("Cumple",H62)))</formula>
    </cfRule>
  </conditionalFormatting>
  <conditionalFormatting sqref="H53">
    <cfRule type="containsErrors" dxfId="210" priority="51" stopIfTrue="1">
      <formula>ISERROR(H53)</formula>
    </cfRule>
  </conditionalFormatting>
  <conditionalFormatting sqref="H53:K53">
    <cfRule type="containsText" dxfId="209" priority="49" operator="containsText" text="No cumple">
      <formula>NOT(ISERROR(SEARCH("No cumple",H53)))</formula>
    </cfRule>
    <cfRule type="containsText" dxfId="208" priority="50" operator="containsText" text="Cumple">
      <formula>NOT(ISERROR(SEARCH("Cumple",H53)))</formula>
    </cfRule>
  </conditionalFormatting>
  <conditionalFormatting sqref="H56">
    <cfRule type="containsText" dxfId="207" priority="46" operator="containsText" text="No cumple">
      <formula>NOT(ISERROR(SEARCH("No cumple",H56)))</formula>
    </cfRule>
    <cfRule type="containsText" dxfId="206" priority="47" operator="containsText" text="Cumple">
      <formula>NOT(ISERROR(SEARCH("Cumple",H56)))</formula>
    </cfRule>
  </conditionalFormatting>
  <conditionalFormatting sqref="H56">
    <cfRule type="containsErrors" dxfId="205" priority="48" stopIfTrue="1">
      <formula>ISERROR(H56)</formula>
    </cfRule>
  </conditionalFormatting>
  <conditionalFormatting sqref="H67">
    <cfRule type="containsText" dxfId="204" priority="43" operator="containsText" text="No cumple">
      <formula>NOT(ISERROR(SEARCH("No cumple",H67)))</formula>
    </cfRule>
    <cfRule type="containsText" dxfId="203" priority="44" operator="containsText" text="Cumple">
      <formula>NOT(ISERROR(SEARCH("Cumple",H67)))</formula>
    </cfRule>
  </conditionalFormatting>
  <conditionalFormatting sqref="H67">
    <cfRule type="containsErrors" dxfId="202" priority="45" stopIfTrue="1">
      <formula>ISERROR(H67)</formula>
    </cfRule>
  </conditionalFormatting>
  <conditionalFormatting sqref="H32:H33">
    <cfRule type="expression" dxfId="201" priority="42">
      <formula>$H$31="no"</formula>
    </cfRule>
  </conditionalFormatting>
  <conditionalFormatting sqref="F32:G33">
    <cfRule type="expression" dxfId="200" priority="39">
      <formula>$H$31="no"</formula>
    </cfRule>
  </conditionalFormatting>
  <conditionalFormatting sqref="D67">
    <cfRule type="containsErrors" dxfId="199" priority="38" stopIfTrue="1">
      <formula>ISERROR(D67)</formula>
    </cfRule>
  </conditionalFormatting>
  <conditionalFormatting sqref="B68">
    <cfRule type="containsErrors" dxfId="198" priority="35" stopIfTrue="1">
      <formula>ISERROR(B68)</formula>
    </cfRule>
  </conditionalFormatting>
  <conditionalFormatting sqref="D63">
    <cfRule type="containsErrors" dxfId="197" priority="34" stopIfTrue="1">
      <formula>ISERROR(D63)</formula>
    </cfRule>
  </conditionalFormatting>
  <conditionalFormatting sqref="D73">
    <cfRule type="containsErrors" dxfId="196" priority="33" stopIfTrue="1">
      <formula>ISERROR(D73)</formula>
    </cfRule>
  </conditionalFormatting>
  <conditionalFormatting sqref="H77">
    <cfRule type="containsText" dxfId="195" priority="29" operator="containsText" text="No cumple">
      <formula>NOT(ISERROR(SEARCH("No cumple",H77)))</formula>
    </cfRule>
    <cfRule type="containsText" dxfId="194" priority="30" operator="containsText" text="Cumple">
      <formula>NOT(ISERROR(SEARCH("Cumple",H77)))</formula>
    </cfRule>
  </conditionalFormatting>
  <conditionalFormatting sqref="D40">
    <cfRule type="containsErrors" dxfId="193" priority="27" stopIfTrue="1">
      <formula>ISERROR(D40)</formula>
    </cfRule>
  </conditionalFormatting>
  <conditionalFormatting sqref="B40">
    <cfRule type="cellIs" dxfId="192" priority="26" operator="equal">
      <formula>""</formula>
    </cfRule>
  </conditionalFormatting>
  <conditionalFormatting sqref="C40">
    <cfRule type="containsErrors" dxfId="191" priority="20" stopIfTrue="1">
      <formula>ISERROR(C40)</formula>
    </cfRule>
    <cfRule type="cellIs" dxfId="190" priority="25" stopIfTrue="1" operator="equal">
      <formula>""</formula>
    </cfRule>
  </conditionalFormatting>
  <conditionalFormatting sqref="E40">
    <cfRule type="expression" dxfId="189" priority="18">
      <formula>$E$3=""</formula>
    </cfRule>
    <cfRule type="cellIs" dxfId="188" priority="24" operator="equal">
      <formula>""</formula>
    </cfRule>
  </conditionalFormatting>
  <conditionalFormatting sqref="F40">
    <cfRule type="containsErrors" dxfId="187" priority="19" stopIfTrue="1">
      <formula>ISERROR(F40)</formula>
    </cfRule>
    <cfRule type="containsText" dxfId="186" priority="21" operator="containsText" text="Esbelto">
      <formula>NOT(ISERROR(SEARCH("Esbelto",F40)))</formula>
    </cfRule>
    <cfRule type="containsText" dxfId="185" priority="22" operator="containsText" text="Compacto">
      <formula>NOT(ISERROR(SEARCH("Compacto",F40)))</formula>
    </cfRule>
    <cfRule type="cellIs" dxfId="184" priority="23" operator="equal">
      <formula>""</formula>
    </cfRule>
  </conditionalFormatting>
  <conditionalFormatting sqref="H40">
    <cfRule type="containsText" dxfId="183" priority="9" operator="containsText" text="DUCTILIDAD MODERADA">
      <formula>NOT(ISERROR(SEARCH("DUCTILIDAD MODERADA",H40)))</formula>
    </cfRule>
    <cfRule type="containsText" dxfId="182" priority="10" operator="containsText" text="DUCTILIDAD ALTA">
      <formula>NOT(ISERROR(SEARCH("DUCTILIDAD ALTA",H40)))</formula>
    </cfRule>
    <cfRule type="containsText" dxfId="181" priority="11" operator="containsText" text="NO DÚCTIL">
      <formula>NOT(ISERROR(SEARCH("NO DÚCTIL",H40)))</formula>
    </cfRule>
    <cfRule type="containsText" dxfId="180" priority="13" operator="containsText" text="esbelto">
      <formula>NOT(ISERROR(SEARCH("esbelto",H40)))</formula>
    </cfRule>
    <cfRule type="containsText" dxfId="179" priority="14" operator="containsText" text="compacto">
      <formula>NOT(ISERROR(SEARCH("compacto",H40)))</formula>
    </cfRule>
    <cfRule type="containsBlanks" dxfId="178" priority="15">
      <formula>LEN(TRIM(H40))=0</formula>
    </cfRule>
  </conditionalFormatting>
  <conditionalFormatting sqref="H40">
    <cfRule type="containsErrors" dxfId="177" priority="12" stopIfTrue="1">
      <formula>ISERROR(H40)</formula>
    </cfRule>
  </conditionalFormatting>
  <conditionalFormatting sqref="A40:F40 H40:I40">
    <cfRule type="containsErrors" dxfId="176" priority="8">
      <formula>ISERROR(A40)</formula>
    </cfRule>
  </conditionalFormatting>
  <conditionalFormatting sqref="G40">
    <cfRule type="expression" dxfId="175" priority="7">
      <formula>$E$3=""</formula>
    </cfRule>
  </conditionalFormatting>
  <conditionalFormatting sqref="G41">
    <cfRule type="containsErrors" dxfId="174" priority="5">
      <formula>ISERROR(G41)</formula>
    </cfRule>
    <cfRule type="cellIs" dxfId="173" priority="6" operator="equal">
      <formula>""</formula>
    </cfRule>
  </conditionalFormatting>
  <conditionalFormatting sqref="C33:C34 H34:H35 H13:H14 E53:F54 E56:F57 D62:F62 B51:H51 C77 H77 B81:H83">
    <cfRule type="containsErrors" dxfId="172" priority="4">
      <formula>ISERROR(B13)</formula>
    </cfRule>
  </conditionalFormatting>
  <conditionalFormatting sqref="B74:D74">
    <cfRule type="expression" dxfId="171" priority="3">
      <formula>$B$3="TUBULAR_CIRCULAR"</formula>
    </cfRule>
  </conditionalFormatting>
  <conditionalFormatting sqref="D75">
    <cfRule type="containsErrors" dxfId="170" priority="2">
      <formula>ISERROR(D75)</formula>
    </cfRule>
  </conditionalFormatting>
  <conditionalFormatting sqref="B75:D75">
    <cfRule type="expression" dxfId="169" priority="1">
      <formula>$B$3="TUBULAR_CIRCULAR"</formula>
    </cfRule>
  </conditionalFormatting>
  <dataValidations count="4">
    <dataValidation type="list" errorStyle="warning" allowBlank="1" showInputMessage="1" showErrorMessage="1" error="Verificar tipo de perfil " prompt="Seleccionar tipo de perfil " sqref="H3:I3">
      <formula1>INDIRECT(D3)</formula1>
    </dataValidation>
    <dataValidation type="list" errorStyle="warning" allowBlank="1" showInputMessage="1" showErrorMessage="1" error="Verificar tipo de perfil " prompt="Seleccionar tipo de perfil " sqref="E3:G3">
      <formula1>INDIRECT(B3)</formula1>
    </dataValidation>
    <dataValidation type="list" allowBlank="1" showInputMessage="1" showErrorMessage="1" sqref="B3">
      <formula1>TIPO</formula1>
    </dataValidation>
    <dataValidation type="list" allowBlank="1" showInputMessage="1" showErrorMessage="1" sqref="H31">
      <formula1>"si, no"</formula1>
    </dataValidation>
  </dataValidations>
  <pageMargins left="0.7" right="0.7" top="0.75" bottom="0.75" header="0.3" footer="0.3"/>
  <pageSetup paperSize="9" scale="53" orientation="portrait" r:id="rId1"/>
  <rowBreaks count="1" manualBreakCount="1">
    <brk id="84" max="8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'Datos genericos columnas'!$C$2:$C$4</xm:f>
          </x14:formula1>
          <xm:sqref>E4</xm:sqref>
        </x14:dataValidation>
        <x14:dataValidation type="list" allowBlank="1" showInputMessage="1" showErrorMessage="1">
          <x14:formula1>
            <xm:f>'Datos genericos columnas'!$A$2:$A$3</xm:f>
          </x14:formula1>
          <xm:sqref>D9</xm:sqref>
        </x14:dataValidation>
        <x14:dataValidation type="list" allowBlank="1" showInputMessage="1" showErrorMessage="1">
          <x14:formula1>
            <xm:f>'Datos genericos vigas'!$AB$2:$AB$8</xm:f>
          </x14:formula1>
          <xm:sqref>H30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3857F0"/>
  </sheetPr>
  <dimension ref="A1:I53"/>
  <sheetViews>
    <sheetView view="pageBreakPreview" topLeftCell="B4" zoomScale="85" zoomScaleNormal="80" zoomScaleSheetLayoutView="85" zoomScalePageLayoutView="70" workbookViewId="0">
      <selection activeCell="D10" sqref="D10"/>
    </sheetView>
  </sheetViews>
  <sheetFormatPr baseColWidth="10" defaultColWidth="11.42578125" defaultRowHeight="14.25" x14ac:dyDescent="0.2"/>
  <cols>
    <col min="1" max="1" width="11.7109375" style="4" customWidth="1"/>
    <col min="2" max="2" width="18.42578125" style="4" customWidth="1"/>
    <col min="3" max="3" width="17.85546875" style="4" bestFit="1" customWidth="1"/>
    <col min="4" max="4" width="11.28515625" style="4" customWidth="1"/>
    <col min="5" max="5" width="12" style="4" customWidth="1"/>
    <col min="6" max="6" width="13.5703125" style="4" customWidth="1"/>
    <col min="7" max="7" width="12" style="4" customWidth="1"/>
    <col min="8" max="8" width="20.42578125" style="4" bestFit="1" customWidth="1"/>
    <col min="9" max="9" width="12.140625" style="4" customWidth="1"/>
    <col min="10" max="16384" width="11.42578125" style="4"/>
  </cols>
  <sheetData>
    <row r="1" spans="1:9" ht="15.75" x14ac:dyDescent="0.25">
      <c r="A1" s="574" t="s">
        <v>1214</v>
      </c>
      <c r="B1" s="574"/>
      <c r="C1" s="574"/>
      <c r="D1" s="574"/>
      <c r="E1" s="488"/>
      <c r="F1" s="488"/>
      <c r="G1" s="488"/>
      <c r="H1" s="488"/>
      <c r="I1" s="488"/>
    </row>
    <row r="2" spans="1:9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9" ht="15" customHeight="1" x14ac:dyDescent="0.2">
      <c r="A3" s="619" t="s">
        <v>1199</v>
      </c>
      <c r="B3" s="620"/>
      <c r="C3" s="578" t="s">
        <v>77</v>
      </c>
      <c r="D3" s="580"/>
      <c r="E3" s="575" t="s">
        <v>125</v>
      </c>
      <c r="F3" s="576"/>
      <c r="G3" s="576"/>
      <c r="H3" s="576"/>
      <c r="I3" s="577"/>
    </row>
    <row r="4" spans="1:9" ht="15" customHeight="1" x14ac:dyDescent="0.2">
      <c r="A4" s="619" t="s">
        <v>1200</v>
      </c>
      <c r="B4" s="620"/>
      <c r="C4" s="578" t="s">
        <v>219</v>
      </c>
      <c r="D4" s="580"/>
      <c r="E4" s="575" t="s">
        <v>493</v>
      </c>
      <c r="F4" s="576"/>
      <c r="G4" s="576"/>
      <c r="H4" s="576"/>
      <c r="I4" s="577"/>
    </row>
    <row r="5" spans="1:9" ht="15" x14ac:dyDescent="0.2">
      <c r="A5" s="581" t="s">
        <v>208</v>
      </c>
      <c r="B5" s="582"/>
      <c r="C5" s="582"/>
      <c r="D5" s="583"/>
      <c r="E5" s="47" t="s">
        <v>78</v>
      </c>
      <c r="F5" s="6"/>
      <c r="G5" s="6"/>
      <c r="H5" s="6"/>
      <c r="I5" s="6"/>
    </row>
    <row r="6" spans="1:9" x14ac:dyDescent="0.2">
      <c r="A6" s="6"/>
      <c r="B6" s="6"/>
      <c r="C6" s="6"/>
      <c r="D6" s="6"/>
      <c r="E6" s="6"/>
      <c r="F6" s="614" t="s">
        <v>1117</v>
      </c>
      <c r="G6" s="614"/>
      <c r="H6" s="214" t="s">
        <v>1136</v>
      </c>
      <c r="I6" s="6"/>
    </row>
    <row r="7" spans="1:9" x14ac:dyDescent="0.2">
      <c r="A7" s="6"/>
      <c r="B7" s="6"/>
      <c r="C7" s="6"/>
      <c r="D7" s="6"/>
      <c r="E7" s="6"/>
      <c r="F7" s="615" t="s">
        <v>1116</v>
      </c>
      <c r="G7" s="616"/>
      <c r="H7" s="214" t="s">
        <v>2518</v>
      </c>
      <c r="I7" s="6"/>
    </row>
    <row r="8" spans="1:9" ht="14.25" customHeight="1" x14ac:dyDescent="0.2">
      <c r="A8" s="6"/>
      <c r="B8" s="490" t="s">
        <v>216</v>
      </c>
      <c r="C8" s="525"/>
      <c r="D8" s="211">
        <v>200000</v>
      </c>
      <c r="E8" s="92"/>
      <c r="F8" s="566" t="s">
        <v>1122</v>
      </c>
      <c r="G8" s="567"/>
      <c r="H8" s="617"/>
      <c r="I8" s="6"/>
    </row>
    <row r="9" spans="1:9" ht="16.5" customHeight="1" x14ac:dyDescent="0.2">
      <c r="A9" s="6"/>
      <c r="B9" s="524" t="s">
        <v>988</v>
      </c>
      <c r="C9" s="525"/>
      <c r="D9" s="86">
        <v>77200</v>
      </c>
      <c r="E9" s="98"/>
      <c r="F9" s="621"/>
      <c r="G9" s="622"/>
      <c r="H9" s="618"/>
      <c r="I9" s="6"/>
    </row>
    <row r="10" spans="1:9" ht="15" customHeight="1" x14ac:dyDescent="0.2">
      <c r="A10" s="6"/>
      <c r="B10" s="490" t="s">
        <v>217</v>
      </c>
      <c r="C10" s="490"/>
      <c r="D10" s="84">
        <v>250</v>
      </c>
      <c r="F10" s="612" t="s">
        <v>1123</v>
      </c>
      <c r="G10" s="612"/>
      <c r="H10" s="613">
        <v>50</v>
      </c>
      <c r="I10" s="6"/>
    </row>
    <row r="11" spans="1:9" ht="15" customHeight="1" x14ac:dyDescent="0.2">
      <c r="A11" s="6"/>
      <c r="B11" s="6"/>
      <c r="C11" s="6"/>
      <c r="D11" s="6"/>
      <c r="E11" s="6"/>
      <c r="F11" s="612"/>
      <c r="G11" s="612"/>
      <c r="H11" s="613"/>
      <c r="I11" s="6"/>
    </row>
    <row r="12" spans="1:9" ht="15" customHeight="1" x14ac:dyDescent="0.2">
      <c r="A12" s="6"/>
      <c r="B12" s="6"/>
      <c r="C12" s="6"/>
      <c r="D12" s="6"/>
      <c r="E12" s="6"/>
      <c r="F12" s="612" t="s">
        <v>1194</v>
      </c>
      <c r="G12" s="612"/>
      <c r="H12" s="250"/>
      <c r="I12" s="6"/>
    </row>
    <row r="13" spans="1:9" ht="15" customHeight="1" x14ac:dyDescent="0.2">
      <c r="A13" s="6"/>
      <c r="B13" s="526" t="s">
        <v>994</v>
      </c>
      <c r="C13" s="527"/>
      <c r="D13" s="51">
        <v>0.75</v>
      </c>
      <c r="E13" s="99"/>
      <c r="F13" s="565" t="s">
        <v>1196</v>
      </c>
      <c r="G13" s="565"/>
      <c r="H13" s="212">
        <v>0.5</v>
      </c>
      <c r="I13" s="6"/>
    </row>
    <row r="14" spans="1:9" ht="15" customHeight="1" x14ac:dyDescent="0.2">
      <c r="A14" s="6"/>
      <c r="B14" s="526" t="s">
        <v>230</v>
      </c>
      <c r="C14" s="527"/>
      <c r="D14" s="51">
        <f>+H8/(D13*D10*1000*C25*0.0001)</f>
        <v>0</v>
      </c>
      <c r="E14" s="99"/>
      <c r="F14" s="572" t="s">
        <v>1215</v>
      </c>
      <c r="G14" s="558"/>
      <c r="H14" s="143">
        <v>2</v>
      </c>
      <c r="I14" s="6"/>
    </row>
    <row r="15" spans="1:9" ht="15" customHeight="1" x14ac:dyDescent="0.2">
      <c r="A15" s="6"/>
      <c r="B15" s="526" t="s">
        <v>1047</v>
      </c>
      <c r="C15" s="527"/>
      <c r="D15" s="51">
        <v>1</v>
      </c>
      <c r="E15" s="99"/>
      <c r="F15" s="572" t="s">
        <v>1107</v>
      </c>
      <c r="G15" s="558"/>
      <c r="H15" s="143">
        <v>5</v>
      </c>
      <c r="I15" s="6"/>
    </row>
    <row r="16" spans="1:9" ht="15" customHeight="1" x14ac:dyDescent="0.2">
      <c r="A16" s="6"/>
      <c r="B16" s="526" t="s">
        <v>1106</v>
      </c>
      <c r="C16" s="527"/>
      <c r="D16" s="51">
        <v>1</v>
      </c>
      <c r="E16" s="99"/>
      <c r="F16" s="611"/>
      <c r="G16" s="611"/>
      <c r="H16" s="213"/>
      <c r="I16" s="6"/>
    </row>
    <row r="17" spans="1:9" ht="15" customHeight="1" x14ac:dyDescent="0.2">
      <c r="A17" s="6"/>
      <c r="B17" s="87"/>
      <c r="C17" s="87"/>
      <c r="D17" s="182"/>
      <c r="E17" s="99"/>
      <c r="F17" s="565" t="s">
        <v>1080</v>
      </c>
      <c r="G17" s="565"/>
      <c r="H17" s="143" t="s">
        <v>1128</v>
      </c>
      <c r="I17" s="6"/>
    </row>
    <row r="18" spans="1:9" ht="15" customHeight="1" x14ac:dyDescent="0.2">
      <c r="A18" s="6"/>
      <c r="B18" s="6"/>
      <c r="C18" s="6"/>
      <c r="D18" s="6"/>
      <c r="E18" s="99"/>
      <c r="F18" s="572" t="str">
        <f>IF(H17="no","","tst [mm]")</f>
        <v>tst [mm]</v>
      </c>
      <c r="G18" s="558"/>
      <c r="H18" s="143">
        <v>4</v>
      </c>
      <c r="I18" s="6"/>
    </row>
    <row r="19" spans="1:9" x14ac:dyDescent="0.2">
      <c r="A19" s="6"/>
      <c r="B19" s="6"/>
      <c r="C19" s="190" t="s">
        <v>209</v>
      </c>
      <c r="D19" s="190" t="s">
        <v>210</v>
      </c>
      <c r="E19" s="99"/>
      <c r="F19" s="572" t="str">
        <f>IF(H17="no","","bs [mm]")</f>
        <v>bs [mm]</v>
      </c>
      <c r="G19" s="558"/>
      <c r="H19" s="259">
        <v>100</v>
      </c>
      <c r="I19" s="6"/>
    </row>
    <row r="20" spans="1:9" x14ac:dyDescent="0.2">
      <c r="A20" s="6"/>
      <c r="B20" s="43" t="s">
        <v>194</v>
      </c>
      <c r="C20" s="191" t="str">
        <f>IF(C3="TUBULAR_CIRCULAR",VLOOKUP($E$3,'Tabla Perfiles tubular'!A1:R360,2,FALSE),"N/A")</f>
        <v>N/A</v>
      </c>
      <c r="D20" s="192" t="str">
        <f>IF(C20="N/A","",IF(C20="","","mm"))</f>
        <v/>
      </c>
      <c r="E20" s="99"/>
      <c r="F20" s="611"/>
      <c r="G20" s="611"/>
      <c r="H20" s="213"/>
      <c r="I20" s="6"/>
    </row>
    <row r="21" spans="1:9" x14ac:dyDescent="0.2">
      <c r="A21" s="6"/>
      <c r="B21" s="43" t="str">
        <f>IF(C3="LAMINADO","hw","h")</f>
        <v>hw</v>
      </c>
      <c r="C21" s="192">
        <f>IF(C3="LAMINADO",VLOOKUP(E3,'Tabla Perfiles laminados'!A4:AB460,5,FALSE),(IF(C3="TUBULAR_RECTANGULAR",VLOOKUP(E3,'Tabla Perfiles tubular'!A260:R360,3,FALSE),"N/A")))</f>
        <v>92</v>
      </c>
      <c r="D21" s="192" t="str">
        <f>IF(C21="N/A","",IF(C21="","","mm"))</f>
        <v>mm</v>
      </c>
      <c r="E21" s="99"/>
      <c r="F21" s="6"/>
      <c r="G21" s="6"/>
      <c r="H21" s="6"/>
      <c r="I21" s="6"/>
    </row>
    <row r="22" spans="1:9" x14ac:dyDescent="0.2">
      <c r="A22" s="6"/>
      <c r="B22" s="43" t="str">
        <f>IF(C3="LAMINADO","bf","b")</f>
        <v>bf</v>
      </c>
      <c r="C22" s="192">
        <f>IF(C3="LAMINADO",VLOOKUP(E3,'Tabla Perfiles laminados'!A4:AB460,3,FALSE),(IF(C3="TUBULAR_RECTANGULAR",VLOOKUP(E3,'Tabla Perfiles tubular'!A260:R360,4,FALSE),IF(C3="TUBULAR_CUADRADO",VLOOKUP(E3,'Tabla Perfiles tubular'!A171:R259,4,FALSE),"N/A"))))</f>
        <v>140</v>
      </c>
      <c r="D22" s="192" t="str">
        <f>IF(C22="N/A","",IF(C22="","","mm"))</f>
        <v>mm</v>
      </c>
      <c r="E22" s="99"/>
      <c r="F22" s="6"/>
      <c r="G22" s="6"/>
      <c r="H22" s="6"/>
      <c r="I22" s="6"/>
    </row>
    <row r="23" spans="1:9" x14ac:dyDescent="0.2">
      <c r="A23" s="6"/>
      <c r="B23" s="43" t="str">
        <f>IF(C3="LAMINADO","tf","t")</f>
        <v>tf</v>
      </c>
      <c r="C23" s="253">
        <f>IF(C3="LAMINADO",VLOOKUP(E3,'Tabla Perfiles laminados'!A4:AB460,4,FALSE),(IF(C3="TUBULAR_RECTANGULAR",VLOOKUP(E3,'Tabla Perfiles tubular'!A260:R360,5,FALSE),IF(C3="TUBULAR_CUADRADO",VLOOKUP(E3,'Tabla Perfiles tubular'!A171:R259,5,FALSE),IF(C3="TUBULAR_CIRCULAR",VLOOKUP(E3,'Tabla Perfiles tubular'!A3:R170,5,FALSE),"N/A")))))</f>
        <v>8.5</v>
      </c>
      <c r="D23" s="253" t="str">
        <f>IF(C23="N/A","",IF(C23="","","mm"))</f>
        <v>mm</v>
      </c>
      <c r="E23" s="99"/>
      <c r="F23" s="99"/>
      <c r="G23" s="99"/>
      <c r="H23" s="99"/>
      <c r="I23" s="6"/>
    </row>
    <row r="24" spans="1:9" ht="18" x14ac:dyDescent="0.25">
      <c r="A24" s="6"/>
      <c r="B24" s="43" t="s">
        <v>211</v>
      </c>
      <c r="C24" s="192">
        <f>IF(C3="LAMINADO",VLOOKUP($E$3,'Tabla Perfiles laminados'!A1:AB460,6,FALSE),"N/A")</f>
        <v>5.5</v>
      </c>
      <c r="D24" s="192" t="str">
        <f>IF(C24="N/A","",IF(C24="","","mm"))</f>
        <v>mm</v>
      </c>
      <c r="E24" s="99"/>
      <c r="F24" s="99"/>
      <c r="G24" s="99"/>
      <c r="H24" s="99"/>
      <c r="I24" s="6"/>
    </row>
    <row r="25" spans="1:9" ht="18" x14ac:dyDescent="0.25">
      <c r="A25" s="6"/>
      <c r="B25" s="43" t="s">
        <v>221</v>
      </c>
      <c r="C25" s="192">
        <f>IF(C3="LAMINADO",VLOOKUP(E3,'Tabla Perfiles laminados'!A4:AB460,10,FALSE),(IF(C3="TUBULAR_RECTANGULAR",VLOOKUP(E3,'Tabla Perfiles tubular'!A260:R360,7,FALSE),IF(C3="TUBULAR_CUADRADO",VLOOKUP(E3,'Tabla Perfiles tubular'!A171:R259,7,FALSE),IF(C3="TUBULAR_CIRCULAR",VLOOKUP(E3,'Tabla Perfiles tubular'!A3:R170,7,FALSE),"N/A")))))</f>
        <v>31.4</v>
      </c>
      <c r="D25" s="256" t="str">
        <f>IF(C24="","","cm2")</f>
        <v>cm2</v>
      </c>
      <c r="E25" s="99"/>
      <c r="F25" s="99"/>
      <c r="G25" s="99"/>
      <c r="H25" s="99"/>
      <c r="I25" s="6"/>
    </row>
    <row r="26" spans="1:9" x14ac:dyDescent="0.2">
      <c r="A26" s="6"/>
      <c r="B26" s="6"/>
      <c r="C26" s="6"/>
      <c r="D26" s="6"/>
      <c r="E26" s="99"/>
      <c r="F26" s="99"/>
      <c r="G26" s="99"/>
      <c r="H26" s="99"/>
      <c r="I26" s="48"/>
    </row>
    <row r="27" spans="1:9" x14ac:dyDescent="0.2">
      <c r="A27" s="6"/>
      <c r="B27" s="43" t="s">
        <v>100</v>
      </c>
      <c r="C27" s="191">
        <f>IF(C3="LAMINADO",VLOOKUP(E3,'Tabla Perfiles laminados'!A4:AB460,12,FALSE),(IF(C3="TUBULAR_RECTANGULAR",VLOOKUP(E3,'Tabla Perfiles tubular'!A260:R360,9,FALSE),IF(C3="TUBULAR_CUADRADO",VLOOKUP(E3,'Tabla Perfiles tubular'!A171:R259,9,FALSE),IF(C3="TUBULAR_CIRCULAR",VLOOKUP(E3,'Tabla Perfiles tubular'!A3:R170,9,FALSE),"N/A")))))</f>
        <v>1030</v>
      </c>
      <c r="D27" s="256" t="s">
        <v>116</v>
      </c>
      <c r="E27" s="99"/>
      <c r="F27" s="99"/>
      <c r="G27" s="99"/>
      <c r="H27" s="99"/>
      <c r="I27" s="6"/>
    </row>
    <row r="28" spans="1:9" x14ac:dyDescent="0.2">
      <c r="A28" s="6"/>
      <c r="B28" s="43" t="s">
        <v>105</v>
      </c>
      <c r="C28" s="191">
        <f>IF(C3="LAMINADO",VLOOKUP(E3,'Tabla Perfiles laminados'!A4:AB460,17,FALSE),(IF(C3="TUBULAR_RECTANGULAR",VLOOKUP(E3,'Tabla Perfiles tubular'!A260:R360,10,FALSE),IF(C3="TUBULAR_CUADRADO",VLOOKUP(E3,'Tabla Perfiles tubular'!A171:R259,10,FALSE),IF(C3="TUBULAR_CIRCULAR",VLOOKUP(E3,'Tabla Perfiles tubular'!A3:R170,10,FALSE),"N/A")))))</f>
        <v>389</v>
      </c>
      <c r="D28" s="256" t="s">
        <v>116</v>
      </c>
      <c r="E28" s="99"/>
      <c r="F28" s="99"/>
      <c r="G28" s="99"/>
      <c r="H28" s="99"/>
      <c r="I28" s="6"/>
    </row>
    <row r="29" spans="1:9" x14ac:dyDescent="0.2">
      <c r="A29" s="6"/>
      <c r="B29" s="43" t="s">
        <v>102</v>
      </c>
      <c r="C29" s="254">
        <f>IF(C3="LAMINADO",VLOOKUP(E3,'Tabla Perfiles laminados'!A4:AB460,14,FALSE),(IF(C3="TUBULAR_RECTANGULAR",VLOOKUP(E3,'Tabla Perfiles tubular'!A260:R360,13,FALSE),IF(C3="TUBULAR_CUADRADO",VLOOKUP(E3,'Tabla Perfiles tubular'!A171:R259,13,FALSE),IF(C3="TUBULAR_CIRCULAR",VLOOKUP(E3,'Tabla Perfiles tubular'!A3:R170,13,FALSE),"N/A")))))</f>
        <v>5.73</v>
      </c>
      <c r="D29" s="256" t="s">
        <v>118</v>
      </c>
      <c r="E29" s="99"/>
      <c r="F29" s="99"/>
      <c r="G29" s="99"/>
      <c r="H29" s="99"/>
      <c r="I29" s="6"/>
    </row>
    <row r="30" spans="1:9" x14ac:dyDescent="0.2">
      <c r="A30" s="6"/>
      <c r="B30" s="43" t="s">
        <v>107</v>
      </c>
      <c r="C30" s="254">
        <f>IF(C3="LAMINADO",VLOOKUP(E3,'Tabla Perfiles laminados'!A4:AB460,19,FALSE),(IF(C3="TUBULAR_RECTANGULAR",VLOOKUP(E3,'Tabla Perfiles tubular'!A260:R360,14,FALSE),IF(C3="TUBULAR_CUADRADO",VLOOKUP(E3,'Tabla Perfiles tubular'!A171:R259,14,FALSE),IF(C3="TUBULAR_CIRCULAR",VLOOKUP(E3,'Tabla Perfiles tubular'!A3:R170,14,FALSE),"N/A")))))</f>
        <v>3.52</v>
      </c>
      <c r="D30" s="256" t="s">
        <v>118</v>
      </c>
      <c r="E30" s="99"/>
      <c r="F30" s="99"/>
      <c r="G30" s="99"/>
      <c r="H30" s="99"/>
      <c r="I30" s="6"/>
    </row>
    <row r="31" spans="1:9" ht="14.25" customHeight="1" x14ac:dyDescent="0.2">
      <c r="A31" s="6"/>
      <c r="B31" s="43" t="s">
        <v>87</v>
      </c>
      <c r="C31" s="249">
        <f>IF(C3="LAMINADO",VLOOKUP(E3,'Tabla Perfiles laminados'!A4:AB460,23,FALSE),"N/A")</f>
        <v>6.38</v>
      </c>
      <c r="D31" s="256" t="s">
        <v>116</v>
      </c>
      <c r="E31" s="6" t="s">
        <v>1018</v>
      </c>
      <c r="F31" s="610"/>
      <c r="G31" s="610"/>
      <c r="H31" s="199"/>
      <c r="I31" s="6"/>
    </row>
    <row r="32" spans="1:9" ht="14.25" customHeight="1" x14ac:dyDescent="0.2">
      <c r="A32" s="6"/>
      <c r="B32" s="43" t="s">
        <v>104</v>
      </c>
      <c r="C32" s="248">
        <f>IF(C3="LAMINADO",VLOOKUP(E3,'Tabla Perfiles laminados'!A4:AB460,16,FALSE),(IF(C3="TUBULAR_RECTANGULAR",VLOOKUP(E3,'Tabla Perfiles tubular'!A260:R360,15,FALSE),IF(C3="TUBULAR_CUADRADO",VLOOKUP(E3,'Tabla Perfiles tubular'!A171:R259,15,FALSE),IF(C3="TUBULAR_CIRCULAR",VLOOKUP(E3,'Tabla Perfiles tubular'!A3:R170,15,FALSE),"N/A")))))</f>
        <v>173</v>
      </c>
      <c r="D32" s="256" t="s">
        <v>117</v>
      </c>
      <c r="E32" s="6"/>
      <c r="F32" s="198"/>
      <c r="G32" s="198"/>
      <c r="H32" s="199"/>
      <c r="I32" s="6"/>
    </row>
    <row r="33" spans="1:9" ht="14.25" customHeight="1" x14ac:dyDescent="0.2">
      <c r="A33" s="6"/>
      <c r="B33" s="5"/>
      <c r="C33" s="148"/>
      <c r="D33" s="148"/>
      <c r="E33" s="6"/>
      <c r="F33" s="208"/>
      <c r="G33" s="208"/>
      <c r="H33" s="199"/>
      <c r="I33" s="6"/>
    </row>
    <row r="34" spans="1:9" ht="14.25" customHeight="1" x14ac:dyDescent="0.2">
      <c r="A34" s="6"/>
      <c r="B34" s="5"/>
      <c r="C34" s="148"/>
      <c r="D34" s="148"/>
      <c r="E34" s="6"/>
      <c r="F34" s="208"/>
      <c r="G34" s="208"/>
      <c r="H34" s="199"/>
      <c r="I34" s="6" t="s">
        <v>1018</v>
      </c>
    </row>
    <row r="35" spans="1:9" ht="14.25" customHeight="1" x14ac:dyDescent="0.2">
      <c r="A35" s="6"/>
      <c r="B35" s="5"/>
      <c r="C35" s="148"/>
      <c r="D35" s="148"/>
      <c r="E35" s="6"/>
      <c r="F35" s="208"/>
      <c r="G35" s="208"/>
      <c r="H35" s="199"/>
      <c r="I35" s="6"/>
    </row>
    <row r="36" spans="1:9" ht="20.25" customHeight="1" x14ac:dyDescent="0.2">
      <c r="A36" s="519" t="str">
        <f>H6</f>
        <v>Viga</v>
      </c>
      <c r="B36" s="520"/>
      <c r="C36" s="520"/>
      <c r="D36" s="520"/>
      <c r="E36" s="520"/>
      <c r="F36" s="520"/>
      <c r="G36" s="520"/>
      <c r="H36" s="520"/>
      <c r="I36" s="521"/>
    </row>
    <row r="37" spans="1:9" x14ac:dyDescent="0.2">
      <c r="A37" s="6"/>
      <c r="B37" s="6"/>
      <c r="C37" s="6"/>
      <c r="D37" s="6"/>
      <c r="E37" s="6"/>
      <c r="F37" s="6"/>
      <c r="G37" s="6"/>
      <c r="H37" s="6"/>
      <c r="I37" s="6"/>
    </row>
    <row r="38" spans="1:9" x14ac:dyDescent="0.2">
      <c r="B38" s="540" t="s">
        <v>1105</v>
      </c>
      <c r="C38" s="540"/>
      <c r="D38" s="540"/>
      <c r="E38" s="526" t="str">
        <f>+H7</f>
        <v>Torsional-Nodal</v>
      </c>
      <c r="F38" s="527"/>
      <c r="G38" s="6"/>
      <c r="H38" s="6"/>
      <c r="I38" s="6"/>
    </row>
    <row r="39" spans="1:9" x14ac:dyDescent="0.2">
      <c r="A39" s="6"/>
      <c r="B39" s="6"/>
      <c r="C39" s="6"/>
      <c r="D39" s="6"/>
      <c r="E39" s="6"/>
      <c r="F39" s="6"/>
      <c r="G39" s="6"/>
      <c r="H39" s="6"/>
      <c r="I39" s="6"/>
    </row>
    <row r="40" spans="1:9" ht="15" x14ac:dyDescent="0.2">
      <c r="A40" s="6"/>
      <c r="B40" s="43" t="str">
        <f>+IF(OR(H7="Torsional-nodal",H7="Torsional-continuo"),"Mbr [kN*m]","Pbr [kN]")</f>
        <v>Mbr [kN*m]</v>
      </c>
      <c r="C40" s="51">
        <f>VLOOKUP('Datos genericos riostras'!BA1,'Datos genericos riostras'!BA3:BC16,2,FALSE)</f>
        <v>0.96</v>
      </c>
      <c r="D40" s="200" t="s">
        <v>1043</v>
      </c>
      <c r="E40" s="43" t="str">
        <f>+IF(OR(H7="Torsional-nodal",H7="Torsional-continuo"),"Mn [kN*m]","Pn [kN]")</f>
        <v>Mn [kN*m]</v>
      </c>
      <c r="F40" s="51">
        <f>IF(B40="Pbr [kN]",'Riostras Fcr'!C56,IF(B40="Mbr [kN*m]",((C32/1000000)*(D10*1000)),""))</f>
        <v>43.25</v>
      </c>
      <c r="G40" s="6"/>
      <c r="H40" s="522" t="str">
        <f>+IF(AND(C40&lt;=F40,C41&lt;=F41,C42&lt;=F42),"Cumple","No cumple")</f>
        <v>No cumple</v>
      </c>
      <c r="I40" s="6"/>
    </row>
    <row r="41" spans="1:9" ht="15" x14ac:dyDescent="0.25">
      <c r="A41" s="6"/>
      <c r="B41" s="43" t="s">
        <v>1115</v>
      </c>
      <c r="C41" s="51">
        <f>VLOOKUP('Datos genericos riostras'!BA1,'Datos genericos riostras'!BA3:BC16,3,FALSE)</f>
        <v>4119508.2257632772</v>
      </c>
      <c r="D41" s="200" t="s">
        <v>1043</v>
      </c>
      <c r="E41" s="43" t="s">
        <v>1216</v>
      </c>
      <c r="F41" s="51">
        <f>+((C25*100)*(D8))/(H14*1000)</f>
        <v>314000</v>
      </c>
      <c r="G41" s="6"/>
      <c r="H41" s="523"/>
      <c r="I41" s="6"/>
    </row>
    <row r="42" spans="1:9" ht="15" x14ac:dyDescent="0.2">
      <c r="A42" s="6"/>
      <c r="B42" s="43" t="str">
        <f>+IF(F42="","","Mu [kN*m]")</f>
        <v>Mu [kN*m]</v>
      </c>
      <c r="C42" s="51">
        <f>+IF(F42="","",H12)</f>
        <v>0</v>
      </c>
      <c r="D42" s="200" t="str">
        <f>+IF(F42="","","≤")</f>
        <v>≤</v>
      </c>
      <c r="E42" s="43" t="str">
        <f>+IF(F42="","","Mn [kN*m]")</f>
        <v>Mn [kN*m]</v>
      </c>
      <c r="F42" s="51">
        <f>IF(H6="Viga",((C32/1000000)*D10*1000),"")</f>
        <v>43.250000000000007</v>
      </c>
      <c r="G42" s="6"/>
      <c r="H42" s="251"/>
      <c r="I42" s="6"/>
    </row>
    <row r="43" spans="1:9" x14ac:dyDescent="0.2">
      <c r="A43" s="6"/>
      <c r="B43" s="6"/>
      <c r="C43" s="6"/>
      <c r="D43" s="6"/>
      <c r="E43" s="6"/>
      <c r="F43" s="6"/>
      <c r="G43" s="6"/>
      <c r="H43" s="6"/>
      <c r="I43" s="6"/>
    </row>
    <row r="44" spans="1:9" ht="15.75" x14ac:dyDescent="0.2">
      <c r="A44" s="519" t="s">
        <v>1195</v>
      </c>
      <c r="B44" s="520"/>
      <c r="C44" s="520"/>
      <c r="D44" s="520"/>
      <c r="E44" s="520"/>
      <c r="F44" s="520"/>
      <c r="G44" s="520"/>
      <c r="H44" s="520"/>
      <c r="I44" s="521"/>
    </row>
    <row r="45" spans="1:9" x14ac:dyDescent="0.2">
      <c r="A45" s="6"/>
      <c r="B45" s="6"/>
      <c r="C45" s="6"/>
      <c r="D45" s="6"/>
      <c r="E45" s="6"/>
      <c r="F45" s="6"/>
      <c r="G45" s="6"/>
      <c r="H45" s="6"/>
      <c r="I45" s="6"/>
    </row>
    <row r="46" spans="1:9" ht="42" customHeight="1" x14ac:dyDescent="0.2">
      <c r="A46" s="6"/>
      <c r="B46" s="257" t="s">
        <v>1048</v>
      </c>
      <c r="C46" s="260">
        <f>IF(H7="","",IF(H6="Viga",(IF(E5="DES",(0.086*((IF(C4="LAMINADO",VLOOKUP(E4,'Tabla Perfiles laminados'!A4:AB460,19,FALSE),(IF(C4="TUBULAR_RECTANGULAR",VLOOKUP(E4,'Tabla Perfiles tubular'!A260:R360,14,FALSE),IF(C4="TUBULAR_CUADRADO",VLOOKUP(E4,'Tabla Perfiles tubular'!A171:R259,14,FALSE),IF(C4="TUBULAR_CIRCULAR",VLOOKUP(E4,'Tabla Perfiles tubular'!A3:R170,14,FALSE),"N/A"))))))/100)*(D8/D10)),(IF(E5="DMO",(0.17*((IF(C4="LAMINADO",VLOOKUP(E4,'Tabla Perfiles laminados'!A4:AB460,19,FALSE),(IF(C4="TUBULAR_RECTANGULAR",VLOOKUP(E4,'Tabla Perfiles tubular'!A260:R360,14,FALSE),IF(C4="TUBULAR_CUADRADO",VLOOKUP(E4,'Tabla Perfiles tubular'!A171:R259,14,FALSE),IF(C4="TUBULAR_CIRCULAR",VLOOKUP(E4,'Tabla Perfiles tubular'!A3:R170,14,FALSE),"N/A"))))))/100)*(D8/D10)),(IF(E5="DMI",("No se especifican requisitos especiales"),(""))))))),""))</f>
        <v>0.82824000000000009</v>
      </c>
      <c r="D46" s="255" t="str">
        <f>+IF(C46="","","≥")</f>
        <v>≥</v>
      </c>
      <c r="E46" s="147" t="s">
        <v>1048</v>
      </c>
      <c r="F46" s="258">
        <f>IF(C46="","",H13)</f>
        <v>0.5</v>
      </c>
      <c r="G46" s="6"/>
      <c r="H46" s="261" t="str">
        <f>+IF(C46="","",IF(C46&gt;=F46,"Cumple","No cumple"))</f>
        <v>Cumple</v>
      </c>
      <c r="I46" s="6"/>
    </row>
    <row r="47" spans="1:9" x14ac:dyDescent="0.2">
      <c r="A47" s="6"/>
      <c r="B47" s="609" t="str">
        <f>+IF(C46="","No se especifican requisitos especialespara espaciamiento de arriostraminento","")</f>
        <v/>
      </c>
      <c r="C47" s="609"/>
      <c r="D47" s="609"/>
      <c r="E47" s="609"/>
      <c r="F47" s="609"/>
      <c r="G47" s="609"/>
      <c r="H47" s="609"/>
      <c r="I47" s="5"/>
    </row>
    <row r="48" spans="1:9" ht="15" thickBot="1" x14ac:dyDescent="0.25">
      <c r="A48" s="6"/>
      <c r="B48" s="6"/>
      <c r="C48" s="6"/>
      <c r="D48" s="6"/>
      <c r="E48" s="6"/>
      <c r="F48" s="6"/>
      <c r="G48" s="6"/>
      <c r="H48" s="6"/>
      <c r="I48" s="6"/>
    </row>
    <row r="49" spans="1:9" x14ac:dyDescent="0.2">
      <c r="A49" s="6"/>
      <c r="B49" s="531" t="str">
        <f>IF(OR(AND(H40="Cumple",H46="Cumple"),AND(H40="Cumple",H46="")),"CUMPLE","NO CUMPLE")</f>
        <v>NO CUMPLE</v>
      </c>
      <c r="C49" s="532"/>
      <c r="D49" s="532"/>
      <c r="E49" s="532"/>
      <c r="F49" s="532"/>
      <c r="G49" s="532"/>
      <c r="H49" s="533"/>
      <c r="I49" s="6"/>
    </row>
    <row r="50" spans="1:9" x14ac:dyDescent="0.2">
      <c r="A50" s="6"/>
      <c r="B50" s="534"/>
      <c r="C50" s="535"/>
      <c r="D50" s="535"/>
      <c r="E50" s="535"/>
      <c r="F50" s="535"/>
      <c r="G50" s="535"/>
      <c r="H50" s="536"/>
      <c r="I50" s="6"/>
    </row>
    <row r="51" spans="1:9" ht="15" thickBot="1" x14ac:dyDescent="0.25">
      <c r="A51" s="6"/>
      <c r="B51" s="537"/>
      <c r="C51" s="538"/>
      <c r="D51" s="538"/>
      <c r="E51" s="538"/>
      <c r="F51" s="538"/>
      <c r="G51" s="538"/>
      <c r="H51" s="539"/>
      <c r="I51" s="6"/>
    </row>
    <row r="52" spans="1:9" x14ac:dyDescent="0.2">
      <c r="A52" s="6"/>
      <c r="B52" s="6"/>
      <c r="C52" s="6"/>
      <c r="D52" s="6"/>
      <c r="E52" s="6"/>
      <c r="F52" s="6"/>
      <c r="G52" s="6"/>
      <c r="H52" s="6"/>
      <c r="I52" s="6"/>
    </row>
    <row r="53" spans="1:9" x14ac:dyDescent="0.2">
      <c r="A53" s="6"/>
      <c r="B53" s="6"/>
      <c r="C53" s="6"/>
      <c r="D53" s="6"/>
      <c r="E53" s="6"/>
      <c r="F53" s="6"/>
      <c r="G53" s="6"/>
      <c r="H53" s="6"/>
      <c r="I53" s="6"/>
    </row>
  </sheetData>
  <mergeCells count="39">
    <mergeCell ref="A1:I1"/>
    <mergeCell ref="A2:I2"/>
    <mergeCell ref="E3:I3"/>
    <mergeCell ref="A5:D5"/>
    <mergeCell ref="B8:C8"/>
    <mergeCell ref="F6:G6"/>
    <mergeCell ref="F7:G7"/>
    <mergeCell ref="H8:H9"/>
    <mergeCell ref="E4:I4"/>
    <mergeCell ref="C4:D4"/>
    <mergeCell ref="A4:B4"/>
    <mergeCell ref="C3:D3"/>
    <mergeCell ref="A3:B3"/>
    <mergeCell ref="B9:C9"/>
    <mergeCell ref="F8:G9"/>
    <mergeCell ref="F20:G20"/>
    <mergeCell ref="F10:G11"/>
    <mergeCell ref="H10:H11"/>
    <mergeCell ref="B10:C10"/>
    <mergeCell ref="B13:C13"/>
    <mergeCell ref="B14:C14"/>
    <mergeCell ref="F14:G14"/>
    <mergeCell ref="F12:G12"/>
    <mergeCell ref="B49:H51"/>
    <mergeCell ref="B47:H47"/>
    <mergeCell ref="F13:G13"/>
    <mergeCell ref="A44:I44"/>
    <mergeCell ref="H40:H41"/>
    <mergeCell ref="F19:G19"/>
    <mergeCell ref="E38:F38"/>
    <mergeCell ref="B15:C15"/>
    <mergeCell ref="F31:G31"/>
    <mergeCell ref="B16:C16"/>
    <mergeCell ref="F16:G16"/>
    <mergeCell ref="F17:G17"/>
    <mergeCell ref="F15:G15"/>
    <mergeCell ref="A36:I36"/>
    <mergeCell ref="B38:D38"/>
    <mergeCell ref="F18:G18"/>
  </mergeCells>
  <conditionalFormatting sqref="E31:E35 C20:D35">
    <cfRule type="containsErrors" dxfId="168" priority="104" stopIfTrue="1">
      <formula>ISERROR(C20)</formula>
    </cfRule>
  </conditionalFormatting>
  <conditionalFormatting sqref="D14:D17">
    <cfRule type="containsErrors" dxfId="167" priority="81">
      <formula>ISERROR(D14)</formula>
    </cfRule>
  </conditionalFormatting>
  <conditionalFormatting sqref="H31:H35">
    <cfRule type="expression" dxfId="166" priority="61">
      <formula>#REF!="no"</formula>
    </cfRule>
  </conditionalFormatting>
  <conditionalFormatting sqref="F31:G35">
    <cfRule type="expression" dxfId="165" priority="60">
      <formula>#REF!="no"</formula>
    </cfRule>
  </conditionalFormatting>
  <conditionalFormatting sqref="F19:H19">
    <cfRule type="expression" dxfId="164" priority="26" stopIfTrue="1">
      <formula>$H$17="no"</formula>
    </cfRule>
  </conditionalFormatting>
  <conditionalFormatting sqref="F18:H18">
    <cfRule type="expression" dxfId="163" priority="25" stopIfTrue="1">
      <formula>$H$17="no"</formula>
    </cfRule>
  </conditionalFormatting>
  <conditionalFormatting sqref="H40:H42">
    <cfRule type="containsText" dxfId="162" priority="22" operator="containsText" text="No cumple">
      <formula>NOT(ISERROR(SEARCH("No cumple",H40)))</formula>
    </cfRule>
    <cfRule type="containsText" dxfId="161" priority="23" operator="containsText" text="Cumple">
      <formula>NOT(ISERROR(SEARCH("Cumple",H40)))</formula>
    </cfRule>
  </conditionalFormatting>
  <conditionalFormatting sqref="B42">
    <cfRule type="cellIs" dxfId="160" priority="17" operator="equal">
      <formula>""""""</formula>
    </cfRule>
  </conditionalFormatting>
  <conditionalFormatting sqref="B42:C42 E42:F42">
    <cfRule type="expression" dxfId="159" priority="16">
      <formula>OR($H$6="Columna",$H$6="Viga-columna")</formula>
    </cfRule>
  </conditionalFormatting>
  <conditionalFormatting sqref="C40:C42 F40:F42">
    <cfRule type="containsErrors" dxfId="158" priority="15">
      <formula>ISERROR(C40)</formula>
    </cfRule>
  </conditionalFormatting>
  <conditionalFormatting sqref="F20:H20">
    <cfRule type="expression" dxfId="157" priority="13" stopIfTrue="1">
      <formula>$H$17="no"</formula>
    </cfRule>
  </conditionalFormatting>
  <conditionalFormatting sqref="H46">
    <cfRule type="expression" dxfId="156" priority="5">
      <formula>$H$46=""</formula>
    </cfRule>
    <cfRule type="containsText" dxfId="155" priority="8" operator="containsText" text="No cumple">
      <formula>NOT(ISERROR(SEARCH("No cumple",H46)))</formula>
    </cfRule>
    <cfRule type="containsText" dxfId="154" priority="9" operator="containsText" text="Cumple">
      <formula>NOT(ISERROR(SEARCH("Cumple",H46)))</formula>
    </cfRule>
  </conditionalFormatting>
  <conditionalFormatting sqref="B46:C46 E46:F46">
    <cfRule type="expression" dxfId="153" priority="4">
      <formula>$C$46=""</formula>
    </cfRule>
  </conditionalFormatting>
  <conditionalFormatting sqref="B49">
    <cfRule type="containsText" dxfId="152" priority="2" operator="containsText" text="No cumple">
      <formula>NOT(ISERROR(SEARCH("No cumple",B49)))</formula>
    </cfRule>
    <cfRule type="containsText" dxfId="151" priority="3" operator="containsText" text="Cumple">
      <formula>NOT(ISERROR(SEARCH("Cumple",B49)))</formula>
    </cfRule>
  </conditionalFormatting>
  <conditionalFormatting sqref="B49:H51">
    <cfRule type="containsErrors" dxfId="150" priority="1">
      <formula>ISERROR(B49)</formula>
    </cfRule>
  </conditionalFormatting>
  <dataValidations count="5">
    <dataValidation type="list" errorStyle="warning" allowBlank="1" showInputMessage="1" showErrorMessage="1" error="Verificar tipo de perfil " prompt="Seleccionar tipo de perfil " sqref="H3:I4">
      <formula1>INDIRECT(D3)</formula1>
    </dataValidation>
    <dataValidation type="list" allowBlank="1" showInputMessage="1" showErrorMessage="1" sqref="H16:H17">
      <formula1>"si, no"</formula1>
    </dataValidation>
    <dataValidation type="list" allowBlank="1" showInputMessage="1" showErrorMessage="1" sqref="H6">
      <formula1>"Columna,Viga,Viga-Columna"</formula1>
    </dataValidation>
    <dataValidation type="list" allowBlank="1" showInputMessage="1" showErrorMessage="1" sqref="C3:C4">
      <formula1>TIPO</formula1>
    </dataValidation>
    <dataValidation type="list" errorStyle="warning" allowBlank="1" showInputMessage="1" showErrorMessage="1" error="Verificar tipo de perfil " prompt="Seleccionar tipo de perfil " sqref="E3:G4">
      <formula1>INDIRECT(C3)</formula1>
    </dataValidation>
  </dataValidations>
  <pageMargins left="0.7" right="0.7" top="0.75" bottom="0.75" header="0.3" footer="0.3"/>
  <pageSetup paperSize="9" scale="53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'Datos genericos columnas'!$A$2:$A$3</xm:f>
          </x14:formula1>
          <xm:sqref>D10</xm:sqref>
        </x14:dataValidation>
        <x14:dataValidation type="list" allowBlank="1" showInputMessage="1" showErrorMessage="1">
          <x14:formula1>
            <xm:f>'Datos genericos columnas'!$C$2:$C$4</xm:f>
          </x14:formula1>
          <xm:sqref>E5</xm:sqref>
        </x14:dataValidation>
        <x14:dataValidation type="list" allowBlank="1" showInputMessage="1" showErrorMessage="1">
          <x14:formula1>
            <xm:f>'Datos genericos riostras'!$AY$2:$AY$9</xm:f>
          </x14:formula1>
          <xm:sqref>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3857F0"/>
  </sheetPr>
  <dimension ref="A1:Z387"/>
  <sheetViews>
    <sheetView view="pageBreakPreview" topLeftCell="A31" zoomScale="85" zoomScaleNormal="80" zoomScaleSheetLayoutView="85" zoomScalePageLayoutView="70" workbookViewId="0">
      <selection activeCell="H45" sqref="H45"/>
    </sheetView>
  </sheetViews>
  <sheetFormatPr baseColWidth="10" defaultColWidth="11.42578125" defaultRowHeight="14.25" x14ac:dyDescent="0.2"/>
  <cols>
    <col min="1" max="1" width="11.7109375" style="4" customWidth="1"/>
    <col min="2" max="2" width="13" style="4" customWidth="1"/>
    <col min="3" max="3" width="13.7109375" style="4" bestFit="1" customWidth="1"/>
    <col min="4" max="4" width="13.140625" style="4" customWidth="1"/>
    <col min="5" max="5" width="12" style="4" customWidth="1"/>
    <col min="6" max="6" width="13" style="4" customWidth="1"/>
    <col min="7" max="7" width="14.140625" style="4" customWidth="1"/>
    <col min="8" max="8" width="14.42578125" style="4" customWidth="1"/>
    <col min="9" max="9" width="16.85546875" style="4" customWidth="1"/>
    <col min="10" max="16384" width="11.42578125" style="4"/>
  </cols>
  <sheetData>
    <row r="1" spans="1:26" ht="15.75" x14ac:dyDescent="0.25">
      <c r="A1" s="574" t="s">
        <v>2519</v>
      </c>
      <c r="B1" s="574"/>
      <c r="C1" s="574"/>
      <c r="D1" s="574"/>
      <c r="E1" s="488"/>
      <c r="F1" s="488"/>
      <c r="G1" s="488"/>
      <c r="H1" s="488"/>
      <c r="I1" s="488"/>
    </row>
    <row r="2" spans="1:26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26" ht="15" customHeight="1" x14ac:dyDescent="0.2">
      <c r="A3" s="42" t="s">
        <v>1131</v>
      </c>
      <c r="B3" s="578" t="s">
        <v>77</v>
      </c>
      <c r="C3" s="579"/>
      <c r="D3" s="580"/>
      <c r="E3" s="575" t="s">
        <v>659</v>
      </c>
      <c r="F3" s="576"/>
      <c r="G3" s="576"/>
      <c r="H3" s="576"/>
      <c r="I3" s="577"/>
    </row>
    <row r="4" spans="1:26" ht="15" customHeight="1" x14ac:dyDescent="0.2">
      <c r="A4" s="42" t="s">
        <v>1132</v>
      </c>
      <c r="B4" s="578" t="s">
        <v>77</v>
      </c>
      <c r="C4" s="579"/>
      <c r="D4" s="580"/>
      <c r="E4" s="575" t="s">
        <v>683</v>
      </c>
      <c r="F4" s="576"/>
      <c r="G4" s="576"/>
      <c r="H4" s="576"/>
      <c r="I4" s="577"/>
    </row>
    <row r="5" spans="1:26" ht="15" x14ac:dyDescent="0.2">
      <c r="A5" s="581" t="s">
        <v>208</v>
      </c>
      <c r="B5" s="582"/>
      <c r="C5" s="582"/>
      <c r="D5" s="583"/>
      <c r="E5" s="47" t="s">
        <v>78</v>
      </c>
      <c r="F5" s="581" t="s">
        <v>1133</v>
      </c>
      <c r="G5" s="582"/>
      <c r="H5" s="583"/>
      <c r="I5" s="380" t="s">
        <v>1134</v>
      </c>
    </row>
    <row r="6" spans="1:26" x14ac:dyDescent="0.2">
      <c r="A6" s="6"/>
      <c r="B6" s="6"/>
      <c r="C6" s="6"/>
      <c r="D6" s="6"/>
      <c r="E6" s="6"/>
      <c r="F6" s="6"/>
      <c r="G6" s="6"/>
      <c r="H6" s="6"/>
      <c r="I6" s="6"/>
    </row>
    <row r="7" spans="1:26" x14ac:dyDescent="0.2">
      <c r="A7" s="6"/>
      <c r="B7" s="490" t="s">
        <v>216</v>
      </c>
      <c r="C7" s="490"/>
      <c r="D7" s="86">
        <v>200000</v>
      </c>
      <c r="E7" s="92"/>
      <c r="F7" s="639" t="s">
        <v>1165</v>
      </c>
      <c r="G7" s="639"/>
      <c r="H7" s="639"/>
      <c r="I7" s="6"/>
    </row>
    <row r="8" spans="1:26" x14ac:dyDescent="0.2">
      <c r="A8" s="6"/>
      <c r="B8" s="524" t="s">
        <v>1138</v>
      </c>
      <c r="C8" s="525"/>
      <c r="D8" s="84">
        <v>350</v>
      </c>
      <c r="E8" s="262"/>
      <c r="F8" s="637" t="s">
        <v>1207</v>
      </c>
      <c r="G8" s="638"/>
      <c r="H8" s="84">
        <v>1</v>
      </c>
      <c r="I8" s="383" t="str">
        <f>IF(((1.2*(H41*H43*H44))+(H42*H43*H44)+MIN(((2*1.1*((D23/1000000)*D9*1000))/(IF(E5="DMI",H45,H46))),(1.25*H47)))&lt;=H8,"",CONCATENATE("No cumple min=",(1.2*(H41*H43*H44))+(H42*H43*H44)+MIN(((2*1.1*((D23/1000000)*D9*1000))/(IF(E5="DMI",H45,H46))),(1.25*H47))))</f>
        <v>No cumple min=199.29</v>
      </c>
    </row>
    <row r="9" spans="1:26" ht="15" customHeight="1" x14ac:dyDescent="0.2">
      <c r="A9" s="6"/>
      <c r="B9" s="524" t="s">
        <v>1139</v>
      </c>
      <c r="C9" s="525"/>
      <c r="D9" s="84">
        <v>350</v>
      </c>
      <c r="E9" s="262"/>
      <c r="F9" s="637" t="s">
        <v>1155</v>
      </c>
      <c r="G9" s="638"/>
      <c r="H9" s="237">
        <v>3</v>
      </c>
      <c r="I9" s="6"/>
    </row>
    <row r="10" spans="1:26" ht="15" x14ac:dyDescent="0.25">
      <c r="A10" s="6"/>
      <c r="B10" s="6"/>
      <c r="C10" s="6"/>
      <c r="D10" s="6"/>
      <c r="E10" s="266"/>
      <c r="F10" s="573" t="s">
        <v>1164</v>
      </c>
      <c r="G10" s="573"/>
      <c r="H10" s="237">
        <v>1</v>
      </c>
      <c r="I10" s="6"/>
    </row>
    <row r="11" spans="1:26" ht="14.25" customHeight="1" x14ac:dyDescent="0.2">
      <c r="A11" s="6"/>
      <c r="B11" s="524" t="s">
        <v>1152</v>
      </c>
      <c r="C11" s="525"/>
      <c r="D11" s="84">
        <v>250</v>
      </c>
      <c r="E11" s="99"/>
      <c r="F11" s="637" t="s">
        <v>1156</v>
      </c>
      <c r="G11" s="638"/>
      <c r="H11" s="235">
        <v>0.75</v>
      </c>
      <c r="I11" s="6"/>
    </row>
    <row r="12" spans="1:26" ht="15" customHeight="1" x14ac:dyDescent="0.2">
      <c r="A12" s="6"/>
      <c r="B12" s="524" t="s">
        <v>1153</v>
      </c>
      <c r="C12" s="525"/>
      <c r="D12" s="43">
        <f>IF(D11=250,58*7,60*7)</f>
        <v>406</v>
      </c>
      <c r="E12" s="99"/>
      <c r="F12" s="637" t="s">
        <v>1167</v>
      </c>
      <c r="G12" s="638"/>
      <c r="H12" s="84">
        <v>300</v>
      </c>
      <c r="I12" s="6"/>
      <c r="Z12" s="4" t="e">
        <f>'Conexiones a corte y momento'!#REF!*('Conexiones a corte y momento'!#REF!/100^3)*(((PI()^2)*('Conexiones a corte y momento'!D7*1000))/((MIN('Conexiones a corte y momento'!#REF!))/SQRT('Datos genericos columnas'!T11))^2)*SQRT(1+(0.078*(('Conexiones a corte y momento'!#REF!)/('Conexiones a corte y momento'!#REF!*74.59))*(((MIN('Conexiones a corte y momento'!#REF!))/(SQRT('Datos genericos columnas'!T11))))^2))</f>
        <v>#REF!</v>
      </c>
    </row>
    <row r="13" spans="1:26" ht="15" customHeight="1" x14ac:dyDescent="0.2">
      <c r="A13" s="6"/>
      <c r="B13" s="6"/>
      <c r="C13" s="6"/>
      <c r="D13" s="6"/>
      <c r="E13" s="99"/>
      <c r="F13" s="637" t="s">
        <v>1168</v>
      </c>
      <c r="G13" s="638"/>
      <c r="H13" s="234">
        <v>0.375</v>
      </c>
      <c r="I13" s="6"/>
    </row>
    <row r="14" spans="1:26" ht="15" customHeight="1" x14ac:dyDescent="0.2">
      <c r="A14" s="6"/>
      <c r="B14" s="626" t="s">
        <v>1151</v>
      </c>
      <c r="C14" s="626"/>
      <c r="D14" s="216">
        <f>IF(D27="Si",VLOOKUP(D26,'Datos genericos conexiones'!A4:B7,2,FALSE),VLOOKUP(D26,'Datos genericos conexiones'!A4:C7,3,FALSE))</f>
        <v>457</v>
      </c>
      <c r="E14" s="99"/>
      <c r="F14" s="612" t="s">
        <v>1176</v>
      </c>
      <c r="G14" s="612"/>
      <c r="H14" s="641">
        <v>40</v>
      </c>
      <c r="I14" s="640" t="str">
        <f>IF(H14&lt;VLOOKUP(H11,'Datos genericos conexiones'!F2:H7,3,FALSE),"No cumple","")</f>
        <v/>
      </c>
    </row>
    <row r="15" spans="1:26" x14ac:dyDescent="0.2">
      <c r="A15" s="6"/>
      <c r="B15" s="643" t="s">
        <v>1150</v>
      </c>
      <c r="C15" s="643"/>
      <c r="D15" s="84"/>
      <c r="E15" s="99"/>
      <c r="F15" s="612"/>
      <c r="G15" s="612"/>
      <c r="H15" s="641"/>
      <c r="I15" s="640"/>
    </row>
    <row r="16" spans="1:26" ht="14.25" customHeight="1" x14ac:dyDescent="0.2">
      <c r="A16" s="6"/>
      <c r="B16" s="6"/>
      <c r="C16" s="6"/>
      <c r="D16" s="6"/>
      <c r="E16" s="99"/>
      <c r="F16" s="612" t="s">
        <v>1189</v>
      </c>
      <c r="G16" s="612"/>
      <c r="H16" s="641">
        <v>40</v>
      </c>
      <c r="I16" s="642" t="str">
        <f>IF(H16&lt;VLOOKUP(H11,'Datos genericos conexiones'!F2:H7,3,FALSE),"No cumple","")</f>
        <v/>
      </c>
    </row>
    <row r="17" spans="1:9" x14ac:dyDescent="0.2">
      <c r="A17" s="6"/>
      <c r="B17" s="6"/>
      <c r="C17" s="217" t="s">
        <v>1135</v>
      </c>
      <c r="D17" s="217" t="s">
        <v>1136</v>
      </c>
      <c r="E17" s="99"/>
      <c r="F17" s="612"/>
      <c r="G17" s="612"/>
      <c r="H17" s="641"/>
      <c r="I17" s="642"/>
    </row>
    <row r="18" spans="1:9" ht="18" x14ac:dyDescent="0.25">
      <c r="A18" s="6"/>
      <c r="B18" s="45" t="s">
        <v>194</v>
      </c>
      <c r="C18" s="219" t="str">
        <f>IF(B3="TUBULAR_CIRCULAR",VLOOKUP($E$3,'Tabla Perfiles tubular'!A1:R360,2,FALSE),"N/A")</f>
        <v>N/A</v>
      </c>
      <c r="D18" s="219" t="str">
        <f>IF(B4="TUBULAR_CIRCULAR",VLOOKUP($E$4,'Tabla Perfiles tubular'!A1:R360,2,FALSE),"N/A")</f>
        <v>N/A</v>
      </c>
      <c r="E18" s="99"/>
      <c r="F18" s="6"/>
      <c r="G18" s="6"/>
      <c r="H18" s="6"/>
      <c r="I18" s="6"/>
    </row>
    <row r="19" spans="1:9" x14ac:dyDescent="0.2">
      <c r="A19" s="6"/>
      <c r="B19" s="43" t="s">
        <v>92</v>
      </c>
      <c r="C19" s="242">
        <f>IF(B3="LAMINADO",VLOOKUP(E3,'Tabla Perfiles laminados'!A4:AB460,2,FALSE),(IF(B3="TUBULAR_RECTANGULAR",VLOOKUP(E3,'Tabla Perfiles tubular'!A260:R360,3,FALSE),IF(B3="TUBULAR_CUADRADO",VLOOKUP(E3,'Tabla Perfiles tubular'!A171:R259,4,FALSE),"N/A"))))</f>
        <v>300</v>
      </c>
      <c r="D19" s="242">
        <f>IF(B4="LAMINADO",VLOOKUP(E4,'Tabla Perfiles laminados'!A4:AB460,2,FALSE),(IF(B4="TUBULAR_RECTANGULAR",VLOOKUP(E4,'Tabla Perfiles tubular'!A260:R360,3,FALSE),IF(B4="TUBULAR_CUADRADO",VLOOKUP(E4,'Tabla Perfiles tubular'!A171:R259,4,FALSE),"N/A"))))</f>
        <v>300</v>
      </c>
      <c r="E19" s="99"/>
      <c r="F19" s="639" t="s">
        <v>1166</v>
      </c>
      <c r="G19" s="639"/>
      <c r="H19" s="639"/>
      <c r="I19" s="6"/>
    </row>
    <row r="20" spans="1:9" x14ac:dyDescent="0.2">
      <c r="A20" s="6"/>
      <c r="B20" s="43" t="str">
        <f>IF(B3="LAMINADO","bf","b")</f>
        <v>bf</v>
      </c>
      <c r="C20" s="242">
        <f>IF(B3="LAMINADO",VLOOKUP(E3,'Tabla Perfiles laminados'!A4:AB460,3,FALSE),(IF(B3="TUBULAR_RECTANGULAR",VLOOKUP(E3,'Tabla Perfiles tubular'!A260:R360,4,FALSE),IF(B3="TUBULAR_CUADRADO",VLOOKUP(E3,'Tabla Perfiles tubular'!A171:R259,4,FALSE),"N/A"))))</f>
        <v>300</v>
      </c>
      <c r="D20" s="242">
        <f>IF(B4="LAMINADO",VLOOKUP(E4,'Tabla Perfiles laminados'!A4:AB460,3,FALSE),(IF(B4="TUBULAR_RECTANGULAR",VLOOKUP(E4,'Tabla Perfiles tubular'!A260:R360,4,FALSE),IF(B4="TUBULAR_CUADRADO",VLOOKUP(E4,'Tabla Perfiles tubular'!A171:R259,4,FALSE),"N/A"))))</f>
        <v>150</v>
      </c>
      <c r="E20" s="6"/>
      <c r="F20" s="637" t="s">
        <v>1137</v>
      </c>
      <c r="G20" s="638"/>
      <c r="H20" s="84">
        <v>4</v>
      </c>
      <c r="I20" s="383" t="str">
        <f>IF((VLOOKUP(E5,'Datos genericos conexiones'!N2:O4,2,FALSE))&lt;=H20,"",CONCATENATE("No cumple min=",(VLOOKUP(E5,'Datos genericos conexiones'!N2:O4,2,FALSE))))</f>
        <v>No cumple min=175.84</v>
      </c>
    </row>
    <row r="21" spans="1:9" x14ac:dyDescent="0.2">
      <c r="A21" s="6"/>
      <c r="B21" s="43" t="s">
        <v>197</v>
      </c>
      <c r="C21" s="242">
        <f>IF(B3="LAMINADO",IF(I5="Patín-alma",VLOOKUP(E3,'Tabla Perfiles laminados'!A4:AB460,4,FALSE),VLOOKUP($E$3,'Tabla Perfiles laminados'!A1:AB460,6,FALSE)),(IF(B3="TUBULAR_RECTANGULAR",VLOOKUP(E3,'Tabla Perfiles tubular'!A260:R360,5,FALSE),IF(B3="TUBULAR_CUADRADO",VLOOKUP(E3,'Tabla Perfiles tubular'!A171:R259,5,FALSE),IF(B3="TUBULAR_CIRCULAR",VLOOKUP(E3,'Tabla Perfiles tubular'!A3:R170,5,FALSE),"N/A")))))</f>
        <v>19</v>
      </c>
      <c r="D21" s="242">
        <f>IF(B4="LAMINADO",IF(I5="Patín-alma",VLOOKUP(E4,'Tabla Perfiles laminados'!A4:AB460,4,FALSE),VLOOKUP($E$4,'Tabla Perfiles laminados'!A1:AB460,6,FALSE)),(IF(B4="TUBULAR_RECTANGULAR",VLOOKUP(E4,'Tabla Perfiles tubular'!A260:R360,5,FALSE),IF(B4="TUBULAR_CUADRADO",VLOOKUP(E4,'Tabla Perfiles tubular'!A171:R259,5,FALSE),IF(B4="TUBULAR_CIRCULAR",VLOOKUP(E4,'Tabla Perfiles tubular'!A3:R170,5,FALSE),"N/A")))))</f>
        <v>10.7</v>
      </c>
      <c r="E21" s="6"/>
      <c r="F21" s="637" t="s">
        <v>1155</v>
      </c>
      <c r="G21" s="638"/>
      <c r="H21" s="237">
        <v>6</v>
      </c>
      <c r="I21" s="268"/>
    </row>
    <row r="22" spans="1:9" ht="18" x14ac:dyDescent="0.25">
      <c r="A22" s="6"/>
      <c r="B22" s="43" t="s">
        <v>221</v>
      </c>
      <c r="C22" s="242">
        <f>IF(B3="LAMINADO",VLOOKUP(E3,'Tabla Perfiles laminados'!A4:AB460,10,FALSE),(IF(B3="TUBULAR_RECTANGULAR",VLOOKUP(E3,'Tabla Perfiles tubular'!A260:R360,7,FALSE),IF(B3="TUBULAR_CUADRADO",VLOOKUP(E3,'Tabla Perfiles tubular'!A171:R259,7,FALSE),IF(B3="TUBULAR_CIRCULAR",VLOOKUP(E3,'Tabla Perfiles tubular'!A3:R170,7,FALSE),"N/A")))))</f>
        <v>149</v>
      </c>
      <c r="D22" s="242">
        <f>IF(B4="LAMINADO",VLOOKUP(E4,'Tabla Perfiles laminados'!A4:AB460,10,FALSE),(IF(B4="TUBULAR_RECTANGULAR",VLOOKUP(E4,'Tabla Perfiles tubular'!A260:R360,7,FALSE),IF(B4="TUBULAR_CUADRADO",VLOOKUP(E4,'Tabla Perfiles tubular'!A171:R259,7,FALSE),IF(B4="TUBULAR_CIRCULAR",VLOOKUP(E4,'Tabla Perfiles tubular'!A3:R170,7,FALSE),"N/A")))))</f>
        <v>53.8</v>
      </c>
      <c r="E22" s="6"/>
      <c r="F22" s="637" t="s">
        <v>1164</v>
      </c>
      <c r="G22" s="638"/>
      <c r="H22" s="237">
        <v>2</v>
      </c>
      <c r="I22" s="6"/>
    </row>
    <row r="23" spans="1:9" x14ac:dyDescent="0.2">
      <c r="A23" s="6"/>
      <c r="B23" s="43" t="s">
        <v>104</v>
      </c>
      <c r="C23" s="265">
        <f>IF(B3="LAMINADO",VLOOKUP(E3,'Tabla Perfiles laminados'!A4:AB460,16,FALSE),(IF(B3="TUBULAR_RECTANGULAR",VLOOKUP(E3,'Tabla Perfiles tubular'!A260:R360,15,FALSE),IF(B3="TUBULAR_CUADRADO",VLOOKUP(E3,'Tabla Perfiles tubular'!A171:R259,15,FALSE),IF(B3="TUBULAR_CIRCULAR",VLOOKUP(E3,'Tabla Perfiles tubular'!A3:R170,15,FALSE),"N/A")))))</f>
        <v>1868</v>
      </c>
      <c r="D23" s="265">
        <f>IF(B4="LAMINADO",VLOOKUP(E4,'Tabla Perfiles laminados'!A4:AB460,16,FALSE),(IF(B4="TUBULAR_RECTANGULAR",VLOOKUP(E4,'Tabla Perfiles tubular'!A260:R360,15,FALSE),IF(B4="TUBULAR_CUADRADO",VLOOKUP(E4,'Tabla Perfiles tubular'!A171:R259,15,FALSE),IF(B4="TUBULAR_CIRCULAR",VLOOKUP(E4,'Tabla Perfiles tubular'!A3:R170,15,FALSE),"N/A")))))</f>
        <v>628</v>
      </c>
      <c r="E23" s="6"/>
      <c r="F23" s="637" t="s">
        <v>1156</v>
      </c>
      <c r="G23" s="638"/>
      <c r="H23" s="235">
        <v>1</v>
      </c>
      <c r="I23" s="6"/>
    </row>
    <row r="24" spans="1:9" ht="14.25" customHeight="1" x14ac:dyDescent="0.2">
      <c r="A24" s="6"/>
      <c r="B24" s="6"/>
      <c r="C24" s="6"/>
      <c r="D24" s="6"/>
      <c r="E24" s="6"/>
      <c r="F24" s="637" t="s">
        <v>1167</v>
      </c>
      <c r="G24" s="638"/>
      <c r="H24" s="84">
        <v>500</v>
      </c>
      <c r="I24" s="6"/>
    </row>
    <row r="25" spans="1:9" x14ac:dyDescent="0.2">
      <c r="A25" s="6"/>
      <c r="B25" s="6"/>
      <c r="C25" s="6"/>
      <c r="D25" s="6"/>
      <c r="E25" s="6"/>
      <c r="F25" s="637" t="s">
        <v>1168</v>
      </c>
      <c r="G25" s="638"/>
      <c r="H25" s="234">
        <v>1</v>
      </c>
      <c r="I25" s="6"/>
    </row>
    <row r="26" spans="1:9" ht="14.25" customHeight="1" x14ac:dyDescent="0.2">
      <c r="A26" s="6"/>
      <c r="B26" s="524" t="s">
        <v>1140</v>
      </c>
      <c r="C26" s="525"/>
      <c r="D26" s="382" t="s">
        <v>1148</v>
      </c>
      <c r="E26" s="6"/>
      <c r="F26" s="644" t="s">
        <v>1176</v>
      </c>
      <c r="G26" s="645"/>
      <c r="H26" s="648">
        <v>50</v>
      </c>
      <c r="I26" s="640" t="str">
        <f>IF(H26&lt;VLOOKUP(H23,'Datos genericos conexiones'!F2:H7,3,FALSE),"No cumple","")</f>
        <v/>
      </c>
    </row>
    <row r="27" spans="1:9" ht="15.75" customHeight="1" x14ac:dyDescent="0.2">
      <c r="A27" s="6"/>
      <c r="B27" s="650" t="s">
        <v>1141</v>
      </c>
      <c r="C27" s="651"/>
      <c r="D27" s="654" t="s">
        <v>1158</v>
      </c>
      <c r="E27" s="6"/>
      <c r="F27" s="646"/>
      <c r="G27" s="647"/>
      <c r="H27" s="649"/>
      <c r="I27" s="640"/>
    </row>
    <row r="28" spans="1:9" ht="15" customHeight="1" x14ac:dyDescent="0.2">
      <c r="A28" s="6"/>
      <c r="B28" s="652"/>
      <c r="C28" s="653"/>
      <c r="D28" s="655"/>
      <c r="E28" s="6"/>
      <c r="F28" s="644" t="s">
        <v>1189</v>
      </c>
      <c r="G28" s="645"/>
      <c r="H28" s="648">
        <v>50</v>
      </c>
      <c r="I28" s="642" t="str">
        <f>IF(H28&lt;VLOOKUP(H23,'Datos genericos conexiones'!F2:H7,3,FALSE),"No cumple","")</f>
        <v/>
      </c>
    </row>
    <row r="29" spans="1:9" x14ac:dyDescent="0.2">
      <c r="A29" s="6"/>
      <c r="B29" s="6"/>
      <c r="C29" s="6"/>
      <c r="D29" s="6"/>
      <c r="E29" s="6"/>
      <c r="F29" s="646"/>
      <c r="G29" s="647"/>
      <c r="H29" s="649"/>
      <c r="I29" s="642"/>
    </row>
    <row r="30" spans="1:9" x14ac:dyDescent="0.2">
      <c r="A30" s="6"/>
      <c r="B30" s="6"/>
      <c r="C30" s="6"/>
      <c r="D30" s="6"/>
      <c r="E30" s="6"/>
      <c r="F30" s="6"/>
      <c r="G30" s="6"/>
      <c r="H30" s="6"/>
      <c r="I30" s="6"/>
    </row>
    <row r="31" spans="1:9" x14ac:dyDescent="0.2">
      <c r="A31" s="6"/>
      <c r="B31" s="6"/>
      <c r="C31" s="6"/>
      <c r="D31" s="6"/>
      <c r="E31" s="6"/>
      <c r="F31" s="526" t="s">
        <v>1177</v>
      </c>
      <c r="G31" s="601"/>
      <c r="H31" s="527"/>
      <c r="I31" s="6"/>
    </row>
    <row r="32" spans="1:9" x14ac:dyDescent="0.2">
      <c r="A32" s="6"/>
      <c r="B32" s="6"/>
      <c r="C32" s="6"/>
      <c r="D32" s="6"/>
      <c r="E32" s="6"/>
      <c r="F32" s="615" t="s">
        <v>1178</v>
      </c>
      <c r="G32" s="616"/>
      <c r="H32" s="85">
        <v>482.6</v>
      </c>
      <c r="I32" s="6"/>
    </row>
    <row r="33" spans="1:9" ht="18.75" x14ac:dyDescent="0.35">
      <c r="A33" s="6"/>
      <c r="B33" s="6"/>
      <c r="C33" s="6"/>
      <c r="D33" s="6"/>
      <c r="E33" s="6"/>
      <c r="F33" s="615" t="s">
        <v>1185</v>
      </c>
      <c r="G33" s="616"/>
      <c r="H33" s="84">
        <v>0</v>
      </c>
      <c r="I33" s="6"/>
    </row>
    <row r="34" spans="1:9" ht="18.75" x14ac:dyDescent="0.35">
      <c r="A34" s="6"/>
      <c r="B34" s="6"/>
      <c r="C34" s="6"/>
      <c r="D34" s="6"/>
      <c r="E34" s="6"/>
      <c r="F34" s="615" t="s">
        <v>1184</v>
      </c>
      <c r="G34" s="616"/>
      <c r="H34" s="84">
        <v>0</v>
      </c>
      <c r="I34" s="6"/>
    </row>
    <row r="35" spans="1:9" x14ac:dyDescent="0.2">
      <c r="A35" s="6"/>
      <c r="B35" s="6"/>
      <c r="C35" s="6"/>
      <c r="D35" s="6"/>
      <c r="E35" s="6"/>
      <c r="F35" s="615" t="s">
        <v>2512</v>
      </c>
      <c r="G35" s="616"/>
      <c r="H35" s="84">
        <v>6</v>
      </c>
      <c r="I35" s="241" t="str">
        <f>IF(H35&lt;(IF(MIN('Conexiones a corte y momento'!H13*25.4,'Conexiones a corte y momento'!C21)&lt;'Datos genericos conexiones'!K3,'Datos genericos conexiones'!L3,IF(MIN('Conexiones a corte y momento'!H13*25.4,'Conexiones a corte y momento'!C21)&lt;'Datos genericos conexiones'!K4,'Datos genericos conexiones'!L4,IF(MIN('Conexiones a corte y momento'!H13*25.4,'Conexiones a corte y momento'!C21)&lt;'Datos genericos conexiones'!K5,'Datos genericos conexiones'!L5,IF(MIN('Conexiones a corte y momento'!H13*25.4,'Conexiones a corte y momento'!C21)&gt;'Datos genericos conexiones'!J6,'Datos genericos conexiones'!L6,""))))),"No cumple","")</f>
        <v/>
      </c>
    </row>
    <row r="36" spans="1:9" x14ac:dyDescent="0.2">
      <c r="A36" s="6"/>
      <c r="B36" s="6"/>
      <c r="C36" s="6"/>
      <c r="D36" s="6"/>
      <c r="E36" s="6"/>
      <c r="F36" s="615" t="s">
        <v>2513</v>
      </c>
      <c r="G36" s="616"/>
      <c r="H36" s="84">
        <v>12</v>
      </c>
      <c r="I36" s="241" t="str">
        <f>IF(H36&lt;(IF(MIN('Conexiones a corte y momento'!H13*25.4,'Conexiones a corte y momento'!C21)&lt;'Datos genericos conexiones'!K3,'Datos genericos conexiones'!L3,IF(MIN('Conexiones a corte y momento'!H13*25.4,'Conexiones a corte y momento'!C21)&lt;'Datos genericos conexiones'!K4,'Datos genericos conexiones'!L4,IF(MIN('Conexiones a corte y momento'!H13*25.4,'Conexiones a corte y momento'!C21)&lt;'Datos genericos conexiones'!K5,'Datos genericos conexiones'!L5,IF(MIN('Conexiones a corte y momento'!H13*25.4,'Conexiones a corte y momento'!C21)&gt;'Datos genericos conexiones'!J6,'Datos genericos conexiones'!L6,""))))),"No cumple","")</f>
        <v/>
      </c>
    </row>
    <row r="37" spans="1:9" x14ac:dyDescent="0.2">
      <c r="A37" s="6"/>
      <c r="B37" s="6"/>
      <c r="C37" s="6"/>
      <c r="D37" s="6"/>
      <c r="E37" s="6"/>
      <c r="F37" s="627" t="str">
        <f>IF(I35="No cumple",CONCATENATE("W Minimo conexión a cortante ",IF(I35="No cumple",(IF(MIN('Conexiones a corte y momento'!H13*25.4,'Conexiones a corte y momento'!H25*25.4)&lt;'Datos genericos conexiones'!K3,'Datos genericos conexiones'!L3,IF(MIN('Conexiones a corte y momento'!H13*25.4,'Conexiones a corte y momento'!H25*25.4)&lt;'Datos genericos conexiones'!K4,'Datos genericos conexiones'!L4,IF(MIN('Conexiones a corte y momento'!H13*25.4,'Conexiones a corte y momento'!H25*25.4)&lt;'Datos genericos conexiones'!K5,'Datos genericos conexiones'!L5,IF(MIN('Conexiones a corte y momento'!H13*25.4,'Conexiones a corte y momento'!H25*25.4)&gt;'Datos genericos conexiones'!J6,'Datos genericos conexiones'!L6,""))))),""),"mm"),"")</f>
        <v/>
      </c>
      <c r="G37" s="627"/>
      <c r="H37" s="627"/>
      <c r="I37" s="6"/>
    </row>
    <row r="38" spans="1:9" x14ac:dyDescent="0.2">
      <c r="A38" s="6"/>
      <c r="B38" s="6"/>
      <c r="C38" s="6"/>
      <c r="D38" s="6"/>
      <c r="E38" s="6"/>
      <c r="F38" s="634" t="str">
        <f>IF(I36="No cumple",CONCATENATE("W Minimo conexión a momento ",IF(I36="No cumple",(IF(MIN('Conexiones a corte y momento'!H25*25.4,'Conexiones a corte y momento'!H25*25.4)&lt;'Datos genericos conexiones'!K3,'Datos genericos conexiones'!L3,IF(MIN('Conexiones a corte y momento'!H25*25.4,'Conexiones a corte y momento'!H25*25.4)&lt;'Datos genericos conexiones'!K4,'Datos genericos conexiones'!L4,IF(MIN('Conexiones a corte y momento'!H25*25.4,'Conexiones a corte y momento'!H25*25.4)&lt;'Datos genericos conexiones'!K5,'Datos genericos conexiones'!L5,IF(MIN('Conexiones a corte y momento'!H25*25.4,'Conexiones a corte y momento'!H25*25.4)&gt;'Datos genericos conexiones'!J6,'Datos genericos conexiones'!L6,""))))),""),"mm"),"")</f>
        <v/>
      </c>
      <c r="G38" s="634"/>
      <c r="H38" s="634"/>
      <c r="I38" s="6"/>
    </row>
    <row r="39" spans="1:9" x14ac:dyDescent="0.2">
      <c r="A39" s="6"/>
      <c r="B39" s="6"/>
      <c r="C39" s="6"/>
      <c r="D39" s="6"/>
      <c r="E39" s="6"/>
      <c r="F39" s="6"/>
      <c r="G39" s="6"/>
      <c r="H39" s="6"/>
      <c r="I39" s="6"/>
    </row>
    <row r="40" spans="1:9" x14ac:dyDescent="0.2">
      <c r="A40" s="6"/>
      <c r="B40" s="6"/>
      <c r="C40" s="6"/>
      <c r="D40" s="6"/>
      <c r="E40" s="6"/>
      <c r="F40" s="526" t="s">
        <v>1209</v>
      </c>
      <c r="G40" s="601"/>
      <c r="H40" s="527"/>
      <c r="I40" s="6"/>
    </row>
    <row r="41" spans="1:9" x14ac:dyDescent="0.2">
      <c r="A41" s="6"/>
      <c r="B41" s="6"/>
      <c r="C41" s="6"/>
      <c r="D41" s="6"/>
      <c r="E41" s="6"/>
      <c r="F41" s="615" t="s">
        <v>1201</v>
      </c>
      <c r="G41" s="616"/>
      <c r="H41" s="385">
        <v>4</v>
      </c>
      <c r="I41" s="6"/>
    </row>
    <row r="42" spans="1:9" x14ac:dyDescent="0.2">
      <c r="A42" s="6"/>
      <c r="B42" s="6"/>
      <c r="C42" s="6"/>
      <c r="D42" s="6"/>
      <c r="E42" s="6"/>
      <c r="F42" s="615" t="s">
        <v>1202</v>
      </c>
      <c r="G42" s="616"/>
      <c r="H42" s="385">
        <v>5</v>
      </c>
      <c r="I42" s="6"/>
    </row>
    <row r="43" spans="1:9" x14ac:dyDescent="0.2">
      <c r="A43" s="6"/>
      <c r="B43" s="6"/>
      <c r="C43" s="6"/>
      <c r="D43" s="6"/>
      <c r="E43" s="6"/>
      <c r="F43" s="614" t="s">
        <v>1203</v>
      </c>
      <c r="G43" s="614"/>
      <c r="H43" s="264">
        <v>2</v>
      </c>
      <c r="I43" s="6"/>
    </row>
    <row r="44" spans="1:9" x14ac:dyDescent="0.2">
      <c r="A44" s="6"/>
      <c r="B44" s="6"/>
      <c r="C44" s="6"/>
      <c r="D44" s="6"/>
      <c r="E44" s="6"/>
      <c r="F44" s="614" t="s">
        <v>1204</v>
      </c>
      <c r="G44" s="614"/>
      <c r="H44" s="264">
        <v>4</v>
      </c>
      <c r="I44" s="6"/>
    </row>
    <row r="45" spans="1:9" x14ac:dyDescent="0.2">
      <c r="A45" s="6"/>
      <c r="B45" s="6"/>
      <c r="C45" s="6"/>
      <c r="D45" s="6"/>
      <c r="E45" s="6"/>
      <c r="F45" s="614" t="s">
        <v>1205</v>
      </c>
      <c r="G45" s="614"/>
      <c r="H45" s="264">
        <v>6</v>
      </c>
      <c r="I45" s="6"/>
    </row>
    <row r="46" spans="1:9" x14ac:dyDescent="0.2">
      <c r="A46" s="6"/>
      <c r="B46" s="6"/>
      <c r="C46" s="6"/>
      <c r="D46" s="6"/>
      <c r="E46" s="6"/>
      <c r="F46" s="614" t="s">
        <v>1206</v>
      </c>
      <c r="G46" s="614"/>
      <c r="H46" s="264">
        <v>4</v>
      </c>
      <c r="I46" s="6"/>
    </row>
    <row r="47" spans="1:9" x14ac:dyDescent="0.2">
      <c r="A47" s="6"/>
      <c r="B47" s="6"/>
      <c r="C47" s="6"/>
      <c r="D47" s="6"/>
      <c r="E47" s="6"/>
      <c r="F47" s="614" t="s">
        <v>1208</v>
      </c>
      <c r="G47" s="614"/>
      <c r="H47" s="267">
        <v>100</v>
      </c>
      <c r="I47" s="6"/>
    </row>
    <row r="48" spans="1:9" x14ac:dyDescent="0.2">
      <c r="A48" s="6"/>
      <c r="B48" s="6"/>
      <c r="C48" s="6"/>
      <c r="D48" s="6"/>
      <c r="E48" s="6"/>
      <c r="F48" s="6"/>
      <c r="G48" s="6"/>
      <c r="H48" s="6"/>
      <c r="I48" s="6"/>
    </row>
    <row r="49" spans="1:9" ht="15.75" x14ac:dyDescent="0.2">
      <c r="A49" s="519" t="s">
        <v>1186</v>
      </c>
      <c r="B49" s="520"/>
      <c r="C49" s="520"/>
      <c r="D49" s="520"/>
      <c r="E49" s="520"/>
      <c r="F49" s="520"/>
      <c r="G49" s="520"/>
      <c r="H49" s="520"/>
      <c r="I49" s="521"/>
    </row>
    <row r="50" spans="1:9" ht="15" x14ac:dyDescent="0.2">
      <c r="A50" s="630" t="s">
        <v>1159</v>
      </c>
      <c r="B50" s="631"/>
      <c r="C50" s="631"/>
      <c r="D50" s="631"/>
      <c r="E50" s="631"/>
      <c r="F50" s="631"/>
      <c r="G50" s="631"/>
      <c r="H50" s="631"/>
      <c r="I50" s="632"/>
    </row>
    <row r="51" spans="1:9" x14ac:dyDescent="0.2">
      <c r="A51" s="6"/>
      <c r="B51" s="6"/>
      <c r="C51" s="6"/>
      <c r="D51" s="6"/>
      <c r="E51" s="6"/>
      <c r="F51" s="6"/>
      <c r="G51" s="6"/>
      <c r="H51" s="6"/>
      <c r="I51" s="6"/>
    </row>
    <row r="52" spans="1:9" ht="15" customHeight="1" x14ac:dyDescent="0.2">
      <c r="A52" s="148"/>
      <c r="B52" s="490" t="s">
        <v>1172</v>
      </c>
      <c r="C52" s="623">
        <f>((0.75*D14*(((H11*25.4)^2)*(PI()/4)))/1000)*H9</f>
        <v>293.07485552737609</v>
      </c>
      <c r="D52" s="625" t="s">
        <v>1157</v>
      </c>
      <c r="E52" s="633" t="s">
        <v>1094</v>
      </c>
      <c r="F52" s="623">
        <f>+H8</f>
        <v>1</v>
      </c>
      <c r="G52" s="231"/>
      <c r="H52" s="490" t="str">
        <f>+IF(C52&gt;=F52,"Cumple","No cumple")</f>
        <v>Cumple</v>
      </c>
      <c r="I52" s="5"/>
    </row>
    <row r="53" spans="1:9" x14ac:dyDescent="0.2">
      <c r="A53" s="148"/>
      <c r="B53" s="490"/>
      <c r="C53" s="624"/>
      <c r="D53" s="625"/>
      <c r="E53" s="633"/>
      <c r="F53" s="624"/>
      <c r="H53" s="490"/>
      <c r="I53" s="5"/>
    </row>
    <row r="54" spans="1:9" ht="15" x14ac:dyDescent="0.25">
      <c r="A54" s="223"/>
      <c r="B54" s="87"/>
      <c r="C54" s="233"/>
      <c r="D54" s="233"/>
      <c r="E54" s="233"/>
      <c r="F54" s="233"/>
      <c r="G54" s="233"/>
      <c r="H54" s="233"/>
      <c r="I54" s="233"/>
    </row>
    <row r="55" spans="1:9" ht="15" x14ac:dyDescent="0.2">
      <c r="A55" s="630" t="s">
        <v>1160</v>
      </c>
      <c r="B55" s="631"/>
      <c r="C55" s="631"/>
      <c r="D55" s="631"/>
      <c r="E55" s="631"/>
      <c r="F55" s="631"/>
      <c r="G55" s="631"/>
      <c r="H55" s="631"/>
      <c r="I55" s="632"/>
    </row>
    <row r="56" spans="1:9" ht="15" x14ac:dyDescent="0.25">
      <c r="A56" s="233"/>
      <c r="B56" s="233"/>
      <c r="C56" s="233"/>
      <c r="D56" s="233"/>
      <c r="E56" s="233"/>
      <c r="F56" s="5"/>
      <c r="G56" s="5"/>
      <c r="H56" s="5"/>
      <c r="I56" s="5"/>
    </row>
    <row r="57" spans="1:9" s="6" customFormat="1" x14ac:dyDescent="0.2">
      <c r="A57" s="5"/>
      <c r="B57" s="626" t="s">
        <v>1162</v>
      </c>
      <c r="C57" s="628">
        <f>(3*H11*25.4*((H9/H10)-1))+(2*VLOOKUP(H11,'Datos genericos conexiones'!F2:H7,3,FALSE))</f>
        <v>165.1</v>
      </c>
      <c r="D57" s="635" t="s">
        <v>1043</v>
      </c>
      <c r="E57" s="490" t="s">
        <v>1163</v>
      </c>
      <c r="F57" s="628">
        <f>+H12</f>
        <v>300</v>
      </c>
      <c r="G57" s="239"/>
      <c r="H57" s="490" t="str">
        <f>+IF(C57&lt;=F57,"Cumple","No cumple")</f>
        <v>Cumple</v>
      </c>
      <c r="I57" s="5"/>
    </row>
    <row r="58" spans="1:9" s="6" customFormat="1" x14ac:dyDescent="0.2">
      <c r="A58" s="148"/>
      <c r="B58" s="626"/>
      <c r="C58" s="629"/>
      <c r="D58" s="636"/>
      <c r="E58" s="490"/>
      <c r="F58" s="629"/>
      <c r="G58" s="240"/>
      <c r="H58" s="490"/>
      <c r="I58" s="5"/>
    </row>
    <row r="59" spans="1:9" s="6" customFormat="1" x14ac:dyDescent="0.2">
      <c r="A59" s="148"/>
      <c r="B59" s="148"/>
      <c r="C59" s="148"/>
      <c r="D59" s="99"/>
      <c r="E59" s="99"/>
      <c r="F59" s="99"/>
      <c r="G59" s="99"/>
      <c r="H59" s="99"/>
      <c r="I59" s="99"/>
    </row>
    <row r="60" spans="1:9" s="6" customFormat="1" x14ac:dyDescent="0.2">
      <c r="A60" s="87"/>
      <c r="B60" s="87"/>
      <c r="C60" s="87"/>
      <c r="D60" s="99"/>
      <c r="E60" s="99"/>
      <c r="F60" s="99"/>
      <c r="G60" s="5"/>
      <c r="H60" s="5"/>
      <c r="I60" s="5"/>
    </row>
    <row r="61" spans="1:9" s="6" customFormat="1" ht="14.25" customHeight="1" x14ac:dyDescent="0.2">
      <c r="A61" s="87"/>
      <c r="B61" s="626" t="s">
        <v>1173</v>
      </c>
      <c r="C61" s="623">
        <f>0.6*D11*(F57*(H13*25.4))/1000</f>
        <v>428.62499999999994</v>
      </c>
      <c r="D61" s="625" t="s">
        <v>1157</v>
      </c>
      <c r="E61" s="633" t="s">
        <v>1094</v>
      </c>
      <c r="F61" s="623">
        <f>+H8</f>
        <v>1</v>
      </c>
      <c r="G61" s="239"/>
      <c r="H61" s="490" t="str">
        <f>+IF(C61&gt;=F61,"Cumple","No cumple")</f>
        <v>Cumple</v>
      </c>
      <c r="I61" s="5"/>
    </row>
    <row r="62" spans="1:9" s="6" customFormat="1" ht="15" x14ac:dyDescent="0.25">
      <c r="A62" s="233"/>
      <c r="B62" s="626"/>
      <c r="C62" s="624"/>
      <c r="D62" s="625"/>
      <c r="E62" s="633"/>
      <c r="F62" s="624"/>
      <c r="G62" s="240"/>
      <c r="H62" s="490"/>
      <c r="I62" s="5"/>
    </row>
    <row r="63" spans="1:9" s="6" customFormat="1" x14ac:dyDescent="0.2">
      <c r="A63" s="5"/>
      <c r="B63" s="5"/>
      <c r="C63" s="5"/>
      <c r="D63" s="99"/>
      <c r="E63" s="99"/>
      <c r="F63" s="99"/>
      <c r="G63" s="232"/>
      <c r="H63" s="5"/>
      <c r="I63" s="5"/>
    </row>
    <row r="64" spans="1:9" ht="15" x14ac:dyDescent="0.2">
      <c r="A64" s="630" t="s">
        <v>1170</v>
      </c>
      <c r="B64" s="631"/>
      <c r="C64" s="631"/>
      <c r="D64" s="631"/>
      <c r="E64" s="631"/>
      <c r="F64" s="631"/>
      <c r="G64" s="631"/>
      <c r="H64" s="631"/>
      <c r="I64" s="632"/>
    </row>
    <row r="65" spans="1:9" s="6" customFormat="1" x14ac:dyDescent="0.2">
      <c r="A65" s="148"/>
      <c r="B65" s="226"/>
      <c r="C65" s="148"/>
      <c r="D65" s="99"/>
      <c r="E65" s="99"/>
      <c r="F65" s="99"/>
      <c r="G65" s="227"/>
      <c r="H65" s="225"/>
      <c r="I65" s="225"/>
    </row>
    <row r="66" spans="1:9" s="6" customFormat="1" x14ac:dyDescent="0.2">
      <c r="A66" s="5"/>
      <c r="B66" s="626" t="s">
        <v>1169</v>
      </c>
      <c r="C66" s="656">
        <f>+(F57-(((H9/H10)*H11*25.4)+(2*(H9/H10))))*H13*25.4</f>
        <v>2255.9962499999997</v>
      </c>
      <c r="D66" s="658"/>
      <c r="E66" s="658"/>
      <c r="F66" s="658"/>
      <c r="G66" s="228"/>
      <c r="H66" s="5"/>
      <c r="I66" s="87"/>
    </row>
    <row r="67" spans="1:9" s="6" customFormat="1" x14ac:dyDescent="0.2">
      <c r="A67" s="99"/>
      <c r="B67" s="626"/>
      <c r="C67" s="657"/>
      <c r="D67" s="658"/>
      <c r="E67" s="658"/>
      <c r="F67" s="658"/>
      <c r="G67" s="5"/>
      <c r="H67" s="5"/>
      <c r="I67" s="87"/>
    </row>
    <row r="68" spans="1:9" s="6" customFormat="1" x14ac:dyDescent="0.2">
      <c r="A68" s="5"/>
      <c r="B68" s="5"/>
      <c r="C68" s="5"/>
      <c r="D68" s="5"/>
      <c r="E68" s="5"/>
      <c r="F68" s="5"/>
      <c r="G68" s="5"/>
      <c r="H68" s="5"/>
      <c r="I68" s="5"/>
    </row>
    <row r="69" spans="1:9" s="6" customFormat="1" ht="15" x14ac:dyDescent="0.25">
      <c r="A69" s="233"/>
      <c r="B69" s="626" t="s">
        <v>1174</v>
      </c>
      <c r="C69" s="623">
        <f>0.75*0.6*D12*C66/1000</f>
        <v>412.17051487499992</v>
      </c>
      <c r="D69" s="625" t="s">
        <v>1157</v>
      </c>
      <c r="E69" s="633" t="s">
        <v>1094</v>
      </c>
      <c r="F69" s="623">
        <f>+H8</f>
        <v>1</v>
      </c>
      <c r="G69" s="239"/>
      <c r="H69" s="490" t="str">
        <f>+IF(C69&gt;=F69,"Cumple","No cumple")</f>
        <v>Cumple</v>
      </c>
      <c r="I69" s="5"/>
    </row>
    <row r="70" spans="1:9" s="6" customFormat="1" ht="14.25" customHeight="1" x14ac:dyDescent="0.2">
      <c r="A70" s="5"/>
      <c r="B70" s="626"/>
      <c r="C70" s="624"/>
      <c r="D70" s="625"/>
      <c r="E70" s="633"/>
      <c r="F70" s="624"/>
      <c r="G70" s="240"/>
      <c r="H70" s="490"/>
      <c r="I70" s="5"/>
    </row>
    <row r="71" spans="1:9" s="6" customFormat="1" x14ac:dyDescent="0.2">
      <c r="A71" s="148"/>
      <c r="B71" s="636"/>
      <c r="C71" s="636"/>
      <c r="D71" s="148"/>
      <c r="E71" s="636"/>
      <c r="F71" s="636"/>
      <c r="G71" s="5"/>
      <c r="H71" s="5"/>
      <c r="I71" s="5"/>
    </row>
    <row r="72" spans="1:9" ht="15" x14ac:dyDescent="0.2">
      <c r="A72" s="630" t="s">
        <v>1171</v>
      </c>
      <c r="B72" s="631"/>
      <c r="C72" s="631"/>
      <c r="D72" s="631"/>
      <c r="E72" s="631"/>
      <c r="F72" s="631"/>
      <c r="G72" s="631"/>
      <c r="H72" s="631"/>
      <c r="I72" s="632"/>
    </row>
    <row r="73" spans="1:9" s="6" customFormat="1" x14ac:dyDescent="0.2">
      <c r="A73" s="148"/>
      <c r="B73" s="163"/>
      <c r="C73" s="163"/>
      <c r="D73" s="148"/>
      <c r="E73" s="229"/>
      <c r="F73" s="5"/>
      <c r="G73" s="87"/>
      <c r="H73" s="87"/>
      <c r="I73" s="5"/>
    </row>
    <row r="74" spans="1:9" s="6" customFormat="1" x14ac:dyDescent="0.2">
      <c r="A74" s="148"/>
      <c r="B74" s="626" t="s">
        <v>1173</v>
      </c>
      <c r="C74" s="623">
        <f>+IF((1.2*(H16)*(H13*25.4)*D12/1000)&lt;=(2.4*(H11*25.4)*(H13*25.4)*D12/1000),(1.2*(H16)*(H13*25.4)*D12/1000),(2.4*(H11*25.4)*(H13*25.4)*D12/1000))</f>
        <v>176.80609799999993</v>
      </c>
      <c r="D74" s="625" t="s">
        <v>1157</v>
      </c>
      <c r="E74" s="633" t="s">
        <v>1094</v>
      </c>
      <c r="F74" s="623">
        <f>+H8/H9</f>
        <v>0.33333333333333331</v>
      </c>
      <c r="G74" s="239"/>
      <c r="H74" s="490" t="str">
        <f>+IF(C74&gt;=F74,"Cumple","No cumple")</f>
        <v>Cumple</v>
      </c>
      <c r="I74" s="5"/>
    </row>
    <row r="75" spans="1:9" s="6" customFormat="1" x14ac:dyDescent="0.2">
      <c r="A75" s="148"/>
      <c r="B75" s="626"/>
      <c r="C75" s="624"/>
      <c r="D75" s="625"/>
      <c r="E75" s="633"/>
      <c r="F75" s="624"/>
      <c r="G75" s="240"/>
      <c r="H75" s="490"/>
      <c r="I75" s="5"/>
    </row>
    <row r="76" spans="1:9" s="6" customFormat="1" x14ac:dyDescent="0.2">
      <c r="A76" s="5"/>
      <c r="B76" s="5"/>
      <c r="C76" s="5"/>
      <c r="D76" s="5"/>
      <c r="E76" s="5"/>
      <c r="F76" s="5"/>
      <c r="G76" s="5"/>
      <c r="H76" s="5"/>
      <c r="I76" s="5"/>
    </row>
    <row r="77" spans="1:9" s="6" customFormat="1" ht="15" x14ac:dyDescent="0.2">
      <c r="A77" s="630" t="s">
        <v>1175</v>
      </c>
      <c r="B77" s="631"/>
      <c r="C77" s="631"/>
      <c r="D77" s="631"/>
      <c r="E77" s="631"/>
      <c r="F77" s="631"/>
      <c r="G77" s="631"/>
      <c r="H77" s="631"/>
      <c r="I77" s="632"/>
    </row>
    <row r="78" spans="1:9" s="6" customFormat="1" x14ac:dyDescent="0.2">
      <c r="A78" s="5"/>
      <c r="B78" s="5"/>
      <c r="C78" s="5"/>
      <c r="D78" s="5"/>
      <c r="E78" s="5"/>
      <c r="F78" s="99"/>
      <c r="G78" s="232"/>
      <c r="H78" s="5"/>
      <c r="I78" s="5"/>
    </row>
    <row r="79" spans="1:9" s="6" customFormat="1" x14ac:dyDescent="0.2">
      <c r="A79" s="148"/>
      <c r="B79" s="626" t="s">
        <v>1173</v>
      </c>
      <c r="C79" s="623">
        <f>0.75*((IF(((0.6*D12*((F57-(((H9/H10)*H11*25.4)+(2*(H9/H10))))*H13*25.4))+(D12*(H14*H13*25.4)))&lt;=(((0.6*D11*(F57*H13*25.4))+(D12*(H14*H13*25.4)))),((0.6*D12*((F57-(((H9/H10)*H11*25.4)+(2*(H9/H10))))*H13*25.4))+(D12*(H14*H13*25.4))),(((0.6*D11*(F57*H13*25.4))+(D12*(H14*H13*25.4))))))/1000)</f>
        <v>437.48325</v>
      </c>
      <c r="D79" s="625" t="s">
        <v>1157</v>
      </c>
      <c r="E79" s="633" t="s">
        <v>1094</v>
      </c>
      <c r="F79" s="623">
        <f>+H8</f>
        <v>1</v>
      </c>
      <c r="G79" s="239"/>
      <c r="H79" s="490" t="str">
        <f>+IF(C79&gt;=F79,"Cumple","No cumple")</f>
        <v>Cumple</v>
      </c>
      <c r="I79" s="5"/>
    </row>
    <row r="80" spans="1:9" s="6" customFormat="1" x14ac:dyDescent="0.2">
      <c r="A80" s="87"/>
      <c r="B80" s="626"/>
      <c r="C80" s="624"/>
      <c r="D80" s="625"/>
      <c r="E80" s="633"/>
      <c r="F80" s="624"/>
      <c r="G80" s="240"/>
      <c r="H80" s="490"/>
      <c r="I80" s="5"/>
    </row>
    <row r="81" spans="1:9" s="6" customFormat="1" x14ac:dyDescent="0.2">
      <c r="A81" s="5"/>
      <c r="B81" s="5"/>
      <c r="C81" s="5"/>
      <c r="D81" s="5"/>
      <c r="E81" s="5"/>
      <c r="F81" s="5"/>
      <c r="G81" s="230"/>
      <c r="H81" s="5"/>
      <c r="I81" s="5"/>
    </row>
    <row r="82" spans="1:9" s="6" customFormat="1" ht="15" x14ac:dyDescent="0.2">
      <c r="A82" s="630" t="s">
        <v>1182</v>
      </c>
      <c r="B82" s="631"/>
      <c r="C82" s="631"/>
      <c r="D82" s="631"/>
      <c r="E82" s="631"/>
      <c r="F82" s="631"/>
      <c r="G82" s="631"/>
      <c r="H82" s="631"/>
      <c r="I82" s="632"/>
    </row>
    <row r="83" spans="1:9" s="6" customFormat="1" x14ac:dyDescent="0.2">
      <c r="A83" s="148"/>
      <c r="B83" s="163"/>
      <c r="C83" s="5"/>
      <c r="D83" s="5"/>
      <c r="E83" s="5"/>
      <c r="F83" s="5"/>
      <c r="G83" s="5"/>
      <c r="H83" s="5"/>
      <c r="I83" s="5"/>
    </row>
    <row r="84" spans="1:9" s="6" customFormat="1" x14ac:dyDescent="0.2">
      <c r="B84" s="626" t="s">
        <v>1180</v>
      </c>
      <c r="C84" s="656">
        <f>(F57)*0.707*H35</f>
        <v>1272.5999999999999</v>
      </c>
    </row>
    <row r="85" spans="1:9" s="6" customFormat="1" x14ac:dyDescent="0.2">
      <c r="B85" s="626"/>
      <c r="C85" s="657"/>
    </row>
    <row r="86" spans="1:9" s="6" customFormat="1" x14ac:dyDescent="0.2"/>
    <row r="87" spans="1:9" s="6" customFormat="1" x14ac:dyDescent="0.2">
      <c r="B87" s="626" t="s">
        <v>1183</v>
      </c>
      <c r="C87" s="623">
        <f>0.6*H32*(1+(0.5*(SIN(RADIANS(H33)))^1.5))</f>
        <v>289.56</v>
      </c>
    </row>
    <row r="88" spans="1:9" s="6" customFormat="1" x14ac:dyDescent="0.2">
      <c r="B88" s="626"/>
      <c r="C88" s="624"/>
    </row>
    <row r="89" spans="1:9" s="6" customFormat="1" x14ac:dyDescent="0.2"/>
    <row r="90" spans="1:9" s="6" customFormat="1" x14ac:dyDescent="0.2">
      <c r="B90" s="626" t="s">
        <v>1173</v>
      </c>
      <c r="C90" s="623">
        <f>0.75*C87*C84/1000</f>
        <v>276.370542</v>
      </c>
      <c r="D90" s="625" t="s">
        <v>1157</v>
      </c>
      <c r="E90" s="633" t="s">
        <v>1094</v>
      </c>
      <c r="F90" s="623">
        <f>+H8</f>
        <v>1</v>
      </c>
      <c r="H90" s="490" t="str">
        <f>+IF(C90&gt;=F90,"Cumple","No cumple")</f>
        <v>Cumple</v>
      </c>
    </row>
    <row r="91" spans="1:9" s="6" customFormat="1" x14ac:dyDescent="0.2">
      <c r="B91" s="626"/>
      <c r="C91" s="624"/>
      <c r="D91" s="625"/>
      <c r="E91" s="633"/>
      <c r="F91" s="624"/>
      <c r="H91" s="490"/>
    </row>
    <row r="92" spans="1:9" s="6" customFormat="1" x14ac:dyDescent="0.2"/>
    <row r="93" spans="1:9" ht="15.75" x14ac:dyDescent="0.2">
      <c r="A93" s="519" t="s">
        <v>1187</v>
      </c>
      <c r="B93" s="520"/>
      <c r="C93" s="520"/>
      <c r="D93" s="520"/>
      <c r="E93" s="520"/>
      <c r="F93" s="520"/>
      <c r="G93" s="520"/>
      <c r="H93" s="520"/>
      <c r="I93" s="521"/>
    </row>
    <row r="94" spans="1:9" ht="15" x14ac:dyDescent="0.2">
      <c r="A94" s="630" t="s">
        <v>1159</v>
      </c>
      <c r="B94" s="631"/>
      <c r="C94" s="631"/>
      <c r="D94" s="631"/>
      <c r="E94" s="631"/>
      <c r="F94" s="631"/>
      <c r="G94" s="631"/>
      <c r="H94" s="631"/>
      <c r="I94" s="632"/>
    </row>
    <row r="95" spans="1:9" x14ac:dyDescent="0.2">
      <c r="A95" s="6"/>
      <c r="B95" s="6"/>
      <c r="C95" s="6"/>
      <c r="D95" s="6"/>
      <c r="E95" s="6"/>
      <c r="F95" s="6"/>
      <c r="G95" s="6"/>
      <c r="H95" s="6"/>
      <c r="I95" s="6"/>
    </row>
    <row r="96" spans="1:9" ht="15" customHeight="1" x14ac:dyDescent="0.2">
      <c r="A96" s="148"/>
      <c r="B96" s="490" t="s">
        <v>1172</v>
      </c>
      <c r="C96" s="623">
        <f>((0.75*D14*(((H23*25.4)^2)*(PI()/4)))/1000)*H21</f>
        <v>1042.043930764004</v>
      </c>
      <c r="D96" s="625" t="s">
        <v>1157</v>
      </c>
      <c r="E96" s="633" t="s">
        <v>1188</v>
      </c>
      <c r="F96" s="623">
        <f>+$H$20/($D$19/1000)</f>
        <v>13.333333333333334</v>
      </c>
      <c r="G96" s="231"/>
      <c r="H96" s="490" t="str">
        <f>+IF(C96&gt;=F96,"Cumple","No cumple")</f>
        <v>Cumple</v>
      </c>
      <c r="I96" s="5"/>
    </row>
    <row r="97" spans="1:9" x14ac:dyDescent="0.2">
      <c r="A97" s="148"/>
      <c r="B97" s="490"/>
      <c r="C97" s="624"/>
      <c r="D97" s="625"/>
      <c r="E97" s="633"/>
      <c r="F97" s="624"/>
      <c r="H97" s="490"/>
      <c r="I97" s="5"/>
    </row>
    <row r="98" spans="1:9" ht="15" x14ac:dyDescent="0.25">
      <c r="A98" s="223"/>
      <c r="B98" s="87"/>
      <c r="C98" s="233"/>
      <c r="D98" s="233"/>
      <c r="E98" s="233"/>
      <c r="F98" s="233"/>
      <c r="G98" s="233"/>
      <c r="H98" s="233"/>
      <c r="I98" s="233"/>
    </row>
    <row r="99" spans="1:9" s="6" customFormat="1" ht="15" x14ac:dyDescent="0.2">
      <c r="A99" s="630" t="s">
        <v>1160</v>
      </c>
      <c r="B99" s="631"/>
      <c r="C99" s="631"/>
      <c r="D99" s="631"/>
      <c r="E99" s="631"/>
      <c r="F99" s="631"/>
      <c r="G99" s="631"/>
      <c r="H99" s="631"/>
      <c r="I99" s="632"/>
    </row>
    <row r="100" spans="1:9" s="6" customFormat="1" ht="15" x14ac:dyDescent="0.25">
      <c r="A100" s="233"/>
      <c r="B100" s="233"/>
      <c r="C100" s="233"/>
      <c r="D100" s="233"/>
      <c r="E100" s="233"/>
      <c r="F100" s="5"/>
      <c r="G100" s="5"/>
      <c r="H100" s="5"/>
      <c r="I100" s="5"/>
    </row>
    <row r="101" spans="1:9" s="6" customFormat="1" x14ac:dyDescent="0.2">
      <c r="A101" s="5"/>
      <c r="B101" s="626" t="s">
        <v>1162</v>
      </c>
      <c r="C101" s="628">
        <f>(3*H23*25.4*((H21/H22)-1))+(2*VLOOKUP(H23,'Datos genericos conexiones'!F2:H7,3,FALSE))</f>
        <v>215.99999999999997</v>
      </c>
      <c r="D101" s="635" t="s">
        <v>1043</v>
      </c>
      <c r="E101" s="490" t="s">
        <v>1163</v>
      </c>
      <c r="F101" s="628">
        <f>+H24</f>
        <v>500</v>
      </c>
      <c r="G101" s="239"/>
      <c r="H101" s="490" t="str">
        <f>+IF(C101&lt;=F101,"Cumple","No cumple")</f>
        <v>Cumple</v>
      </c>
      <c r="I101" s="5"/>
    </row>
    <row r="102" spans="1:9" s="6" customFormat="1" x14ac:dyDescent="0.2">
      <c r="A102" s="224"/>
      <c r="B102" s="626"/>
      <c r="C102" s="629"/>
      <c r="D102" s="636"/>
      <c r="E102" s="490"/>
      <c r="F102" s="629"/>
      <c r="G102" s="240"/>
      <c r="H102" s="490"/>
      <c r="I102" s="5"/>
    </row>
    <row r="103" spans="1:9" s="6" customFormat="1" x14ac:dyDescent="0.2">
      <c r="A103" s="224"/>
      <c r="B103" s="224"/>
      <c r="C103" s="224"/>
      <c r="D103" s="99"/>
      <c r="E103" s="99"/>
      <c r="F103" s="99"/>
      <c r="G103" s="99"/>
      <c r="H103" s="99"/>
      <c r="I103" s="99"/>
    </row>
    <row r="104" spans="1:9" s="6" customFormat="1" x14ac:dyDescent="0.2">
      <c r="A104" s="222"/>
      <c r="B104" s="222"/>
      <c r="C104" s="222"/>
      <c r="D104" s="99"/>
      <c r="E104" s="99"/>
      <c r="F104" s="99"/>
      <c r="G104" s="5"/>
      <c r="H104" s="5"/>
      <c r="I104" s="5"/>
    </row>
    <row r="105" spans="1:9" s="6" customFormat="1" x14ac:dyDescent="0.2">
      <c r="A105" s="222"/>
      <c r="B105" s="626" t="s">
        <v>1173</v>
      </c>
      <c r="C105" s="623">
        <f>0.6*D11*(F101*(H25*25.4))/1000</f>
        <v>1905</v>
      </c>
      <c r="D105" s="625" t="s">
        <v>1157</v>
      </c>
      <c r="E105" s="633" t="s">
        <v>1188</v>
      </c>
      <c r="F105" s="623">
        <f>+$H$20/($D$19/1000)</f>
        <v>13.333333333333334</v>
      </c>
      <c r="G105" s="239"/>
      <c r="H105" s="490" t="str">
        <f>+IF(C105&gt;=F105,"Cumple","No cumple")</f>
        <v>Cumple</v>
      </c>
      <c r="I105" s="5"/>
    </row>
    <row r="106" spans="1:9" s="6" customFormat="1" ht="15" x14ac:dyDescent="0.25">
      <c r="A106" s="233"/>
      <c r="B106" s="626"/>
      <c r="C106" s="624"/>
      <c r="D106" s="625"/>
      <c r="E106" s="633"/>
      <c r="F106" s="624"/>
      <c r="G106" s="240"/>
      <c r="H106" s="490"/>
      <c r="I106" s="5"/>
    </row>
    <row r="107" spans="1:9" s="6" customFormat="1" x14ac:dyDescent="0.2">
      <c r="A107" s="5"/>
      <c r="B107" s="5"/>
      <c r="C107" s="5"/>
      <c r="D107" s="99"/>
      <c r="E107" s="99"/>
      <c r="F107" s="99"/>
      <c r="G107" s="232"/>
      <c r="H107" s="5"/>
      <c r="I107" s="5"/>
    </row>
    <row r="108" spans="1:9" s="6" customFormat="1" ht="15" x14ac:dyDescent="0.2">
      <c r="A108" s="630" t="s">
        <v>1170</v>
      </c>
      <c r="B108" s="631"/>
      <c r="C108" s="631"/>
      <c r="D108" s="631"/>
      <c r="E108" s="631"/>
      <c r="F108" s="631"/>
      <c r="G108" s="631"/>
      <c r="H108" s="631"/>
      <c r="I108" s="632"/>
    </row>
    <row r="109" spans="1:9" s="6" customFormat="1" x14ac:dyDescent="0.2">
      <c r="A109" s="224"/>
      <c r="B109" s="226"/>
      <c r="C109" s="224"/>
      <c r="D109" s="99"/>
      <c r="E109" s="99"/>
      <c r="F109" s="99"/>
      <c r="G109" s="227"/>
      <c r="H109" s="225"/>
      <c r="I109" s="225"/>
    </row>
    <row r="110" spans="1:9" s="6" customFormat="1" x14ac:dyDescent="0.2">
      <c r="A110" s="5"/>
      <c r="B110" s="626" t="s">
        <v>1169</v>
      </c>
      <c r="C110" s="656">
        <f>+(F101-(((H21/H22)*H23*25.4)+(2*(H21/H22))))*H25*25.4</f>
        <v>10612.119999999999</v>
      </c>
      <c r="D110" s="658"/>
      <c r="E110" s="658"/>
      <c r="F110" s="658"/>
      <c r="G110" s="228"/>
      <c r="H110" s="5"/>
      <c r="I110" s="222"/>
    </row>
    <row r="111" spans="1:9" s="6" customFormat="1" x14ac:dyDescent="0.2">
      <c r="A111" s="99"/>
      <c r="B111" s="626"/>
      <c r="C111" s="657"/>
      <c r="D111" s="658"/>
      <c r="E111" s="658"/>
      <c r="F111" s="658"/>
      <c r="G111" s="5"/>
      <c r="H111" s="5"/>
      <c r="I111" s="222"/>
    </row>
    <row r="112" spans="1:9" s="6" customFormat="1" x14ac:dyDescent="0.2">
      <c r="A112" s="5"/>
      <c r="B112" s="5"/>
      <c r="C112" s="5"/>
      <c r="D112" s="5"/>
      <c r="E112" s="5"/>
      <c r="F112" s="5"/>
      <c r="G112" s="5"/>
      <c r="H112" s="5"/>
      <c r="I112" s="5"/>
    </row>
    <row r="113" spans="1:9" s="6" customFormat="1" ht="15" x14ac:dyDescent="0.25">
      <c r="A113" s="233"/>
      <c r="B113" s="626" t="s">
        <v>1174</v>
      </c>
      <c r="C113" s="623">
        <f>0.75*0.6*D12*C110/1000</f>
        <v>1938.8343239999997</v>
      </c>
      <c r="D113" s="625" t="s">
        <v>1157</v>
      </c>
      <c r="E113" s="633" t="s">
        <v>1188</v>
      </c>
      <c r="F113" s="623">
        <f>+$H$20/($D$19/1000)</f>
        <v>13.333333333333334</v>
      </c>
      <c r="G113" s="239"/>
      <c r="H113" s="490" t="str">
        <f>+IF(C113&gt;=F113,"Cumple","No cumple")</f>
        <v>Cumple</v>
      </c>
      <c r="I113" s="5"/>
    </row>
    <row r="114" spans="1:9" s="6" customFormat="1" x14ac:dyDescent="0.2">
      <c r="A114" s="5"/>
      <c r="B114" s="626"/>
      <c r="C114" s="624"/>
      <c r="D114" s="625"/>
      <c r="E114" s="633"/>
      <c r="F114" s="624"/>
      <c r="G114" s="240"/>
      <c r="H114" s="490"/>
      <c r="I114" s="5"/>
    </row>
    <row r="115" spans="1:9" s="6" customFormat="1" x14ac:dyDescent="0.2">
      <c r="A115" s="224"/>
      <c r="B115" s="636"/>
      <c r="C115" s="636"/>
      <c r="D115" s="224"/>
      <c r="E115" s="636"/>
      <c r="F115" s="636"/>
      <c r="G115" s="5"/>
      <c r="H115" s="5"/>
      <c r="I115" s="5"/>
    </row>
    <row r="116" spans="1:9" s="6" customFormat="1" ht="15" x14ac:dyDescent="0.2">
      <c r="A116" s="630" t="s">
        <v>1171</v>
      </c>
      <c r="B116" s="631"/>
      <c r="C116" s="631"/>
      <c r="D116" s="631"/>
      <c r="E116" s="631"/>
      <c r="F116" s="631"/>
      <c r="G116" s="631"/>
      <c r="H116" s="631"/>
      <c r="I116" s="632"/>
    </row>
    <row r="117" spans="1:9" s="6" customFormat="1" x14ac:dyDescent="0.2">
      <c r="A117" s="224"/>
      <c r="B117" s="163"/>
      <c r="C117" s="163"/>
      <c r="D117" s="224"/>
      <c r="E117" s="229"/>
      <c r="F117" s="5"/>
      <c r="G117" s="222"/>
      <c r="H117" s="222"/>
      <c r="I117" s="5"/>
    </row>
    <row r="118" spans="1:9" s="6" customFormat="1" x14ac:dyDescent="0.2">
      <c r="A118" s="224"/>
      <c r="B118" s="626" t="s">
        <v>1173</v>
      </c>
      <c r="C118" s="623">
        <f>+IF((1.2*(H28)*(H25*25.4)*D12/1000)&lt;=(2.4*(H23*25.4)*(H25*25.4)*D12/1000),(1.2*(H28)*(H25*25.4)*D12/1000),(2.4*(H23*25.4)*(H25*25.4)*D12/1000))</f>
        <v>618.74400000000003</v>
      </c>
      <c r="D118" s="625" t="s">
        <v>1157</v>
      </c>
      <c r="E118" s="633" t="s">
        <v>1188</v>
      </c>
      <c r="F118" s="623">
        <f>+$H$20/($D$19/1000)</f>
        <v>13.333333333333334</v>
      </c>
      <c r="G118" s="239"/>
      <c r="H118" s="490" t="str">
        <f>+IF(C118&gt;=F118,"Cumple","No cumple")</f>
        <v>Cumple</v>
      </c>
      <c r="I118" s="5"/>
    </row>
    <row r="119" spans="1:9" s="6" customFormat="1" x14ac:dyDescent="0.2">
      <c r="A119" s="224"/>
      <c r="B119" s="626"/>
      <c r="C119" s="624"/>
      <c r="D119" s="625"/>
      <c r="E119" s="633"/>
      <c r="F119" s="624"/>
      <c r="G119" s="240"/>
      <c r="H119" s="490"/>
      <c r="I119" s="5"/>
    </row>
    <row r="120" spans="1:9" s="6" customFormat="1" x14ac:dyDescent="0.2">
      <c r="A120" s="5"/>
      <c r="B120" s="5"/>
      <c r="C120" s="5"/>
      <c r="D120" s="5"/>
      <c r="E120" s="5"/>
      <c r="F120" s="5"/>
      <c r="G120" s="5"/>
      <c r="H120" s="5"/>
      <c r="I120" s="5"/>
    </row>
    <row r="121" spans="1:9" s="6" customFormat="1" ht="15" x14ac:dyDescent="0.2">
      <c r="A121" s="630" t="s">
        <v>1175</v>
      </c>
      <c r="B121" s="631"/>
      <c r="C121" s="631"/>
      <c r="D121" s="631"/>
      <c r="E121" s="631"/>
      <c r="F121" s="631"/>
      <c r="G121" s="631"/>
      <c r="H121" s="631"/>
      <c r="I121" s="632"/>
    </row>
    <row r="122" spans="1:9" s="6" customFormat="1" x14ac:dyDescent="0.2">
      <c r="A122" s="5"/>
      <c r="B122" s="5"/>
      <c r="C122" s="5"/>
      <c r="D122" s="5"/>
      <c r="E122" s="5"/>
      <c r="F122" s="99"/>
      <c r="G122" s="232"/>
      <c r="H122" s="5"/>
      <c r="I122" s="5"/>
    </row>
    <row r="123" spans="1:9" s="6" customFormat="1" x14ac:dyDescent="0.2">
      <c r="A123" s="224"/>
      <c r="B123" s="626" t="s">
        <v>1173</v>
      </c>
      <c r="C123" s="623">
        <f>0.75*((IF(((0.6*D12*((F101-(((H21/H22)*H23*25.4)+(2*(H21/H22))))*H25*25.4))+(D12*(H26*H25*25.4)))&lt;=(((0.6*D11*(F101*H25*25.4))+(D12*(H26*H25*25.4)))),((0.6*D12*((F101-(((H21/H22)*H23*25.4)+(2*(H21/H22))))*H25*25.4))+(D12*(H26*H25*25.4))),(((0.6*D11*(F101*H25*25.4))+(D12*(H26*H25*25.4))))))/1000)</f>
        <v>1815.4649999999999</v>
      </c>
      <c r="D123" s="625" t="s">
        <v>1157</v>
      </c>
      <c r="E123" s="633" t="s">
        <v>1188</v>
      </c>
      <c r="F123" s="623">
        <f>+$H$20/($D$19/1000)</f>
        <v>13.333333333333334</v>
      </c>
      <c r="G123" s="239"/>
      <c r="H123" s="490" t="str">
        <f>+IF(C123&gt;=F123,"Cumple","No cumple")</f>
        <v>Cumple</v>
      </c>
      <c r="I123" s="5"/>
    </row>
    <row r="124" spans="1:9" s="6" customFormat="1" x14ac:dyDescent="0.2">
      <c r="A124" s="222"/>
      <c r="B124" s="626"/>
      <c r="C124" s="624"/>
      <c r="D124" s="625"/>
      <c r="E124" s="633"/>
      <c r="F124" s="624"/>
      <c r="G124" s="240"/>
      <c r="H124" s="490"/>
      <c r="I124" s="5"/>
    </row>
    <row r="125" spans="1:9" s="6" customFormat="1" x14ac:dyDescent="0.2">
      <c r="A125" s="5"/>
      <c r="B125" s="5"/>
      <c r="C125" s="5"/>
      <c r="D125" s="5"/>
      <c r="E125" s="5"/>
      <c r="F125" s="5"/>
      <c r="G125" s="230"/>
      <c r="H125" s="5"/>
      <c r="I125" s="5"/>
    </row>
    <row r="126" spans="1:9" s="6" customFormat="1" ht="15" x14ac:dyDescent="0.2">
      <c r="A126" s="630" t="s">
        <v>1182</v>
      </c>
      <c r="B126" s="631"/>
      <c r="C126" s="631"/>
      <c r="D126" s="631"/>
      <c r="E126" s="631"/>
      <c r="F126" s="631"/>
      <c r="G126" s="631"/>
      <c r="H126" s="631"/>
      <c r="I126" s="632"/>
    </row>
    <row r="127" spans="1:9" s="6" customFormat="1" x14ac:dyDescent="0.2">
      <c r="A127" s="224"/>
      <c r="B127" s="163"/>
      <c r="C127" s="5"/>
      <c r="D127" s="5"/>
      <c r="E127" s="5"/>
      <c r="F127" s="5"/>
      <c r="G127" s="5"/>
      <c r="H127" s="5"/>
      <c r="I127" s="5"/>
    </row>
    <row r="128" spans="1:9" s="6" customFormat="1" x14ac:dyDescent="0.2">
      <c r="B128" s="626" t="s">
        <v>1180</v>
      </c>
      <c r="C128" s="656">
        <f>((3*H23*25.4*((H22)-1))+(2*H26))*2*0.707*H36</f>
        <v>2989.7615999999994</v>
      </c>
    </row>
    <row r="129" spans="2:8" s="6" customFormat="1" x14ac:dyDescent="0.2">
      <c r="B129" s="626"/>
      <c r="C129" s="657"/>
      <c r="E129" s="247"/>
    </row>
    <row r="130" spans="2:8" s="6" customFormat="1" x14ac:dyDescent="0.2"/>
    <row r="131" spans="2:8" s="6" customFormat="1" x14ac:dyDescent="0.2">
      <c r="B131" s="626" t="s">
        <v>1183</v>
      </c>
      <c r="C131" s="623">
        <f>0.6*H32*(1+(0.5*(SIN(RADIANS(H34)))^1.5))</f>
        <v>289.56</v>
      </c>
    </row>
    <row r="132" spans="2:8" s="6" customFormat="1" x14ac:dyDescent="0.2">
      <c r="B132" s="626"/>
      <c r="C132" s="624"/>
    </row>
    <row r="133" spans="2:8" s="6" customFormat="1" x14ac:dyDescent="0.2"/>
    <row r="134" spans="2:8" s="6" customFormat="1" x14ac:dyDescent="0.2">
      <c r="B134" s="626" t="s">
        <v>1173</v>
      </c>
      <c r="C134" s="623">
        <f>0.75*C131*C128/1000</f>
        <v>649.28652667199992</v>
      </c>
      <c r="D134" s="625" t="s">
        <v>1157</v>
      </c>
      <c r="E134" s="633" t="s">
        <v>1188</v>
      </c>
      <c r="F134" s="623">
        <f>+$H$20/($D$19/1000)</f>
        <v>13.333333333333334</v>
      </c>
      <c r="H134" s="490" t="str">
        <f>+IF(C134&gt;=F134,"Cumple","No cumple")</f>
        <v>Cumple</v>
      </c>
    </row>
    <row r="135" spans="2:8" s="6" customFormat="1" x14ac:dyDescent="0.2">
      <c r="B135" s="626"/>
      <c r="C135" s="624"/>
      <c r="D135" s="625"/>
      <c r="E135" s="633"/>
      <c r="F135" s="624"/>
      <c r="H135" s="490"/>
    </row>
    <row r="136" spans="2:8" s="6" customFormat="1" x14ac:dyDescent="0.2"/>
    <row r="137" spans="2:8" s="6" customFormat="1" ht="15" thickBot="1" x14ac:dyDescent="0.25"/>
    <row r="138" spans="2:8" s="6" customFormat="1" x14ac:dyDescent="0.2">
      <c r="B138" s="531" t="str">
        <f>IF(AND(H52="Cumple",H57="Cumple",H61="Cumple",H69="Cumple",H74="Cumple",H79="Cumple",H90="Cumple",H96="Cumple",H101="Cumple",H105="Cumple",H113="Cumple",H118="Cumple",H123="Cumple",H134="Cumple"),"CUMPLE","NO CUMPLE")</f>
        <v>CUMPLE</v>
      </c>
      <c r="C138" s="532"/>
      <c r="D138" s="532"/>
      <c r="E138" s="532"/>
      <c r="F138" s="532"/>
      <c r="G138" s="532"/>
      <c r="H138" s="533"/>
    </row>
    <row r="139" spans="2:8" s="6" customFormat="1" x14ac:dyDescent="0.2">
      <c r="B139" s="534"/>
      <c r="C139" s="535"/>
      <c r="D139" s="535"/>
      <c r="E139" s="535"/>
      <c r="F139" s="535"/>
      <c r="G139" s="535"/>
      <c r="H139" s="536"/>
    </row>
    <row r="140" spans="2:8" s="6" customFormat="1" ht="15" thickBot="1" x14ac:dyDescent="0.25">
      <c r="B140" s="537"/>
      <c r="C140" s="538"/>
      <c r="D140" s="538"/>
      <c r="E140" s="538"/>
      <c r="F140" s="538"/>
      <c r="G140" s="538"/>
      <c r="H140" s="539"/>
    </row>
    <row r="141" spans="2:8" s="6" customFormat="1" x14ac:dyDescent="0.2"/>
    <row r="142" spans="2:8" s="6" customFormat="1" x14ac:dyDescent="0.2"/>
    <row r="143" spans="2:8" s="6" customFormat="1" x14ac:dyDescent="0.2"/>
    <row r="144" spans="2:8" s="6" customFormat="1" x14ac:dyDescent="0.2"/>
    <row r="145" s="6" customFormat="1" x14ac:dyDescent="0.2"/>
    <row r="146" s="6" customFormat="1" x14ac:dyDescent="0.2"/>
    <row r="147" s="6" customFormat="1" x14ac:dyDescent="0.2"/>
    <row r="148" s="6" customFormat="1" x14ac:dyDescent="0.2"/>
    <row r="149" s="6" customFormat="1" x14ac:dyDescent="0.2"/>
    <row r="150" s="6" customFormat="1" x14ac:dyDescent="0.2"/>
    <row r="151" s="6" customFormat="1" x14ac:dyDescent="0.2"/>
    <row r="152" s="6" customFormat="1" x14ac:dyDescent="0.2"/>
    <row r="153" s="6" customFormat="1" x14ac:dyDescent="0.2"/>
    <row r="154" s="6" customFormat="1" x14ac:dyDescent="0.2"/>
    <row r="155" s="6" customFormat="1" x14ac:dyDescent="0.2"/>
    <row r="156" s="6" customFormat="1" x14ac:dyDescent="0.2"/>
    <row r="157" s="6" customFormat="1" x14ac:dyDescent="0.2"/>
    <row r="158" s="6" customFormat="1" x14ac:dyDescent="0.2"/>
    <row r="159" s="6" customFormat="1" x14ac:dyDescent="0.2"/>
    <row r="160" s="6" customFormat="1" x14ac:dyDescent="0.2"/>
    <row r="161" s="6" customFormat="1" x14ac:dyDescent="0.2"/>
    <row r="162" s="6" customFormat="1" x14ac:dyDescent="0.2"/>
    <row r="163" s="6" customFormat="1" x14ac:dyDescent="0.2"/>
    <row r="164" s="6" customFormat="1" x14ac:dyDescent="0.2"/>
    <row r="165" s="6" customFormat="1" x14ac:dyDescent="0.2"/>
    <row r="166" s="6" customFormat="1" x14ac:dyDescent="0.2"/>
    <row r="167" s="6" customFormat="1" x14ac:dyDescent="0.2"/>
    <row r="168" s="6" customFormat="1" x14ac:dyDescent="0.2"/>
    <row r="169" s="6" customFormat="1" x14ac:dyDescent="0.2"/>
    <row r="170" s="6" customFormat="1" x14ac:dyDescent="0.2"/>
    <row r="171" s="6" customFormat="1" x14ac:dyDescent="0.2"/>
    <row r="172" s="6" customFormat="1" x14ac:dyDescent="0.2"/>
    <row r="173" s="6" customFormat="1" x14ac:dyDescent="0.2"/>
    <row r="174" s="6" customFormat="1" x14ac:dyDescent="0.2"/>
    <row r="175" s="6" customFormat="1" x14ac:dyDescent="0.2"/>
    <row r="176" s="6" customFormat="1" x14ac:dyDescent="0.2"/>
    <row r="177" s="6" customFormat="1" x14ac:dyDescent="0.2"/>
    <row r="178" s="6" customFormat="1" x14ac:dyDescent="0.2"/>
    <row r="179" s="6" customFormat="1" x14ac:dyDescent="0.2"/>
    <row r="180" s="6" customFormat="1" x14ac:dyDescent="0.2"/>
    <row r="181" s="6" customFormat="1" x14ac:dyDescent="0.2"/>
    <row r="182" s="6" customFormat="1" x14ac:dyDescent="0.2"/>
    <row r="183" s="6" customFormat="1" x14ac:dyDescent="0.2"/>
    <row r="184" s="6" customFormat="1" x14ac:dyDescent="0.2"/>
    <row r="185" s="6" customFormat="1" x14ac:dyDescent="0.2"/>
    <row r="186" s="6" customFormat="1" x14ac:dyDescent="0.2"/>
    <row r="187" s="6" customFormat="1" x14ac:dyDescent="0.2"/>
    <row r="188" s="6" customFormat="1" x14ac:dyDescent="0.2"/>
    <row r="189" s="6" customFormat="1" x14ac:dyDescent="0.2"/>
    <row r="190" s="6" customFormat="1" x14ac:dyDescent="0.2"/>
    <row r="191" s="6" customFormat="1" x14ac:dyDescent="0.2"/>
    <row r="19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  <row r="238" s="6" customFormat="1" x14ac:dyDescent="0.2"/>
    <row r="239" s="6" customFormat="1" x14ac:dyDescent="0.2"/>
    <row r="240" s="6" customFormat="1" x14ac:dyDescent="0.2"/>
    <row r="241" s="6" customFormat="1" x14ac:dyDescent="0.2"/>
    <row r="242" s="6" customFormat="1" x14ac:dyDescent="0.2"/>
    <row r="243" s="6" customFormat="1" x14ac:dyDescent="0.2"/>
    <row r="244" s="6" customFormat="1" x14ac:dyDescent="0.2"/>
    <row r="245" s="6" customFormat="1" x14ac:dyDescent="0.2"/>
    <row r="246" s="6" customFormat="1" x14ac:dyDescent="0.2"/>
    <row r="247" s="6" customFormat="1" x14ac:dyDescent="0.2"/>
    <row r="248" s="6" customFormat="1" x14ac:dyDescent="0.2"/>
    <row r="249" s="6" customFormat="1" x14ac:dyDescent="0.2"/>
    <row r="250" s="6" customFormat="1" x14ac:dyDescent="0.2"/>
    <row r="251" s="6" customFormat="1" x14ac:dyDescent="0.2"/>
    <row r="252" s="6" customFormat="1" x14ac:dyDescent="0.2"/>
    <row r="253" s="6" customFormat="1" x14ac:dyDescent="0.2"/>
    <row r="254" s="6" customFormat="1" x14ac:dyDescent="0.2"/>
    <row r="255" s="6" customFormat="1" x14ac:dyDescent="0.2"/>
    <row r="256" s="6" customFormat="1" x14ac:dyDescent="0.2"/>
    <row r="257" s="6" customFormat="1" x14ac:dyDescent="0.2"/>
    <row r="258" s="6" customFormat="1" x14ac:dyDescent="0.2"/>
    <row r="259" s="6" customFormat="1" x14ac:dyDescent="0.2"/>
    <row r="260" s="6" customFormat="1" x14ac:dyDescent="0.2"/>
    <row r="261" s="6" customFormat="1" x14ac:dyDescent="0.2"/>
    <row r="262" s="6" customFormat="1" x14ac:dyDescent="0.2"/>
    <row r="263" s="6" customFormat="1" x14ac:dyDescent="0.2"/>
    <row r="264" s="6" customFormat="1" x14ac:dyDescent="0.2"/>
    <row r="265" s="6" customFormat="1" x14ac:dyDescent="0.2"/>
    <row r="266" s="6" customFormat="1" x14ac:dyDescent="0.2"/>
    <row r="267" s="6" customFormat="1" x14ac:dyDescent="0.2"/>
    <row r="268" s="6" customFormat="1" x14ac:dyDescent="0.2"/>
    <row r="269" s="6" customFormat="1" x14ac:dyDescent="0.2"/>
    <row r="270" s="6" customFormat="1" x14ac:dyDescent="0.2"/>
    <row r="271" s="6" customFormat="1" x14ac:dyDescent="0.2"/>
    <row r="272" s="6" customFormat="1" x14ac:dyDescent="0.2"/>
    <row r="273" s="6" customFormat="1" x14ac:dyDescent="0.2"/>
    <row r="274" s="6" customFormat="1" x14ac:dyDescent="0.2"/>
    <row r="275" s="6" customFormat="1" x14ac:dyDescent="0.2"/>
    <row r="276" s="6" customFormat="1" x14ac:dyDescent="0.2"/>
    <row r="277" s="6" customFormat="1" x14ac:dyDescent="0.2"/>
    <row r="278" s="6" customFormat="1" x14ac:dyDescent="0.2"/>
    <row r="279" s="6" customFormat="1" x14ac:dyDescent="0.2"/>
    <row r="280" s="6" customFormat="1" x14ac:dyDescent="0.2"/>
    <row r="281" s="6" customFormat="1" x14ac:dyDescent="0.2"/>
    <row r="282" s="6" customFormat="1" x14ac:dyDescent="0.2"/>
    <row r="283" s="6" customFormat="1" x14ac:dyDescent="0.2"/>
    <row r="284" s="6" customFormat="1" x14ac:dyDescent="0.2"/>
    <row r="285" s="6" customFormat="1" x14ac:dyDescent="0.2"/>
    <row r="286" s="6" customFormat="1" x14ac:dyDescent="0.2"/>
    <row r="287" s="6" customFormat="1" x14ac:dyDescent="0.2"/>
    <row r="288" s="6" customFormat="1" x14ac:dyDescent="0.2"/>
    <row r="289" s="6" customFormat="1" x14ac:dyDescent="0.2"/>
    <row r="290" s="6" customFormat="1" x14ac:dyDescent="0.2"/>
    <row r="291" s="6" customFormat="1" x14ac:dyDescent="0.2"/>
    <row r="292" s="6" customFormat="1" x14ac:dyDescent="0.2"/>
    <row r="293" s="6" customFormat="1" x14ac:dyDescent="0.2"/>
    <row r="294" s="6" customFormat="1" x14ac:dyDescent="0.2"/>
    <row r="295" s="6" customFormat="1" x14ac:dyDescent="0.2"/>
    <row r="296" s="6" customFormat="1" x14ac:dyDescent="0.2"/>
    <row r="297" s="6" customFormat="1" x14ac:dyDescent="0.2"/>
    <row r="298" s="6" customFormat="1" x14ac:dyDescent="0.2"/>
    <row r="299" s="6" customFormat="1" x14ac:dyDescent="0.2"/>
    <row r="300" s="6" customFormat="1" x14ac:dyDescent="0.2"/>
    <row r="301" s="6" customFormat="1" x14ac:dyDescent="0.2"/>
    <row r="302" s="6" customFormat="1" x14ac:dyDescent="0.2"/>
    <row r="303" s="6" customFormat="1" x14ac:dyDescent="0.2"/>
    <row r="304" s="6" customFormat="1" x14ac:dyDescent="0.2"/>
    <row r="305" s="6" customFormat="1" x14ac:dyDescent="0.2"/>
    <row r="306" s="6" customFormat="1" x14ac:dyDescent="0.2"/>
    <row r="307" s="6" customFormat="1" x14ac:dyDescent="0.2"/>
    <row r="308" s="6" customFormat="1" x14ac:dyDescent="0.2"/>
    <row r="309" s="6" customFormat="1" x14ac:dyDescent="0.2"/>
    <row r="310" s="6" customFormat="1" x14ac:dyDescent="0.2"/>
    <row r="311" s="6" customFormat="1" x14ac:dyDescent="0.2"/>
    <row r="312" s="6" customFormat="1" x14ac:dyDescent="0.2"/>
    <row r="313" s="6" customFormat="1" x14ac:dyDescent="0.2"/>
    <row r="314" s="6" customFormat="1" x14ac:dyDescent="0.2"/>
    <row r="315" s="6" customFormat="1" x14ac:dyDescent="0.2"/>
    <row r="316" s="6" customFormat="1" x14ac:dyDescent="0.2"/>
    <row r="317" s="6" customFormat="1" x14ac:dyDescent="0.2"/>
    <row r="318" s="6" customFormat="1" x14ac:dyDescent="0.2"/>
    <row r="319" s="6" customFormat="1" x14ac:dyDescent="0.2"/>
    <row r="320" s="6" customFormat="1" x14ac:dyDescent="0.2"/>
    <row r="321" s="6" customFormat="1" x14ac:dyDescent="0.2"/>
    <row r="322" s="6" customFormat="1" x14ac:dyDescent="0.2"/>
    <row r="323" s="6" customFormat="1" x14ac:dyDescent="0.2"/>
    <row r="324" s="6" customFormat="1" x14ac:dyDescent="0.2"/>
    <row r="325" s="6" customFormat="1" x14ac:dyDescent="0.2"/>
    <row r="326" s="6" customFormat="1" x14ac:dyDescent="0.2"/>
    <row r="327" s="6" customFormat="1" x14ac:dyDescent="0.2"/>
    <row r="328" s="6" customFormat="1" x14ac:dyDescent="0.2"/>
    <row r="329" s="6" customFormat="1" x14ac:dyDescent="0.2"/>
    <row r="330" s="6" customFormat="1" x14ac:dyDescent="0.2"/>
    <row r="331" s="6" customFormat="1" x14ac:dyDescent="0.2"/>
    <row r="332" s="6" customFormat="1" x14ac:dyDescent="0.2"/>
    <row r="333" s="6" customFormat="1" x14ac:dyDescent="0.2"/>
    <row r="334" s="6" customFormat="1" x14ac:dyDescent="0.2"/>
    <row r="335" s="6" customFormat="1" x14ac:dyDescent="0.2"/>
    <row r="336" s="6" customFormat="1" x14ac:dyDescent="0.2"/>
    <row r="337" s="6" customFormat="1" x14ac:dyDescent="0.2"/>
    <row r="338" s="6" customFormat="1" x14ac:dyDescent="0.2"/>
    <row r="339" s="6" customFormat="1" x14ac:dyDescent="0.2"/>
    <row r="340" s="6" customFormat="1" x14ac:dyDescent="0.2"/>
    <row r="341" s="6" customFormat="1" x14ac:dyDescent="0.2"/>
    <row r="342" s="6" customFormat="1" x14ac:dyDescent="0.2"/>
    <row r="343" s="6" customFormat="1" x14ac:dyDescent="0.2"/>
    <row r="344" s="6" customFormat="1" x14ac:dyDescent="0.2"/>
    <row r="345" s="6" customFormat="1" x14ac:dyDescent="0.2"/>
    <row r="346" s="6" customFormat="1" x14ac:dyDescent="0.2"/>
    <row r="347" s="6" customFormat="1" x14ac:dyDescent="0.2"/>
    <row r="348" s="6" customFormat="1" x14ac:dyDescent="0.2"/>
    <row r="349" s="6" customFormat="1" x14ac:dyDescent="0.2"/>
    <row r="350" s="6" customFormat="1" x14ac:dyDescent="0.2"/>
    <row r="351" s="6" customFormat="1" x14ac:dyDescent="0.2"/>
    <row r="352" s="6" customFormat="1" x14ac:dyDescent="0.2"/>
    <row r="353" s="6" customFormat="1" x14ac:dyDescent="0.2"/>
    <row r="354" s="6" customFormat="1" x14ac:dyDescent="0.2"/>
    <row r="355" s="6" customFormat="1" x14ac:dyDescent="0.2"/>
    <row r="356" s="6" customFormat="1" x14ac:dyDescent="0.2"/>
    <row r="357" s="6" customFormat="1" x14ac:dyDescent="0.2"/>
    <row r="358" s="6" customFormat="1" x14ac:dyDescent="0.2"/>
    <row r="359" s="6" customFormat="1" x14ac:dyDescent="0.2"/>
    <row r="360" s="6" customFormat="1" x14ac:dyDescent="0.2"/>
    <row r="361" s="6" customFormat="1" x14ac:dyDescent="0.2"/>
    <row r="362" s="6" customFormat="1" x14ac:dyDescent="0.2"/>
    <row r="363" s="6" customFormat="1" x14ac:dyDescent="0.2"/>
    <row r="364" s="6" customFormat="1" x14ac:dyDescent="0.2"/>
    <row r="365" s="6" customFormat="1" x14ac:dyDescent="0.2"/>
    <row r="366" s="6" customFormat="1" x14ac:dyDescent="0.2"/>
    <row r="367" s="6" customFormat="1" x14ac:dyDescent="0.2"/>
    <row r="368" s="6" customFormat="1" x14ac:dyDescent="0.2"/>
    <row r="369" s="6" customFormat="1" x14ac:dyDescent="0.2"/>
    <row r="370" s="6" customFormat="1" x14ac:dyDescent="0.2"/>
    <row r="371" s="6" customFormat="1" x14ac:dyDescent="0.2"/>
    <row r="372" s="6" customFormat="1" x14ac:dyDescent="0.2"/>
    <row r="373" s="6" customFormat="1" x14ac:dyDescent="0.2"/>
    <row r="374" s="6" customFormat="1" x14ac:dyDescent="0.2"/>
    <row r="375" s="6" customFormat="1" x14ac:dyDescent="0.2"/>
    <row r="376" s="6" customFormat="1" x14ac:dyDescent="0.2"/>
    <row r="377" s="6" customFormat="1" x14ac:dyDescent="0.2"/>
    <row r="378" s="6" customFormat="1" x14ac:dyDescent="0.2"/>
    <row r="379" s="6" customFormat="1" x14ac:dyDescent="0.2"/>
    <row r="380" s="6" customFormat="1" x14ac:dyDescent="0.2"/>
    <row r="381" s="6" customFormat="1" x14ac:dyDescent="0.2"/>
    <row r="382" s="6" customFormat="1" x14ac:dyDescent="0.2"/>
    <row r="383" s="6" customFormat="1" x14ac:dyDescent="0.2"/>
    <row r="384" s="6" customFormat="1" x14ac:dyDescent="0.2"/>
    <row r="385" s="6" customFormat="1" x14ac:dyDescent="0.2"/>
    <row r="386" s="6" customFormat="1" x14ac:dyDescent="0.2"/>
    <row r="387" s="6" customFormat="1" x14ac:dyDescent="0.2"/>
  </sheetData>
  <sheetProtection selectLockedCells="1" selectUnlockedCells="1"/>
  <mergeCells count="179">
    <mergeCell ref="B131:B132"/>
    <mergeCell ref="C131:C132"/>
    <mergeCell ref="B134:B135"/>
    <mergeCell ref="C134:C135"/>
    <mergeCell ref="D134:D135"/>
    <mergeCell ref="E134:E135"/>
    <mergeCell ref="F134:F135"/>
    <mergeCell ref="H134:H135"/>
    <mergeCell ref="A121:I121"/>
    <mergeCell ref="B123:B124"/>
    <mergeCell ref="C123:C124"/>
    <mergeCell ref="D123:D124"/>
    <mergeCell ref="E123:E124"/>
    <mergeCell ref="F123:F124"/>
    <mergeCell ref="H123:H124"/>
    <mergeCell ref="A126:I126"/>
    <mergeCell ref="B128:B129"/>
    <mergeCell ref="C128:C129"/>
    <mergeCell ref="B115:C115"/>
    <mergeCell ref="E115:F115"/>
    <mergeCell ref="A116:I116"/>
    <mergeCell ref="B118:B119"/>
    <mergeCell ref="C118:C119"/>
    <mergeCell ref="D118:D119"/>
    <mergeCell ref="E118:E119"/>
    <mergeCell ref="F118:F119"/>
    <mergeCell ref="H118:H119"/>
    <mergeCell ref="C110:C111"/>
    <mergeCell ref="D110:F110"/>
    <mergeCell ref="D111:F111"/>
    <mergeCell ref="B113:B114"/>
    <mergeCell ref="C113:C114"/>
    <mergeCell ref="D113:D114"/>
    <mergeCell ref="E113:E114"/>
    <mergeCell ref="F113:F114"/>
    <mergeCell ref="H113:H114"/>
    <mergeCell ref="H79:H80"/>
    <mergeCell ref="C79:C80"/>
    <mergeCell ref="D79:D80"/>
    <mergeCell ref="B66:B67"/>
    <mergeCell ref="C66:C67"/>
    <mergeCell ref="B84:B85"/>
    <mergeCell ref="C84:C85"/>
    <mergeCell ref="A82:I82"/>
    <mergeCell ref="H69:H70"/>
    <mergeCell ref="A72:I72"/>
    <mergeCell ref="B74:B75"/>
    <mergeCell ref="C69:C70"/>
    <mergeCell ref="D69:D70"/>
    <mergeCell ref="E69:E70"/>
    <mergeCell ref="D66:F66"/>
    <mergeCell ref="D67:F67"/>
    <mergeCell ref="F69:F70"/>
    <mergeCell ref="B71:C71"/>
    <mergeCell ref="E71:F71"/>
    <mergeCell ref="E79:E80"/>
    <mergeCell ref="F79:F80"/>
    <mergeCell ref="B105:B106"/>
    <mergeCell ref="C105:C106"/>
    <mergeCell ref="D105:D106"/>
    <mergeCell ref="E105:E106"/>
    <mergeCell ref="F105:F106"/>
    <mergeCell ref="A1:I1"/>
    <mergeCell ref="A2:I2"/>
    <mergeCell ref="B3:D3"/>
    <mergeCell ref="E3:I3"/>
    <mergeCell ref="A5:D5"/>
    <mergeCell ref="B4:D4"/>
    <mergeCell ref="E4:I4"/>
    <mergeCell ref="F5:H5"/>
    <mergeCell ref="F8:G8"/>
    <mergeCell ref="B9:C9"/>
    <mergeCell ref="B8:C8"/>
    <mergeCell ref="B7:C7"/>
    <mergeCell ref="F9:G9"/>
    <mergeCell ref="F7:H7"/>
    <mergeCell ref="A49:I49"/>
    <mergeCell ref="B14:C14"/>
    <mergeCell ref="B11:C11"/>
    <mergeCell ref="F10:G10"/>
    <mergeCell ref="B26:C26"/>
    <mergeCell ref="B15:C15"/>
    <mergeCell ref="B12:C12"/>
    <mergeCell ref="F24:G24"/>
    <mergeCell ref="F25:G25"/>
    <mergeCell ref="F26:G27"/>
    <mergeCell ref="H26:H27"/>
    <mergeCell ref="I26:I27"/>
    <mergeCell ref="I28:I29"/>
    <mergeCell ref="F28:G29"/>
    <mergeCell ref="H28:H29"/>
    <mergeCell ref="B27:C28"/>
    <mergeCell ref="D27:D28"/>
    <mergeCell ref="F14:G15"/>
    <mergeCell ref="H14:H15"/>
    <mergeCell ref="F13:G13"/>
    <mergeCell ref="F11:G11"/>
    <mergeCell ref="F12:G12"/>
    <mergeCell ref="F19:H19"/>
    <mergeCell ref="I14:I15"/>
    <mergeCell ref="F16:G17"/>
    <mergeCell ref="H16:H17"/>
    <mergeCell ref="I16:I17"/>
    <mergeCell ref="F23:G23"/>
    <mergeCell ref="F22:G22"/>
    <mergeCell ref="F21:G21"/>
    <mergeCell ref="F20:G20"/>
    <mergeCell ref="F31:H31"/>
    <mergeCell ref="B101:B102"/>
    <mergeCell ref="C101:C102"/>
    <mergeCell ref="E74:E75"/>
    <mergeCell ref="F74:F75"/>
    <mergeCell ref="A55:I55"/>
    <mergeCell ref="B52:B53"/>
    <mergeCell ref="C52:C53"/>
    <mergeCell ref="D52:D53"/>
    <mergeCell ref="E52:E53"/>
    <mergeCell ref="F52:F53"/>
    <mergeCell ref="H52:H53"/>
    <mergeCell ref="D101:D102"/>
    <mergeCell ref="E101:E102"/>
    <mergeCell ref="F101:F102"/>
    <mergeCell ref="H101:H102"/>
    <mergeCell ref="D57:D58"/>
    <mergeCell ref="E57:E58"/>
    <mergeCell ref="A77:I77"/>
    <mergeCell ref="B79:B80"/>
    <mergeCell ref="F46:G46"/>
    <mergeCell ref="F47:G47"/>
    <mergeCell ref="A99:I99"/>
    <mergeCell ref="H90:H91"/>
    <mergeCell ref="B138:H140"/>
    <mergeCell ref="F33:G33"/>
    <mergeCell ref="A93:I93"/>
    <mergeCell ref="A94:I94"/>
    <mergeCell ref="B96:B97"/>
    <mergeCell ref="C96:C97"/>
    <mergeCell ref="D96:D97"/>
    <mergeCell ref="E96:E97"/>
    <mergeCell ref="F96:F97"/>
    <mergeCell ref="H96:H97"/>
    <mergeCell ref="B87:B88"/>
    <mergeCell ref="C87:C88"/>
    <mergeCell ref="B90:B91"/>
    <mergeCell ref="C90:C91"/>
    <mergeCell ref="D90:D91"/>
    <mergeCell ref="E90:E91"/>
    <mergeCell ref="A50:I50"/>
    <mergeCell ref="B69:B70"/>
    <mergeCell ref="F36:G36"/>
    <mergeCell ref="F38:H38"/>
    <mergeCell ref="H105:H106"/>
    <mergeCell ref="F90:F91"/>
    <mergeCell ref="A108:I108"/>
    <mergeCell ref="B110:B111"/>
    <mergeCell ref="F32:G32"/>
    <mergeCell ref="C74:C75"/>
    <mergeCell ref="D74:D75"/>
    <mergeCell ref="H74:H75"/>
    <mergeCell ref="B61:B62"/>
    <mergeCell ref="C61:C62"/>
    <mergeCell ref="D61:D62"/>
    <mergeCell ref="H57:H58"/>
    <mergeCell ref="B57:B58"/>
    <mergeCell ref="F34:G34"/>
    <mergeCell ref="F35:G35"/>
    <mergeCell ref="F37:H37"/>
    <mergeCell ref="C57:C58"/>
    <mergeCell ref="H61:H62"/>
    <mergeCell ref="A64:I64"/>
    <mergeCell ref="F40:H40"/>
    <mergeCell ref="F41:G41"/>
    <mergeCell ref="F42:G42"/>
    <mergeCell ref="F43:G43"/>
    <mergeCell ref="F44:G44"/>
    <mergeCell ref="F45:G45"/>
    <mergeCell ref="E61:E62"/>
    <mergeCell ref="F61:F62"/>
    <mergeCell ref="F57:F58"/>
  </mergeCells>
  <conditionalFormatting sqref="C18:D22">
    <cfRule type="containsErrors" dxfId="149" priority="180" stopIfTrue="1">
      <formula>ISERROR(C18)</formula>
    </cfRule>
  </conditionalFormatting>
  <conditionalFormatting sqref="H52">
    <cfRule type="containsText" dxfId="148" priority="114" operator="containsText" text="No cumple">
      <formula>NOT(ISERROR(SEARCH("No cumple",H52)))</formula>
    </cfRule>
    <cfRule type="containsText" dxfId="147" priority="115" operator="containsText" text="Cumple">
      <formula>NOT(ISERROR(SEARCH("Cumple",H52)))</formula>
    </cfRule>
  </conditionalFormatting>
  <conditionalFormatting sqref="H52">
    <cfRule type="containsErrors" dxfId="146" priority="113">
      <formula>ISERROR(H52)</formula>
    </cfRule>
  </conditionalFormatting>
  <conditionalFormatting sqref="C57">
    <cfRule type="containsErrors" dxfId="145" priority="112" stopIfTrue="1">
      <formula>ISERROR(C57)</formula>
    </cfRule>
  </conditionalFormatting>
  <conditionalFormatting sqref="H57">
    <cfRule type="containsText" dxfId="144" priority="109" operator="containsText" text="No cumple">
      <formula>NOT(ISERROR(SEARCH("No cumple",H57)))</formula>
    </cfRule>
    <cfRule type="containsText" dxfId="143" priority="110" operator="containsText" text="Cumple">
      <formula>NOT(ISERROR(SEARCH("Cumple",H57)))</formula>
    </cfRule>
  </conditionalFormatting>
  <conditionalFormatting sqref="H57">
    <cfRule type="containsErrors" dxfId="142" priority="108">
      <formula>ISERROR(H57)</formula>
    </cfRule>
  </conditionalFormatting>
  <conditionalFormatting sqref="F57">
    <cfRule type="containsErrors" dxfId="141" priority="104" stopIfTrue="1">
      <formula>ISERROR(F57)</formula>
    </cfRule>
  </conditionalFormatting>
  <conditionalFormatting sqref="C52">
    <cfRule type="containsErrors" dxfId="140" priority="78" stopIfTrue="1">
      <formula>ISERROR(C52)</formula>
    </cfRule>
  </conditionalFormatting>
  <conditionalFormatting sqref="C61">
    <cfRule type="containsErrors" dxfId="139" priority="77" stopIfTrue="1">
      <formula>ISERROR(C61)</formula>
    </cfRule>
  </conditionalFormatting>
  <conditionalFormatting sqref="F61">
    <cfRule type="containsErrors" dxfId="138" priority="98" stopIfTrue="1">
      <formula>ISERROR(F61)</formula>
    </cfRule>
  </conditionalFormatting>
  <conditionalFormatting sqref="H61">
    <cfRule type="containsText" dxfId="137" priority="96" operator="containsText" text="No cumple">
      <formula>NOT(ISERROR(SEARCH("No cumple",H61)))</formula>
    </cfRule>
    <cfRule type="containsText" dxfId="136" priority="97" operator="containsText" text="Cumple">
      <formula>NOT(ISERROR(SEARCH("Cumple",H61)))</formula>
    </cfRule>
  </conditionalFormatting>
  <conditionalFormatting sqref="H61">
    <cfRule type="containsErrors" dxfId="135" priority="95">
      <formula>ISERROR(H61)</formula>
    </cfRule>
  </conditionalFormatting>
  <conditionalFormatting sqref="C66">
    <cfRule type="containsErrors" dxfId="134" priority="94" stopIfTrue="1">
      <formula>ISERROR(C66)</formula>
    </cfRule>
  </conditionalFormatting>
  <conditionalFormatting sqref="C69">
    <cfRule type="containsErrors" dxfId="133" priority="76" stopIfTrue="1">
      <formula>ISERROR(C69)</formula>
    </cfRule>
  </conditionalFormatting>
  <conditionalFormatting sqref="H69">
    <cfRule type="containsText" dxfId="132" priority="88" operator="containsText" text="No cumple">
      <formula>NOT(ISERROR(SEARCH("No cumple",H69)))</formula>
    </cfRule>
    <cfRule type="containsText" dxfId="131" priority="89" operator="containsText" text="Cumple">
      <formula>NOT(ISERROR(SEARCH("Cumple",H69)))</formula>
    </cfRule>
  </conditionalFormatting>
  <conditionalFormatting sqref="H69">
    <cfRule type="containsErrors" dxfId="130" priority="87">
      <formula>ISERROR(H69)</formula>
    </cfRule>
  </conditionalFormatting>
  <conditionalFormatting sqref="C74">
    <cfRule type="containsErrors" dxfId="129" priority="75" stopIfTrue="1">
      <formula>ISERROR(C74)</formula>
    </cfRule>
  </conditionalFormatting>
  <conditionalFormatting sqref="H74">
    <cfRule type="containsText" dxfId="128" priority="83" operator="containsText" text="No cumple">
      <formula>NOT(ISERROR(SEARCH("No cumple",H74)))</formula>
    </cfRule>
    <cfRule type="containsText" dxfId="127" priority="84" operator="containsText" text="Cumple">
      <formula>NOT(ISERROR(SEARCH("Cumple",H74)))</formula>
    </cfRule>
  </conditionalFormatting>
  <conditionalFormatting sqref="H74">
    <cfRule type="containsErrors" dxfId="126" priority="82">
      <formula>ISERROR(H74)</formula>
    </cfRule>
  </conditionalFormatting>
  <conditionalFormatting sqref="F74">
    <cfRule type="containsErrors" dxfId="125" priority="81" stopIfTrue="1">
      <formula>ISERROR(F74)</formula>
    </cfRule>
  </conditionalFormatting>
  <conditionalFormatting sqref="F69">
    <cfRule type="containsErrors" dxfId="124" priority="80" stopIfTrue="1">
      <formula>ISERROR(F69)</formula>
    </cfRule>
  </conditionalFormatting>
  <conditionalFormatting sqref="F52">
    <cfRule type="containsErrors" dxfId="123" priority="79" stopIfTrue="1">
      <formula>ISERROR(F52)</formula>
    </cfRule>
  </conditionalFormatting>
  <conditionalFormatting sqref="H79">
    <cfRule type="containsText" dxfId="122" priority="73" operator="containsText" text="No cumple">
      <formula>NOT(ISERROR(SEARCH("No cumple",H79)))</formula>
    </cfRule>
    <cfRule type="containsText" dxfId="121" priority="74" operator="containsText" text="Cumple">
      <formula>NOT(ISERROR(SEARCH("Cumple",H79)))</formula>
    </cfRule>
  </conditionalFormatting>
  <conditionalFormatting sqref="H79">
    <cfRule type="containsErrors" dxfId="120" priority="72">
      <formula>ISERROR(H79)</formula>
    </cfRule>
  </conditionalFormatting>
  <conditionalFormatting sqref="F79">
    <cfRule type="containsErrors" dxfId="119" priority="71" stopIfTrue="1">
      <formula>ISERROR(F79)</formula>
    </cfRule>
  </conditionalFormatting>
  <conditionalFormatting sqref="C79">
    <cfRule type="containsErrors" dxfId="118" priority="70" stopIfTrue="1">
      <formula>ISERROR(C79)</formula>
    </cfRule>
  </conditionalFormatting>
  <conditionalFormatting sqref="I14:I15">
    <cfRule type="containsText" dxfId="117" priority="69" operator="containsText" text="No cumple">
      <formula>NOT(ISERROR(SEARCH("No cumple",I14)))</formula>
    </cfRule>
  </conditionalFormatting>
  <conditionalFormatting sqref="I26">
    <cfRule type="containsText" dxfId="116" priority="67" operator="containsText" text="No cumple">
      <formula>NOT(ISERROR(SEARCH("No cumple",I26)))</formula>
    </cfRule>
  </conditionalFormatting>
  <conditionalFormatting sqref="C84">
    <cfRule type="containsErrors" dxfId="115" priority="65" stopIfTrue="1">
      <formula>ISERROR(C84)</formula>
    </cfRule>
  </conditionalFormatting>
  <conditionalFormatting sqref="I35">
    <cfRule type="containsText" dxfId="114" priority="64" operator="containsText" text="No cumple">
      <formula>NOT(ISERROR(SEARCH("No cumple",I35)))</formula>
    </cfRule>
  </conditionalFormatting>
  <conditionalFormatting sqref="C87">
    <cfRule type="containsErrors" dxfId="113" priority="61" stopIfTrue="1">
      <formula>ISERROR(C87)</formula>
    </cfRule>
  </conditionalFormatting>
  <conditionalFormatting sqref="C90">
    <cfRule type="containsErrors" dxfId="112" priority="60" stopIfTrue="1">
      <formula>ISERROR(C90)</formula>
    </cfRule>
  </conditionalFormatting>
  <conditionalFormatting sqref="F90">
    <cfRule type="containsErrors" dxfId="111" priority="59" stopIfTrue="1">
      <formula>ISERROR(F90)</formula>
    </cfRule>
  </conditionalFormatting>
  <conditionalFormatting sqref="H90">
    <cfRule type="containsText" dxfId="110" priority="57" operator="containsText" text="No cumple">
      <formula>NOT(ISERROR(SEARCH("No cumple",H90)))</formula>
    </cfRule>
    <cfRule type="containsText" dxfId="109" priority="58" operator="containsText" text="Cumple">
      <formula>NOT(ISERROR(SEARCH("Cumple",H90)))</formula>
    </cfRule>
  </conditionalFormatting>
  <conditionalFormatting sqref="H90">
    <cfRule type="containsErrors" dxfId="108" priority="56">
      <formula>ISERROR(H90)</formula>
    </cfRule>
  </conditionalFormatting>
  <conditionalFormatting sqref="H96">
    <cfRule type="containsText" dxfId="107" priority="54" operator="containsText" text="No cumple">
      <formula>NOT(ISERROR(SEARCH("No cumple",H96)))</formula>
    </cfRule>
    <cfRule type="containsText" dxfId="106" priority="55" operator="containsText" text="Cumple">
      <formula>NOT(ISERROR(SEARCH("Cumple",H96)))</formula>
    </cfRule>
  </conditionalFormatting>
  <conditionalFormatting sqref="H96">
    <cfRule type="containsErrors" dxfId="105" priority="53">
      <formula>ISERROR(H96)</formula>
    </cfRule>
  </conditionalFormatting>
  <conditionalFormatting sqref="C96">
    <cfRule type="containsErrors" dxfId="104" priority="51" stopIfTrue="1">
      <formula>ISERROR(C96)</formula>
    </cfRule>
  </conditionalFormatting>
  <conditionalFormatting sqref="F96">
    <cfRule type="containsErrors" dxfId="103" priority="52" stopIfTrue="1">
      <formula>ISERROR(F96)</formula>
    </cfRule>
  </conditionalFormatting>
  <conditionalFormatting sqref="C101">
    <cfRule type="containsErrors" dxfId="102" priority="50" stopIfTrue="1">
      <formula>ISERROR(C101)</formula>
    </cfRule>
  </conditionalFormatting>
  <conditionalFormatting sqref="H101">
    <cfRule type="containsText" dxfId="101" priority="48" operator="containsText" text="No cumple">
      <formula>NOT(ISERROR(SEARCH("No cumple",H101)))</formula>
    </cfRule>
    <cfRule type="containsText" dxfId="100" priority="49" operator="containsText" text="Cumple">
      <formula>NOT(ISERROR(SEARCH("Cumple",H101)))</formula>
    </cfRule>
  </conditionalFormatting>
  <conditionalFormatting sqref="H101">
    <cfRule type="containsErrors" dxfId="99" priority="47">
      <formula>ISERROR(H101)</formula>
    </cfRule>
  </conditionalFormatting>
  <conditionalFormatting sqref="F101">
    <cfRule type="containsErrors" dxfId="98" priority="46" stopIfTrue="1">
      <formula>ISERROR(F101)</formula>
    </cfRule>
  </conditionalFormatting>
  <conditionalFormatting sqref="C105">
    <cfRule type="containsErrors" dxfId="97" priority="32" stopIfTrue="1">
      <formula>ISERROR(C105)</formula>
    </cfRule>
  </conditionalFormatting>
  <conditionalFormatting sqref="H105">
    <cfRule type="containsText" dxfId="96" priority="43" operator="containsText" text="No cumple">
      <formula>NOT(ISERROR(SEARCH("No cumple",H105)))</formula>
    </cfRule>
    <cfRule type="containsText" dxfId="95" priority="44" operator="containsText" text="Cumple">
      <formula>NOT(ISERROR(SEARCH("Cumple",H105)))</formula>
    </cfRule>
  </conditionalFormatting>
  <conditionalFormatting sqref="H105">
    <cfRule type="containsErrors" dxfId="94" priority="42">
      <formula>ISERROR(H105)</formula>
    </cfRule>
  </conditionalFormatting>
  <conditionalFormatting sqref="C110">
    <cfRule type="containsErrors" dxfId="93" priority="41" stopIfTrue="1">
      <formula>ISERROR(C110)</formula>
    </cfRule>
  </conditionalFormatting>
  <conditionalFormatting sqref="C113">
    <cfRule type="containsErrors" dxfId="92" priority="31" stopIfTrue="1">
      <formula>ISERROR(C113)</formula>
    </cfRule>
  </conditionalFormatting>
  <conditionalFormatting sqref="H113">
    <cfRule type="containsText" dxfId="91" priority="39" operator="containsText" text="No cumple">
      <formula>NOT(ISERROR(SEARCH("No cumple",H113)))</formula>
    </cfRule>
    <cfRule type="containsText" dxfId="90" priority="40" operator="containsText" text="Cumple">
      <formula>NOT(ISERROR(SEARCH("Cumple",H113)))</formula>
    </cfRule>
  </conditionalFormatting>
  <conditionalFormatting sqref="H113">
    <cfRule type="containsErrors" dxfId="89" priority="38">
      <formula>ISERROR(H113)</formula>
    </cfRule>
  </conditionalFormatting>
  <conditionalFormatting sqref="C118">
    <cfRule type="containsErrors" dxfId="88" priority="30" stopIfTrue="1">
      <formula>ISERROR(C118)</formula>
    </cfRule>
  </conditionalFormatting>
  <conditionalFormatting sqref="H118">
    <cfRule type="containsText" dxfId="87" priority="36" operator="containsText" text="No cumple">
      <formula>NOT(ISERROR(SEARCH("No cumple",H118)))</formula>
    </cfRule>
    <cfRule type="containsText" dxfId="86" priority="37" operator="containsText" text="Cumple">
      <formula>NOT(ISERROR(SEARCH("Cumple",H118)))</formula>
    </cfRule>
  </conditionalFormatting>
  <conditionalFormatting sqref="H118">
    <cfRule type="containsErrors" dxfId="85" priority="35">
      <formula>ISERROR(H118)</formula>
    </cfRule>
  </conditionalFormatting>
  <conditionalFormatting sqref="H123">
    <cfRule type="containsText" dxfId="84" priority="28" operator="containsText" text="No cumple">
      <formula>NOT(ISERROR(SEARCH("No cumple",H123)))</formula>
    </cfRule>
    <cfRule type="containsText" dxfId="83" priority="29" operator="containsText" text="Cumple">
      <formula>NOT(ISERROR(SEARCH("Cumple",H123)))</formula>
    </cfRule>
  </conditionalFormatting>
  <conditionalFormatting sqref="H123">
    <cfRule type="containsErrors" dxfId="82" priority="27">
      <formula>ISERROR(H123)</formula>
    </cfRule>
  </conditionalFormatting>
  <conditionalFormatting sqref="C123">
    <cfRule type="containsErrors" dxfId="81" priority="25" stopIfTrue="1">
      <formula>ISERROR(C123)</formula>
    </cfRule>
  </conditionalFormatting>
  <conditionalFormatting sqref="C128">
    <cfRule type="containsErrors" dxfId="80" priority="24" stopIfTrue="1">
      <formula>ISERROR(C128)</formula>
    </cfRule>
  </conditionalFormatting>
  <conditionalFormatting sqref="C131">
    <cfRule type="containsErrors" dxfId="79" priority="23" stopIfTrue="1">
      <formula>ISERROR(C131)</formula>
    </cfRule>
  </conditionalFormatting>
  <conditionalFormatting sqref="H134">
    <cfRule type="containsText" dxfId="78" priority="19" operator="containsText" text="No cumple">
      <formula>NOT(ISERROR(SEARCH("No cumple",H134)))</formula>
    </cfRule>
    <cfRule type="containsText" dxfId="77" priority="20" operator="containsText" text="Cumple">
      <formula>NOT(ISERROR(SEARCH("Cumple",H134)))</formula>
    </cfRule>
  </conditionalFormatting>
  <conditionalFormatting sqref="H134">
    <cfRule type="containsErrors" dxfId="76" priority="18">
      <formula>ISERROR(H134)</formula>
    </cfRule>
  </conditionalFormatting>
  <conditionalFormatting sqref="F105">
    <cfRule type="containsErrors" dxfId="75" priority="16" stopIfTrue="1">
      <formula>ISERROR(F105)</formula>
    </cfRule>
  </conditionalFormatting>
  <conditionalFormatting sqref="F113">
    <cfRule type="containsErrors" dxfId="74" priority="15" stopIfTrue="1">
      <formula>ISERROR(F113)</formula>
    </cfRule>
  </conditionalFormatting>
  <conditionalFormatting sqref="F118">
    <cfRule type="containsErrors" dxfId="73" priority="14" stopIfTrue="1">
      <formula>ISERROR(F118)</formula>
    </cfRule>
  </conditionalFormatting>
  <conditionalFormatting sqref="F123">
    <cfRule type="containsErrors" dxfId="72" priority="13" stopIfTrue="1">
      <formula>ISERROR(F123)</formula>
    </cfRule>
  </conditionalFormatting>
  <conditionalFormatting sqref="C134">
    <cfRule type="containsErrors" dxfId="71" priority="12" stopIfTrue="1">
      <formula>ISERROR(C134)</formula>
    </cfRule>
  </conditionalFormatting>
  <conditionalFormatting sqref="F134">
    <cfRule type="containsErrors" dxfId="70" priority="11" stopIfTrue="1">
      <formula>ISERROR(F134)</formula>
    </cfRule>
  </conditionalFormatting>
  <conditionalFormatting sqref="I36">
    <cfRule type="containsText" dxfId="69" priority="10" operator="containsText" text="No cumple">
      <formula>NOT(ISERROR(SEARCH("No cumple",I36)))</formula>
    </cfRule>
  </conditionalFormatting>
  <conditionalFormatting sqref="B138">
    <cfRule type="containsText" dxfId="68" priority="8" operator="containsText" text="No cumple">
      <formula>NOT(ISERROR(SEARCH("No cumple",B138)))</formula>
    </cfRule>
    <cfRule type="containsText" dxfId="67" priority="9" operator="containsText" text="Cumple">
      <formula>NOT(ISERROR(SEARCH("Cumple",B138)))</formula>
    </cfRule>
  </conditionalFormatting>
  <conditionalFormatting sqref="B138:H140">
    <cfRule type="containsErrors" dxfId="66" priority="7">
      <formula>ISERROR(B138)</formula>
    </cfRule>
  </conditionalFormatting>
  <conditionalFormatting sqref="H41">
    <cfRule type="containsErrors" dxfId="65" priority="6" stopIfTrue="1">
      <formula>ISERROR(H41)</formula>
    </cfRule>
  </conditionalFormatting>
  <conditionalFormatting sqref="H42">
    <cfRule type="containsErrors" dxfId="64" priority="5" stopIfTrue="1">
      <formula>ISERROR(H42)</formula>
    </cfRule>
  </conditionalFormatting>
  <conditionalFormatting sqref="H43:H47">
    <cfRule type="containsErrors" dxfId="63" priority="4" stopIfTrue="1">
      <formula>ISERROR(H43)</formula>
    </cfRule>
  </conditionalFormatting>
  <conditionalFormatting sqref="D23">
    <cfRule type="containsErrors" dxfId="62" priority="1" stopIfTrue="1">
      <formula>ISERROR(D23)</formula>
    </cfRule>
  </conditionalFormatting>
  <conditionalFormatting sqref="C23">
    <cfRule type="containsErrors" dxfId="61" priority="2" stopIfTrue="1">
      <formula>ISERROR(C23)</formula>
    </cfRule>
  </conditionalFormatting>
  <dataValidations disablePrompts="1" count="8">
    <dataValidation type="list" allowBlank="1" showInputMessage="1" showErrorMessage="1" sqref="D8:D9 D11">
      <formula1>"250,350"</formula1>
    </dataValidation>
    <dataValidation type="list" errorStyle="warning" allowBlank="1" showInputMessage="1" showErrorMessage="1" error="Verificar tipo de perfil " prompt="Seleccionar tipo de perfil " sqref="H3:I4">
      <formula1>INDIRECT(D3)</formula1>
    </dataValidation>
    <dataValidation type="list" errorStyle="warning" allowBlank="1" showInputMessage="1" showErrorMessage="1" error="Verificar tipo de perfil " prompt="Seleccionar tipo de perfil " sqref="E3:G4">
      <formula1>INDIRECT(B3)</formula1>
    </dataValidation>
    <dataValidation type="list" allowBlank="1" showInputMessage="1" showErrorMessage="1" sqref="B3:B4">
      <formula1>TIPO</formula1>
    </dataValidation>
    <dataValidation type="list" allowBlank="1" showInputMessage="1" showErrorMessage="1" sqref="D26">
      <formula1>"A307,A325,A490,Pieza roscada"</formula1>
    </dataValidation>
    <dataValidation type="list" allowBlank="1" showInputMessage="1" showErrorMessage="1" sqref="D27">
      <formula1>"Si,No"</formula1>
    </dataValidation>
    <dataValidation type="list" allowBlank="1" showInputMessage="1" showErrorMessage="1" sqref="G52 G124 G119 G114 G102 G106 G96 G80 G75 G70 G58 G62">
      <formula1>$N$51:$N$54</formula1>
    </dataValidation>
    <dataValidation type="list" allowBlank="1" showInputMessage="1" showErrorMessage="1" sqref="H32">
      <formula1>"413.7,482.6"</formula1>
    </dataValidation>
  </dataValidations>
  <pageMargins left="0.7" right="0.7" top="0.75" bottom="0.75" header="0.3" footer="0.3"/>
  <pageSetup paperSize="9" scale="52" orientation="portrait" r:id="rId1"/>
  <rowBreaks count="1" manualBreakCount="1">
    <brk id="92" max="8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'Datos genericos columnas'!$C$2:$C$4</xm:f>
          </x14:formula1>
          <xm:sqref>E5</xm:sqref>
        </x14:dataValidation>
        <x14:dataValidation type="list" allowBlank="1" showInputMessage="1" showErrorMessage="1">
          <x14:formula1>
            <xm:f>'Datos genericos conexiones'!$F$2:$F$7</xm:f>
          </x14:formula1>
          <xm:sqref>H11 H23 H13 H25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rgb="FF3857F0"/>
  </sheetPr>
  <dimension ref="A1:I335"/>
  <sheetViews>
    <sheetView view="pageBreakPreview" topLeftCell="B2" zoomScale="85" zoomScaleNormal="80" zoomScaleSheetLayoutView="85" zoomScalePageLayoutView="70" workbookViewId="0">
      <selection activeCell="L18" sqref="L18"/>
    </sheetView>
  </sheetViews>
  <sheetFormatPr baseColWidth="10" defaultColWidth="11.42578125" defaultRowHeight="14.25" x14ac:dyDescent="0.2"/>
  <cols>
    <col min="1" max="1" width="11.7109375" style="4" customWidth="1"/>
    <col min="2" max="2" width="13" style="4" customWidth="1"/>
    <col min="3" max="3" width="13.7109375" style="4" bestFit="1" customWidth="1"/>
    <col min="4" max="4" width="12.42578125" style="4" bestFit="1" customWidth="1"/>
    <col min="5" max="5" width="12" style="4" customWidth="1"/>
    <col min="6" max="6" width="13" style="4" customWidth="1"/>
    <col min="7" max="7" width="12.140625" style="4" customWidth="1"/>
    <col min="8" max="8" width="14.42578125" style="4" customWidth="1"/>
    <col min="9" max="9" width="15.7109375" style="4" customWidth="1"/>
    <col min="10" max="16384" width="11.42578125" style="4"/>
  </cols>
  <sheetData>
    <row r="1" spans="1:9" ht="15.75" x14ac:dyDescent="0.25">
      <c r="A1" s="574" t="s">
        <v>2520</v>
      </c>
      <c r="B1" s="574"/>
      <c r="C1" s="574"/>
      <c r="D1" s="574"/>
      <c r="E1" s="488"/>
      <c r="F1" s="488"/>
      <c r="G1" s="488"/>
      <c r="H1" s="488"/>
      <c r="I1" s="488"/>
    </row>
    <row r="2" spans="1:9" ht="20.25" customHeight="1" x14ac:dyDescent="0.2">
      <c r="A2" s="519" t="s">
        <v>206</v>
      </c>
      <c r="B2" s="520"/>
      <c r="C2" s="520"/>
      <c r="D2" s="520"/>
      <c r="E2" s="520"/>
      <c r="F2" s="520"/>
      <c r="G2" s="520"/>
      <c r="H2" s="520"/>
      <c r="I2" s="521"/>
    </row>
    <row r="3" spans="1:9" ht="15" customHeight="1" x14ac:dyDescent="0.2">
      <c r="A3" s="42" t="s">
        <v>1131</v>
      </c>
      <c r="B3" s="578" t="s">
        <v>77</v>
      </c>
      <c r="C3" s="579"/>
      <c r="D3" s="580"/>
      <c r="E3" s="575" t="s">
        <v>130</v>
      </c>
      <c r="F3" s="576"/>
      <c r="G3" s="576"/>
      <c r="H3" s="576"/>
      <c r="I3" s="577"/>
    </row>
    <row r="4" spans="1:9" ht="15" customHeight="1" x14ac:dyDescent="0.2">
      <c r="A4" s="42" t="s">
        <v>1132</v>
      </c>
      <c r="B4" s="578" t="s">
        <v>77</v>
      </c>
      <c r="C4" s="579"/>
      <c r="D4" s="580"/>
      <c r="E4" s="575" t="s">
        <v>683</v>
      </c>
      <c r="F4" s="576"/>
      <c r="G4" s="576"/>
      <c r="H4" s="576"/>
      <c r="I4" s="577"/>
    </row>
    <row r="5" spans="1:9" ht="15" x14ac:dyDescent="0.2">
      <c r="A5" s="581" t="s">
        <v>208</v>
      </c>
      <c r="B5" s="582"/>
      <c r="C5" s="582"/>
      <c r="D5" s="583"/>
      <c r="E5" s="47" t="s">
        <v>76</v>
      </c>
      <c r="F5" s="581" t="s">
        <v>1133</v>
      </c>
      <c r="G5" s="582"/>
      <c r="H5" s="583"/>
      <c r="I5" s="218" t="s">
        <v>2516</v>
      </c>
    </row>
    <row r="6" spans="1:9" x14ac:dyDescent="0.2">
      <c r="A6" s="6"/>
      <c r="B6" s="6"/>
      <c r="C6" s="6"/>
      <c r="D6" s="6"/>
      <c r="E6" s="6"/>
      <c r="F6" s="6"/>
      <c r="G6" s="6"/>
      <c r="H6" s="6"/>
      <c r="I6" s="6"/>
    </row>
    <row r="7" spans="1:9" x14ac:dyDescent="0.2">
      <c r="A7" s="6"/>
      <c r="B7" s="490" t="s">
        <v>216</v>
      </c>
      <c r="C7" s="490"/>
      <c r="D7" s="86">
        <v>200000</v>
      </c>
      <c r="E7" s="92"/>
      <c r="F7" s="639" t="s">
        <v>1165</v>
      </c>
      <c r="G7" s="639"/>
      <c r="H7" s="639"/>
      <c r="I7" s="6"/>
    </row>
    <row r="8" spans="1:9" x14ac:dyDescent="0.2">
      <c r="A8" s="6"/>
      <c r="B8" s="524" t="s">
        <v>1138</v>
      </c>
      <c r="C8" s="525"/>
      <c r="D8" s="237">
        <v>350</v>
      </c>
      <c r="E8" s="98"/>
      <c r="F8" s="637" t="s">
        <v>1051</v>
      </c>
      <c r="G8" s="638"/>
      <c r="H8" s="84">
        <v>5</v>
      </c>
      <c r="I8" s="384" t="str">
        <f>IF(((1.2*(D31*D33*D34))+(D32*D33*D34)+MIN(((2*1.1*((D23/1000000)*D9*1000))/(IF(E5="DMI",D35,D36))),(1.25*D37)))&lt;=H8,"",CONCATENATE("No cumple min=",((1.2*(D31*D33*D34))+(D32*D33*D34)+MIN(((2*1.1*((D23/1000000)*D9*1000))/(IF(E5="DMI",D35,D36))),(1.25*D37)))))</f>
        <v>No cumple min=87.15</v>
      </c>
    </row>
    <row r="9" spans="1:9" ht="15" customHeight="1" x14ac:dyDescent="0.2">
      <c r="A9" s="6"/>
      <c r="B9" s="524" t="s">
        <v>1139</v>
      </c>
      <c r="C9" s="525"/>
      <c r="D9" s="237">
        <v>350</v>
      </c>
      <c r="E9" s="6"/>
      <c r="F9" s="637" t="s">
        <v>1155</v>
      </c>
      <c r="G9" s="638"/>
      <c r="H9" s="237">
        <v>3</v>
      </c>
      <c r="I9" s="6"/>
    </row>
    <row r="10" spans="1:9" x14ac:dyDescent="0.2">
      <c r="A10" s="6"/>
      <c r="B10" s="6"/>
      <c r="C10" s="6"/>
      <c r="D10" s="6"/>
      <c r="E10" s="99"/>
      <c r="F10" s="573" t="s">
        <v>1164</v>
      </c>
      <c r="G10" s="573"/>
      <c r="H10" s="237">
        <v>1</v>
      </c>
      <c r="I10" s="6"/>
    </row>
    <row r="11" spans="1:9" ht="14.25" customHeight="1" x14ac:dyDescent="0.2">
      <c r="A11" s="6"/>
      <c r="B11" s="524" t="s">
        <v>1152</v>
      </c>
      <c r="C11" s="525"/>
      <c r="D11" s="237">
        <v>250</v>
      </c>
      <c r="E11" s="99"/>
      <c r="F11" s="637" t="s">
        <v>1156</v>
      </c>
      <c r="G11" s="638"/>
      <c r="H11" s="235">
        <v>0.75</v>
      </c>
      <c r="I11" s="6"/>
    </row>
    <row r="12" spans="1:9" ht="15" customHeight="1" x14ac:dyDescent="0.2">
      <c r="A12" s="6"/>
      <c r="B12" s="524" t="s">
        <v>1153</v>
      </c>
      <c r="C12" s="525"/>
      <c r="D12" s="43">
        <f>IF(D11=250,58*7,60*7)</f>
        <v>406</v>
      </c>
      <c r="E12" s="99"/>
      <c r="F12" s="637" t="s">
        <v>1167</v>
      </c>
      <c r="G12" s="638"/>
      <c r="H12" s="84">
        <v>300</v>
      </c>
      <c r="I12" s="6"/>
    </row>
    <row r="13" spans="1:9" ht="15" customHeight="1" x14ac:dyDescent="0.2">
      <c r="A13" s="6"/>
      <c r="B13" s="6"/>
      <c r="C13" s="6"/>
      <c r="D13" s="6"/>
      <c r="E13" s="99"/>
      <c r="F13" s="637" t="s">
        <v>1168</v>
      </c>
      <c r="G13" s="638"/>
      <c r="H13" s="234">
        <v>0.375</v>
      </c>
      <c r="I13" s="6"/>
    </row>
    <row r="14" spans="1:9" ht="15" customHeight="1" x14ac:dyDescent="0.2">
      <c r="A14" s="6"/>
      <c r="B14" s="626" t="s">
        <v>1151</v>
      </c>
      <c r="C14" s="626"/>
      <c r="D14" s="243">
        <f>IF(D26="Si",VLOOKUP(D25,'Datos genericos conexiones'!A4:B7,2,FALSE),VLOOKUP(D25,'Datos genericos conexiones'!A4:C7,3,FALSE))</f>
        <v>457</v>
      </c>
      <c r="E14" s="99"/>
      <c r="F14" s="612" t="s">
        <v>1176</v>
      </c>
      <c r="G14" s="612"/>
      <c r="H14" s="641">
        <v>50</v>
      </c>
      <c r="I14" s="640" t="str">
        <f>IF(H14&lt;VLOOKUP(H11,'Datos genericos conexiones'!F2:H7,3,FALSE),"No cumple","")</f>
        <v/>
      </c>
    </row>
    <row r="15" spans="1:9" x14ac:dyDescent="0.2">
      <c r="A15" s="6"/>
      <c r="B15" s="490" t="s">
        <v>1150</v>
      </c>
      <c r="C15" s="490"/>
      <c r="D15" s="85"/>
      <c r="E15" s="99"/>
      <c r="F15" s="612"/>
      <c r="G15" s="612"/>
      <c r="H15" s="641"/>
      <c r="I15" s="640"/>
    </row>
    <row r="16" spans="1:9" ht="14.25" customHeight="1" x14ac:dyDescent="0.2">
      <c r="A16" s="6"/>
      <c r="B16" s="6"/>
      <c r="C16" s="6"/>
      <c r="D16" s="6"/>
      <c r="E16" s="99"/>
      <c r="F16" s="612" t="s">
        <v>1189</v>
      </c>
      <c r="G16" s="612"/>
      <c r="H16" s="641">
        <v>50</v>
      </c>
      <c r="I16" s="642" t="str">
        <f>IF(H16&lt;VLOOKUP(H11,'Datos genericos conexiones'!F2:H7,3,FALSE),"No cumple","")</f>
        <v/>
      </c>
    </row>
    <row r="17" spans="1:9" x14ac:dyDescent="0.2">
      <c r="A17" s="6"/>
      <c r="B17" s="6"/>
      <c r="C17" s="244" t="s">
        <v>1135</v>
      </c>
      <c r="D17" s="244" t="s">
        <v>1136</v>
      </c>
      <c r="E17" s="99"/>
      <c r="F17" s="612"/>
      <c r="G17" s="612"/>
      <c r="H17" s="641"/>
      <c r="I17" s="642"/>
    </row>
    <row r="18" spans="1:9" ht="18" x14ac:dyDescent="0.25">
      <c r="A18" s="6"/>
      <c r="B18" s="45" t="s">
        <v>194</v>
      </c>
      <c r="C18" s="219" t="str">
        <f>IF(B3="TUBULAR_CIRCULAR",VLOOKUP($E$3,'Tabla Perfiles tubular'!A1:R360,2,FALSE),"N/A")</f>
        <v>N/A</v>
      </c>
      <c r="D18" s="219" t="str">
        <f>IF(B4="TUBULAR_CIRCULAR",VLOOKUP($E$4,'Tabla Perfiles tubular'!A1:R360,2,FALSE),"N/A")</f>
        <v>N/A</v>
      </c>
      <c r="E18" s="99"/>
      <c r="F18" s="6"/>
      <c r="G18" s="6"/>
      <c r="H18" s="6"/>
      <c r="I18" s="6"/>
    </row>
    <row r="19" spans="1:9" x14ac:dyDescent="0.2">
      <c r="A19" s="6"/>
      <c r="B19" s="43" t="s">
        <v>92</v>
      </c>
      <c r="C19" s="242">
        <f>IF(B3="LAMINADO",VLOOKUP(E3,'Tabla Perfiles laminados'!A4:AB460,2,FALSE),(IF(B3="TUBULAR_RECTANGULAR",VLOOKUP(E3,'Tabla Perfiles tubular'!A260:R360,3,FALSE),IF(B3="TUBULAR_CUADRADO",VLOOKUP(E3,'Tabla Perfiles tubular'!A171:R259,4,FALSE),"N/A"))))</f>
        <v>230</v>
      </c>
      <c r="D19" s="242">
        <f>IF(B4="LAMINADO",VLOOKUP(E4,'Tabla Perfiles laminados'!A4:AB460,2,FALSE),(IF(B4="TUBULAR_RECTANGULAR",VLOOKUP(E4,'Tabla Perfiles tubular'!A260:R360,3,FALSE),IF(B4="TUBULAR_CUADRADO",VLOOKUP(E4,'Tabla Perfiles tubular'!A171:R259,4,FALSE),"N/A"))))</f>
        <v>300</v>
      </c>
      <c r="E19" s="99"/>
      <c r="F19" s="526" t="s">
        <v>1177</v>
      </c>
      <c r="G19" s="601"/>
      <c r="H19" s="527"/>
      <c r="I19" s="6"/>
    </row>
    <row r="20" spans="1:9" x14ac:dyDescent="0.2">
      <c r="A20" s="6"/>
      <c r="B20" s="43" t="str">
        <f>IF(B3="LAMINADO","bf","b")</f>
        <v>bf</v>
      </c>
      <c r="C20" s="242">
        <f>IF(B3="LAMINADO",VLOOKUP(E3,'Tabla Perfiles laminados'!A4:AB460,3,FALSE),(IF(B3="TUBULAR_RECTANGULAR",VLOOKUP(E3,'Tabla Perfiles tubular'!A260:R360,4,FALSE),IF(B3="TUBULAR_CUADRADO",VLOOKUP(E3,'Tabla Perfiles tubular'!A171:R259,4,FALSE),"N/A"))))</f>
        <v>240</v>
      </c>
      <c r="D20" s="242">
        <f>IF(B4="LAMINADO",VLOOKUP(E4,'Tabla Perfiles laminados'!A4:AB460,3,FALSE),(IF(B4="TUBULAR_RECTANGULAR",VLOOKUP(E4,'Tabla Perfiles tubular'!A260:R360,4,FALSE),IF(B4="TUBULAR_CUADRADO",VLOOKUP(E4,'Tabla Perfiles tubular'!A171:R259,4,FALSE),"N/A"))))</f>
        <v>150</v>
      </c>
      <c r="E20" s="6"/>
      <c r="F20" s="615" t="s">
        <v>1178</v>
      </c>
      <c r="G20" s="616"/>
      <c r="H20" s="85">
        <v>482.6</v>
      </c>
      <c r="I20" s="6"/>
    </row>
    <row r="21" spans="1:9" ht="18.75" x14ac:dyDescent="0.35">
      <c r="A21" s="6"/>
      <c r="B21" s="43" t="s">
        <v>197</v>
      </c>
      <c r="C21" s="242">
        <f>IF(B3="LAMINADO",IF(I5="Patín-alma",VLOOKUP(E3,'Tabla Perfiles laminados'!A4:AB460,4,FALSE),VLOOKUP($E$3,'Tabla Perfiles laminados'!A1:AB460,6,FALSE)),(IF(B3="TUBULAR_RECTANGULAR",VLOOKUP(E3,'Tabla Perfiles tubular'!A260:R360,5,FALSE),IF(B3="TUBULAR_CUADRADO",VLOOKUP(E3,'Tabla Perfiles tubular'!A171:R259,5,FALSE),IF(B3="TUBULAR_CIRCULAR",VLOOKUP(E3,'Tabla Perfiles tubular'!A3:R170,5,FALSE),"N/A")))))</f>
        <v>12</v>
      </c>
      <c r="D21" s="242">
        <f>IF(B4="LAMINADO",IF(I5="Patín-alma",VLOOKUP(E4,'Tabla Perfiles laminados'!A4:AB460,4,FALSE),VLOOKUP($E$4,'Tabla Perfiles laminados'!A1:AB460,6,FALSE)),(IF(B4="TUBULAR_RECTANGULAR",VLOOKUP(E4,'Tabla Perfiles tubular'!A260:R360,5,FALSE),IF(B4="TUBULAR_CUADRADO",VLOOKUP(E4,'Tabla Perfiles tubular'!A171:R259,5,FALSE),IF(B4="TUBULAR_CIRCULAR",VLOOKUP(E4,'Tabla Perfiles tubular'!A3:R170,5,FALSE),"N/A")))))</f>
        <v>10.7</v>
      </c>
      <c r="E21" s="6"/>
      <c r="F21" s="615" t="s">
        <v>1185</v>
      </c>
      <c r="G21" s="616"/>
      <c r="H21" s="84">
        <v>0</v>
      </c>
      <c r="I21" s="6"/>
    </row>
    <row r="22" spans="1:9" ht="18" x14ac:dyDescent="0.25">
      <c r="A22" s="6"/>
      <c r="B22" s="43" t="s">
        <v>221</v>
      </c>
      <c r="C22" s="242">
        <f>IF(B3="LAMINADO",VLOOKUP(E3,'Tabla Perfiles laminados'!A4:AB460,10,FALSE),(IF(B3="TUBULAR_RECTANGULAR",VLOOKUP(E3,'Tabla Perfiles tubular'!A260:R360,7,FALSE),IF(B3="TUBULAR_CUADRADO",VLOOKUP(E3,'Tabla Perfiles tubular'!A171:R259,7,FALSE),IF(B3="TUBULAR_CIRCULAR",VLOOKUP(E3,'Tabla Perfiles tubular'!A3:R170,7,FALSE),"N/A")))))</f>
        <v>76.8</v>
      </c>
      <c r="D22" s="242">
        <f>IF(B4="LAMINADO",VLOOKUP(E4,'Tabla Perfiles laminados'!A4:AB460,10,FALSE),(IF(B4="TUBULAR_RECTANGULAR",VLOOKUP(E4,'Tabla Perfiles tubular'!A260:R360,7,FALSE),IF(B4="TUBULAR_CUADRADO",VLOOKUP(E4,'Tabla Perfiles tubular'!A171:R259,7,FALSE),IF(B4="TUBULAR_CIRCULAR",VLOOKUP(E4,'Tabla Perfiles tubular'!A3:R170,7,FALSE),"N/A")))))</f>
        <v>53.8</v>
      </c>
      <c r="E22" s="6"/>
      <c r="F22" s="615" t="s">
        <v>2512</v>
      </c>
      <c r="G22" s="616"/>
      <c r="H22" s="84">
        <v>6</v>
      </c>
      <c r="I22" s="241" t="str">
        <f>IF(H22&lt;(IF(MIN('Conexiones a cortante'!H13*25.4,'Conexiones a cortante'!C21)&lt;'Datos genericos conexiones'!K3,'Datos genericos conexiones'!L3,IF(MIN('Conexiones a cortante'!H13*25.4,'Conexiones a cortante'!C21)&lt;'Datos genericos conexiones'!K4,'Datos genericos conexiones'!L4,IF(MIN('Conexiones a cortante'!H13*25.4,'Conexiones a cortante'!C21)&lt;'Datos genericos conexiones'!K5,'Datos genericos conexiones'!L5,IF(MIN('Conexiones a cortante'!H13*25.4,'Conexiones a cortante'!C21)&gt;'Datos genericos conexiones'!J6,'Datos genericos conexiones'!L6,""))))),"No cumple","")</f>
        <v/>
      </c>
    </row>
    <row r="23" spans="1:9" x14ac:dyDescent="0.2">
      <c r="A23" s="6"/>
      <c r="B23" s="43" t="s">
        <v>104</v>
      </c>
      <c r="C23" s="265">
        <f>IF(B3="LAMINADO",VLOOKUP(E3,'Tabla Perfiles laminados'!A4:AB460,16,FALSE),(IF(B3="TUBULAR_RECTANGULAR",VLOOKUP(E3,'Tabla Perfiles tubular'!A260:R360,15,FALSE),IF(B3="TUBULAR_CUADRADO",VLOOKUP(E3,'Tabla Perfiles tubular'!A171:R259,15,FALSE),IF(B3="TUBULAR_CIRCULAR",VLOOKUP(E3,'Tabla Perfiles tubular'!A3:R170,15,FALSE),"N/A")))))</f>
        <v>744</v>
      </c>
      <c r="D23" s="265">
        <f>IF(B4="LAMINADO",VLOOKUP(E4,'Tabla Perfiles laminados'!A4:AB460,16,FALSE),(IF(B4="TUBULAR_RECTANGULAR",VLOOKUP(E4,'Tabla Perfiles tubular'!A260:R360,15,FALSE),IF(B4="TUBULAR_CUADRADO",VLOOKUP(E4,'Tabla Perfiles tubular'!A171:R259,15,FALSE),IF(B4="TUBULAR_CIRCULAR",VLOOKUP(E4,'Tabla Perfiles tubular'!A3:R170,15,FALSE),"N/A")))))</f>
        <v>628</v>
      </c>
      <c r="E23" s="6"/>
      <c r="F23" s="252" t="str">
        <f>IF(I22="No cumple",CONCATENATE("W Minimo conexión a cortante ",IF(I22="No cumple",(IF(MIN('Conexiones a cortante'!H13*25.4,'Conexiones a cortante'!H25*25.4)&lt;'Datos genericos conexiones'!K3,'Datos genericos conexiones'!L3,IF(MIN('Conexiones a cortante'!H13*25.4,'Conexiones a cortante'!H25*25.4)&lt;'Datos genericos conexiones'!K4,'Datos genericos conexiones'!L4,IF(MIN('Conexiones a cortante'!H13*25.4,'Conexiones a cortante'!H25*25.4)&lt;'Datos genericos conexiones'!K5,'Datos genericos conexiones'!L5,IF(MIN('Conexiones a cortante'!H13*25.4,'Conexiones a cortante'!H25*25.4)&gt;'Datos genericos conexiones'!J6,'Datos genericos conexiones'!L6,""))))),""),"mm"),"")</f>
        <v/>
      </c>
      <c r="G23" s="252"/>
      <c r="H23" s="252"/>
    </row>
    <row r="24" spans="1:9" ht="14.25" customHeight="1" x14ac:dyDescent="0.2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">
      <c r="A25" s="6"/>
      <c r="B25" s="524" t="s">
        <v>1140</v>
      </c>
      <c r="C25" s="525"/>
      <c r="D25" s="381" t="s">
        <v>1148</v>
      </c>
      <c r="E25" s="6"/>
      <c r="F25" s="6"/>
      <c r="G25" s="6"/>
      <c r="H25" s="6"/>
      <c r="I25" s="6"/>
    </row>
    <row r="26" spans="1:9" x14ac:dyDescent="0.2">
      <c r="A26" s="6"/>
      <c r="B26" s="650" t="s">
        <v>1141</v>
      </c>
      <c r="C26" s="651"/>
      <c r="D26" s="659" t="s">
        <v>1158</v>
      </c>
      <c r="E26" s="6"/>
      <c r="F26" s="6"/>
      <c r="G26" s="6"/>
      <c r="H26" s="6"/>
      <c r="I26" s="6"/>
    </row>
    <row r="27" spans="1:9" x14ac:dyDescent="0.2">
      <c r="A27" s="6"/>
      <c r="B27" s="652"/>
      <c r="C27" s="653"/>
      <c r="D27" s="659"/>
      <c r="E27" s="6"/>
      <c r="F27" s="6"/>
      <c r="G27" s="6"/>
      <c r="H27" s="6"/>
      <c r="I27" s="6"/>
    </row>
    <row r="28" spans="1:9" ht="15" customHeight="1" x14ac:dyDescent="0.2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">
      <c r="A30" s="6"/>
      <c r="B30" s="526" t="s">
        <v>1209</v>
      </c>
      <c r="C30" s="601"/>
      <c r="D30" s="527"/>
      <c r="E30" s="6"/>
      <c r="F30" s="6"/>
      <c r="G30" s="6"/>
      <c r="H30" s="6"/>
      <c r="I30" s="6"/>
    </row>
    <row r="31" spans="1:9" x14ac:dyDescent="0.2">
      <c r="A31" s="6"/>
      <c r="B31" s="615" t="s">
        <v>1201</v>
      </c>
      <c r="C31" s="616"/>
      <c r="D31" s="263">
        <v>4</v>
      </c>
      <c r="E31" s="6"/>
      <c r="F31" s="6"/>
      <c r="G31" s="6"/>
      <c r="H31" s="6"/>
      <c r="I31" s="6"/>
    </row>
    <row r="32" spans="1:9" x14ac:dyDescent="0.2">
      <c r="A32" s="6"/>
      <c r="B32" s="615" t="s">
        <v>1202</v>
      </c>
      <c r="C32" s="616"/>
      <c r="D32" s="263">
        <v>5</v>
      </c>
      <c r="E32" s="6"/>
      <c r="F32" s="6"/>
      <c r="G32" s="6"/>
      <c r="H32" s="6"/>
      <c r="I32" s="6"/>
    </row>
    <row r="33" spans="1:9" x14ac:dyDescent="0.2">
      <c r="A33" s="6"/>
      <c r="B33" s="615" t="s">
        <v>1203</v>
      </c>
      <c r="C33" s="616"/>
      <c r="D33" s="264">
        <v>2</v>
      </c>
      <c r="E33" s="6"/>
      <c r="F33" s="6"/>
      <c r="G33" s="6"/>
      <c r="H33" s="6"/>
      <c r="I33" s="6"/>
    </row>
    <row r="34" spans="1:9" x14ac:dyDescent="0.2">
      <c r="A34" s="6"/>
      <c r="B34" s="615" t="s">
        <v>1204</v>
      </c>
      <c r="C34" s="616"/>
      <c r="D34" s="264">
        <v>4</v>
      </c>
      <c r="E34" s="6"/>
      <c r="F34" s="6"/>
      <c r="G34" s="6"/>
      <c r="H34" s="6"/>
      <c r="I34" s="6"/>
    </row>
    <row r="35" spans="1:9" x14ac:dyDescent="0.2">
      <c r="A35" s="6"/>
      <c r="B35" s="615" t="s">
        <v>1205</v>
      </c>
      <c r="C35" s="616"/>
      <c r="D35" s="264">
        <v>6</v>
      </c>
      <c r="E35" s="6"/>
      <c r="F35" s="6"/>
      <c r="G35" s="6"/>
      <c r="H35" s="6"/>
      <c r="I35" s="6"/>
    </row>
    <row r="36" spans="1:9" x14ac:dyDescent="0.2">
      <c r="A36" s="6"/>
      <c r="B36" s="615" t="s">
        <v>1206</v>
      </c>
      <c r="C36" s="616"/>
      <c r="D36" s="264">
        <v>4</v>
      </c>
      <c r="E36" s="6"/>
      <c r="F36" s="6"/>
      <c r="G36" s="6"/>
      <c r="H36" s="6"/>
      <c r="I36" s="6"/>
    </row>
    <row r="37" spans="1:9" x14ac:dyDescent="0.2">
      <c r="A37" s="6"/>
      <c r="B37" s="615" t="s">
        <v>1208</v>
      </c>
      <c r="C37" s="616"/>
      <c r="D37" s="267">
        <v>7</v>
      </c>
      <c r="E37" s="6"/>
      <c r="F37" s="6"/>
      <c r="G37" s="6"/>
      <c r="H37" s="6"/>
      <c r="I37" s="6"/>
    </row>
    <row r="38" spans="1:9" x14ac:dyDescent="0.2">
      <c r="A38" s="6"/>
      <c r="B38" s="6"/>
      <c r="C38" s="6"/>
      <c r="D38" s="6"/>
      <c r="E38" s="6"/>
      <c r="F38" s="6"/>
      <c r="G38" s="6"/>
      <c r="H38" s="6"/>
      <c r="I38" s="6"/>
    </row>
    <row r="39" spans="1:9" x14ac:dyDescent="0.2">
      <c r="A39" s="6"/>
      <c r="B39" s="6"/>
      <c r="C39" s="6"/>
      <c r="D39" s="6"/>
      <c r="E39" s="6"/>
      <c r="F39" s="6"/>
      <c r="G39" s="6"/>
      <c r="H39" s="6"/>
      <c r="I39" s="6"/>
    </row>
    <row r="40" spans="1:9" ht="15.75" x14ac:dyDescent="0.2">
      <c r="A40" s="519" t="s">
        <v>1186</v>
      </c>
      <c r="B40" s="520"/>
      <c r="C40" s="520"/>
      <c r="D40" s="520"/>
      <c r="E40" s="520"/>
      <c r="F40" s="520"/>
      <c r="G40" s="520"/>
      <c r="H40" s="520"/>
      <c r="I40" s="521"/>
    </row>
    <row r="41" spans="1:9" ht="15" x14ac:dyDescent="0.2">
      <c r="A41" s="630" t="s">
        <v>1159</v>
      </c>
      <c r="B41" s="631"/>
      <c r="C41" s="631"/>
      <c r="D41" s="631"/>
      <c r="E41" s="631"/>
      <c r="F41" s="631"/>
      <c r="G41" s="631"/>
      <c r="H41" s="631"/>
      <c r="I41" s="632"/>
    </row>
    <row r="42" spans="1:9" x14ac:dyDescent="0.2">
      <c r="A42" s="6"/>
      <c r="B42" s="6"/>
      <c r="C42" s="6"/>
      <c r="D42" s="6"/>
      <c r="E42" s="6"/>
      <c r="F42" s="6"/>
      <c r="G42" s="6"/>
      <c r="H42" s="6"/>
      <c r="I42" s="6"/>
    </row>
    <row r="43" spans="1:9" ht="15" customHeight="1" x14ac:dyDescent="0.2">
      <c r="A43" s="245"/>
      <c r="B43" s="490" t="s">
        <v>1172</v>
      </c>
      <c r="C43" s="623">
        <f>((0.75*D14*(((H11*25.4)^2)*(PI()/4)))/1000)*H9</f>
        <v>293.07485552737609</v>
      </c>
      <c r="D43" s="625" t="s">
        <v>1157</v>
      </c>
      <c r="E43" s="633" t="s">
        <v>1094</v>
      </c>
      <c r="F43" s="623">
        <f>+H8</f>
        <v>5</v>
      </c>
      <c r="G43" s="231"/>
      <c r="H43" s="490" t="str">
        <f>+IF(C43&gt;=F43,"Cumple","No cumple")</f>
        <v>Cumple</v>
      </c>
      <c r="I43" s="5"/>
    </row>
    <row r="44" spans="1:9" x14ac:dyDescent="0.2">
      <c r="A44" s="245"/>
      <c r="B44" s="490"/>
      <c r="C44" s="624"/>
      <c r="D44" s="625"/>
      <c r="E44" s="633"/>
      <c r="F44" s="624"/>
      <c r="H44" s="490"/>
      <c r="I44" s="5"/>
    </row>
    <row r="45" spans="1:9" ht="15" x14ac:dyDescent="0.25">
      <c r="A45" s="223"/>
      <c r="B45" s="246"/>
      <c r="C45" s="233"/>
      <c r="D45" s="233"/>
      <c r="E45" s="233"/>
      <c r="F45" s="233"/>
      <c r="G45" s="233"/>
      <c r="H45" s="233"/>
      <c r="I45" s="233"/>
    </row>
    <row r="46" spans="1:9" ht="15" x14ac:dyDescent="0.2">
      <c r="A46" s="630" t="s">
        <v>1160</v>
      </c>
      <c r="B46" s="631"/>
      <c r="C46" s="631"/>
      <c r="D46" s="631"/>
      <c r="E46" s="631"/>
      <c r="F46" s="631"/>
      <c r="G46" s="631"/>
      <c r="H46" s="631"/>
      <c r="I46" s="632"/>
    </row>
    <row r="47" spans="1:9" ht="15" x14ac:dyDescent="0.25">
      <c r="A47" s="233"/>
      <c r="B47" s="233"/>
      <c r="C47" s="233"/>
      <c r="D47" s="233"/>
      <c r="E47" s="233"/>
      <c r="F47" s="5"/>
      <c r="G47" s="5"/>
      <c r="H47" s="5"/>
      <c r="I47" s="5"/>
    </row>
    <row r="48" spans="1:9" s="6" customFormat="1" x14ac:dyDescent="0.2">
      <c r="A48" s="5"/>
      <c r="B48" s="626" t="s">
        <v>1162</v>
      </c>
      <c r="C48" s="628">
        <f>(3*H11*25.4*((H9/H10)-1))+(2*VLOOKUP(H11,'Datos genericos conexiones'!F2:H7,3,FALSE))</f>
        <v>165.1</v>
      </c>
      <c r="D48" s="635" t="s">
        <v>1043</v>
      </c>
      <c r="E48" s="490" t="s">
        <v>1163</v>
      </c>
      <c r="F48" s="628">
        <f>+H12</f>
        <v>300</v>
      </c>
      <c r="G48" s="239"/>
      <c r="H48" s="490" t="str">
        <f>+IF(C48&lt;=F48,"Cumple","No cumple")</f>
        <v>Cumple</v>
      </c>
      <c r="I48" s="5"/>
    </row>
    <row r="49" spans="1:9" s="6" customFormat="1" x14ac:dyDescent="0.2">
      <c r="A49" s="245"/>
      <c r="B49" s="626"/>
      <c r="C49" s="629"/>
      <c r="D49" s="636"/>
      <c r="E49" s="490"/>
      <c r="F49" s="629"/>
      <c r="G49" s="240"/>
      <c r="H49" s="490"/>
      <c r="I49" s="5"/>
    </row>
    <row r="50" spans="1:9" s="6" customFormat="1" x14ac:dyDescent="0.2">
      <c r="A50" s="245"/>
      <c r="B50" s="245"/>
      <c r="C50" s="245"/>
      <c r="D50" s="99"/>
      <c r="E50" s="99"/>
      <c r="F50" s="99"/>
      <c r="G50" s="99"/>
      <c r="H50" s="99"/>
      <c r="I50" s="99"/>
    </row>
    <row r="51" spans="1:9" s="6" customFormat="1" x14ac:dyDescent="0.2">
      <c r="A51" s="246"/>
      <c r="B51" s="246"/>
      <c r="C51" s="246"/>
      <c r="D51" s="99"/>
      <c r="E51" s="99"/>
      <c r="F51" s="99"/>
      <c r="G51" s="5"/>
      <c r="H51" s="5"/>
      <c r="I51" s="5"/>
    </row>
    <row r="52" spans="1:9" s="6" customFormat="1" ht="14.25" customHeight="1" x14ac:dyDescent="0.2">
      <c r="A52" s="246"/>
      <c r="B52" s="626" t="s">
        <v>1173</v>
      </c>
      <c r="C52" s="623">
        <f>0.6*D11*(C48*(H13*25.4))/1000</f>
        <v>235.88662499999995</v>
      </c>
      <c r="D52" s="625" t="s">
        <v>1157</v>
      </c>
      <c r="E52" s="633" t="s">
        <v>1094</v>
      </c>
      <c r="F52" s="623">
        <f>+H8</f>
        <v>5</v>
      </c>
      <c r="G52" s="239"/>
      <c r="H52" s="490" t="str">
        <f>+IF(C52&gt;=F52,"Cumple","No cumple")</f>
        <v>Cumple</v>
      </c>
      <c r="I52" s="5"/>
    </row>
    <row r="53" spans="1:9" s="6" customFormat="1" ht="15" x14ac:dyDescent="0.25">
      <c r="A53" s="233"/>
      <c r="B53" s="626"/>
      <c r="C53" s="624"/>
      <c r="D53" s="625"/>
      <c r="E53" s="633"/>
      <c r="F53" s="624"/>
      <c r="G53" s="240"/>
      <c r="H53" s="490"/>
      <c r="I53" s="5"/>
    </row>
    <row r="54" spans="1:9" s="6" customFormat="1" x14ac:dyDescent="0.2">
      <c r="A54" s="5"/>
      <c r="B54" s="5"/>
      <c r="C54" s="5"/>
      <c r="D54" s="99"/>
      <c r="E54" s="99"/>
      <c r="F54" s="99"/>
      <c r="G54" s="232"/>
      <c r="H54" s="5"/>
      <c r="I54" s="5"/>
    </row>
    <row r="55" spans="1:9" ht="15" x14ac:dyDescent="0.2">
      <c r="A55" s="630" t="s">
        <v>1170</v>
      </c>
      <c r="B55" s="631"/>
      <c r="C55" s="631"/>
      <c r="D55" s="631"/>
      <c r="E55" s="631"/>
      <c r="F55" s="631"/>
      <c r="G55" s="631"/>
      <c r="H55" s="631"/>
      <c r="I55" s="632"/>
    </row>
    <row r="56" spans="1:9" s="6" customFormat="1" x14ac:dyDescent="0.2">
      <c r="A56" s="245"/>
      <c r="B56" s="226"/>
      <c r="C56" s="245"/>
      <c r="D56" s="99"/>
      <c r="E56" s="99"/>
      <c r="F56" s="99"/>
      <c r="G56" s="227"/>
      <c r="H56" s="225"/>
      <c r="I56" s="225"/>
    </row>
    <row r="57" spans="1:9" s="6" customFormat="1" x14ac:dyDescent="0.2">
      <c r="A57" s="5"/>
      <c r="B57" s="626" t="s">
        <v>1169</v>
      </c>
      <c r="C57" s="656">
        <f>+(F48-(((H9/H10)*H11*25.4)+(2*(H9/H10))))*H13*25.4</f>
        <v>2255.9962499999997</v>
      </c>
      <c r="D57" s="658"/>
      <c r="E57" s="658"/>
      <c r="F57" s="658"/>
      <c r="G57" s="228"/>
      <c r="H57" s="5"/>
      <c r="I57" s="246"/>
    </row>
    <row r="58" spans="1:9" s="6" customFormat="1" x14ac:dyDescent="0.2">
      <c r="A58" s="99"/>
      <c r="B58" s="626"/>
      <c r="C58" s="657"/>
      <c r="D58" s="658"/>
      <c r="E58" s="658"/>
      <c r="F58" s="658"/>
      <c r="G58" s="5"/>
      <c r="H58" s="5"/>
      <c r="I58" s="246"/>
    </row>
    <row r="59" spans="1:9" s="6" customFormat="1" x14ac:dyDescent="0.2">
      <c r="A59" s="5"/>
      <c r="B59" s="5"/>
      <c r="C59" s="5"/>
      <c r="D59" s="5"/>
      <c r="E59" s="5"/>
      <c r="F59" s="5"/>
      <c r="G59" s="5"/>
      <c r="H59" s="5"/>
      <c r="I59" s="5"/>
    </row>
    <row r="60" spans="1:9" s="6" customFormat="1" ht="15" x14ac:dyDescent="0.25">
      <c r="A60" s="233"/>
      <c r="B60" s="626" t="s">
        <v>1174</v>
      </c>
      <c r="C60" s="623">
        <f>0.75*0.6*D12*C57/1000</f>
        <v>412.17051487499992</v>
      </c>
      <c r="D60" s="625" t="s">
        <v>1157</v>
      </c>
      <c r="E60" s="633" t="s">
        <v>1094</v>
      </c>
      <c r="F60" s="623">
        <f>+H8</f>
        <v>5</v>
      </c>
      <c r="G60" s="239"/>
      <c r="H60" s="490" t="str">
        <f>+IF(C60&gt;=F60,"Cumple","No cumple")</f>
        <v>Cumple</v>
      </c>
      <c r="I60" s="5"/>
    </row>
    <row r="61" spans="1:9" s="6" customFormat="1" ht="14.25" customHeight="1" x14ac:dyDescent="0.2">
      <c r="A61" s="5"/>
      <c r="B61" s="626"/>
      <c r="C61" s="624"/>
      <c r="D61" s="625"/>
      <c r="E61" s="633"/>
      <c r="F61" s="624"/>
      <c r="G61" s="240"/>
      <c r="H61" s="490"/>
      <c r="I61" s="5"/>
    </row>
    <row r="62" spans="1:9" s="6" customFormat="1" x14ac:dyDescent="0.2">
      <c r="A62" s="245"/>
      <c r="B62" s="636"/>
      <c r="C62" s="636"/>
      <c r="D62" s="245"/>
      <c r="E62" s="636"/>
      <c r="F62" s="636"/>
      <c r="G62" s="5"/>
      <c r="H62" s="5"/>
      <c r="I62" s="5"/>
    </row>
    <row r="63" spans="1:9" ht="15" x14ac:dyDescent="0.2">
      <c r="A63" s="630" t="s">
        <v>1171</v>
      </c>
      <c r="B63" s="631"/>
      <c r="C63" s="631"/>
      <c r="D63" s="631"/>
      <c r="E63" s="631"/>
      <c r="F63" s="631"/>
      <c r="G63" s="631"/>
      <c r="H63" s="631"/>
      <c r="I63" s="632"/>
    </row>
    <row r="64" spans="1:9" s="6" customFormat="1" x14ac:dyDescent="0.2">
      <c r="A64" s="245"/>
      <c r="B64" s="163"/>
      <c r="C64" s="163"/>
      <c r="D64" s="245"/>
      <c r="E64" s="229"/>
      <c r="F64" s="5"/>
      <c r="G64" s="246"/>
      <c r="H64" s="246"/>
      <c r="I64" s="5"/>
    </row>
    <row r="65" spans="1:9" s="6" customFormat="1" x14ac:dyDescent="0.2">
      <c r="A65" s="245"/>
      <c r="B65" s="626" t="s">
        <v>1173</v>
      </c>
      <c r="C65" s="623">
        <f>+IF((1.2*(H16)*(H13*25.4)*D12/1000)&lt;=(2.4*(H11*25.4)*(H13*25.4)*D12/1000),(1.2*(H16)*(H13*25.4)*D12/1000),(2.4*(H11*25.4)*(H13*25.4)*D12/1000))</f>
        <v>176.80609799999993</v>
      </c>
      <c r="D65" s="625" t="s">
        <v>1157</v>
      </c>
      <c r="E65" s="633" t="s">
        <v>1094</v>
      </c>
      <c r="F65" s="623">
        <f>+H8/H9</f>
        <v>1.6666666666666667</v>
      </c>
      <c r="G65" s="239"/>
      <c r="H65" s="490" t="str">
        <f>+IF(C65&gt;=F65,"Cumple","No cumple")</f>
        <v>Cumple</v>
      </c>
      <c r="I65" s="5"/>
    </row>
    <row r="66" spans="1:9" s="6" customFormat="1" x14ac:dyDescent="0.2">
      <c r="A66" s="245"/>
      <c r="B66" s="626"/>
      <c r="C66" s="624"/>
      <c r="D66" s="625"/>
      <c r="E66" s="633"/>
      <c r="F66" s="624"/>
      <c r="G66" s="240"/>
      <c r="H66" s="490"/>
      <c r="I66" s="5"/>
    </row>
    <row r="67" spans="1:9" s="6" customFormat="1" x14ac:dyDescent="0.2">
      <c r="A67" s="5"/>
      <c r="B67" s="5"/>
      <c r="C67" s="5"/>
      <c r="D67" s="5"/>
      <c r="E67" s="5"/>
      <c r="F67" s="5"/>
      <c r="G67" s="5"/>
      <c r="H67" s="5"/>
      <c r="I67" s="5"/>
    </row>
    <row r="68" spans="1:9" s="6" customFormat="1" ht="15" x14ac:dyDescent="0.2">
      <c r="A68" s="630" t="s">
        <v>1175</v>
      </c>
      <c r="B68" s="631"/>
      <c r="C68" s="631"/>
      <c r="D68" s="631"/>
      <c r="E68" s="631"/>
      <c r="F68" s="631"/>
      <c r="G68" s="631"/>
      <c r="H68" s="631"/>
      <c r="I68" s="632"/>
    </row>
    <row r="69" spans="1:9" s="6" customFormat="1" x14ac:dyDescent="0.2">
      <c r="A69" s="5"/>
      <c r="B69" s="5"/>
      <c r="C69" s="5"/>
      <c r="D69" s="5"/>
      <c r="E69" s="5"/>
      <c r="F69" s="99"/>
      <c r="G69" s="232"/>
      <c r="H69" s="5"/>
      <c r="I69" s="5"/>
    </row>
    <row r="70" spans="1:9" s="6" customFormat="1" x14ac:dyDescent="0.2">
      <c r="A70" s="245"/>
      <c r="B70" s="626" t="s">
        <v>1173</v>
      </c>
      <c r="C70" s="623">
        <f>0.75*((IF(((0.6*D12*((F48-(((H9/H10)*H11*25.4)+(2*(H9/H10))))*H13*25.4))+(D12*(H14*H13*25.4)))&lt;=(((0.6*D11*(F48*H13*25.4))+(D12*(H14*H13*25.4)))),((0.6*D12*((F48-(((H9/H10)*H11*25.4)+(2*(H9/H10))))*H13*25.4))+(D12*(H14*H13*25.4))),(((0.6*D11*(F48*H13*25.4))+(D12*(H14*H13*25.4))))))/1000)</f>
        <v>466.48687499999994</v>
      </c>
      <c r="D70" s="625" t="s">
        <v>1157</v>
      </c>
      <c r="E70" s="633" t="s">
        <v>1094</v>
      </c>
      <c r="F70" s="623">
        <f>+H8</f>
        <v>5</v>
      </c>
      <c r="G70" s="239"/>
      <c r="H70" s="490" t="str">
        <f>+IF(C70&gt;=F70,"Cumple","No cumple")</f>
        <v>Cumple</v>
      </c>
      <c r="I70" s="5"/>
    </row>
    <row r="71" spans="1:9" s="6" customFormat="1" x14ac:dyDescent="0.2">
      <c r="A71" s="246"/>
      <c r="B71" s="626"/>
      <c r="C71" s="624"/>
      <c r="D71" s="625"/>
      <c r="E71" s="633"/>
      <c r="F71" s="624"/>
      <c r="G71" s="240"/>
      <c r="H71" s="490"/>
      <c r="I71" s="5"/>
    </row>
    <row r="72" spans="1:9" s="6" customFormat="1" x14ac:dyDescent="0.2">
      <c r="A72" s="5"/>
      <c r="B72" s="5"/>
      <c r="C72" s="5"/>
      <c r="D72" s="5"/>
      <c r="E72" s="5"/>
      <c r="F72" s="5"/>
      <c r="G72" s="230"/>
      <c r="H72" s="5"/>
      <c r="I72" s="5"/>
    </row>
    <row r="73" spans="1:9" s="6" customFormat="1" ht="15" x14ac:dyDescent="0.2">
      <c r="A73" s="630" t="s">
        <v>1182</v>
      </c>
      <c r="B73" s="631"/>
      <c r="C73" s="631"/>
      <c r="D73" s="631"/>
      <c r="E73" s="631"/>
      <c r="F73" s="631"/>
      <c r="G73" s="631"/>
      <c r="H73" s="631"/>
      <c r="I73" s="632"/>
    </row>
    <row r="74" spans="1:9" s="6" customFormat="1" x14ac:dyDescent="0.2">
      <c r="A74" s="245"/>
      <c r="B74" s="163"/>
      <c r="C74" s="5"/>
      <c r="D74" s="5"/>
      <c r="E74" s="5"/>
      <c r="F74" s="5"/>
      <c r="G74" s="5"/>
      <c r="H74" s="5"/>
      <c r="I74" s="5"/>
    </row>
    <row r="75" spans="1:9" s="6" customFormat="1" x14ac:dyDescent="0.2">
      <c r="B75" s="626" t="s">
        <v>1180</v>
      </c>
      <c r="C75" s="656">
        <f>(F48)*0.707*H22</f>
        <v>1272.5999999999999</v>
      </c>
    </row>
    <row r="76" spans="1:9" s="6" customFormat="1" x14ac:dyDescent="0.2">
      <c r="B76" s="626"/>
      <c r="C76" s="657"/>
    </row>
    <row r="77" spans="1:9" s="6" customFormat="1" x14ac:dyDescent="0.2"/>
    <row r="78" spans="1:9" s="6" customFormat="1" x14ac:dyDescent="0.2">
      <c r="B78" s="626" t="s">
        <v>1183</v>
      </c>
      <c r="C78" s="623">
        <f>0.6*H20*(1+(0.5*(SIN(RADIANS(H21)))^1.5))</f>
        <v>289.56</v>
      </c>
    </row>
    <row r="79" spans="1:9" s="6" customFormat="1" x14ac:dyDescent="0.2">
      <c r="B79" s="626"/>
      <c r="C79" s="624"/>
    </row>
    <row r="80" spans="1:9" s="6" customFormat="1" x14ac:dyDescent="0.2"/>
    <row r="81" spans="2:8" s="6" customFormat="1" x14ac:dyDescent="0.2">
      <c r="B81" s="626" t="s">
        <v>1173</v>
      </c>
      <c r="C81" s="623">
        <f>0.75*C78*C75/1000</f>
        <v>276.370542</v>
      </c>
      <c r="D81" s="625" t="s">
        <v>1157</v>
      </c>
      <c r="E81" s="633" t="s">
        <v>1094</v>
      </c>
      <c r="F81" s="623">
        <f>+H8</f>
        <v>5</v>
      </c>
      <c r="H81" s="490" t="str">
        <f>+IF(C81&gt;=F81,"Cumple","No cumple")</f>
        <v>Cumple</v>
      </c>
    </row>
    <row r="82" spans="2:8" s="6" customFormat="1" x14ac:dyDescent="0.2">
      <c r="B82" s="626"/>
      <c r="C82" s="624"/>
      <c r="D82" s="625"/>
      <c r="E82" s="633"/>
      <c r="F82" s="624"/>
      <c r="H82" s="490"/>
    </row>
    <row r="83" spans="2:8" s="6" customFormat="1" x14ac:dyDescent="0.2"/>
    <row r="84" spans="2:8" s="6" customFormat="1" x14ac:dyDescent="0.2"/>
    <row r="85" spans="2:8" s="6" customFormat="1" ht="15" thickBot="1" x14ac:dyDescent="0.25"/>
    <row r="86" spans="2:8" s="6" customFormat="1" x14ac:dyDescent="0.2">
      <c r="B86" s="531" t="str">
        <f>IF(AND(H43="Cumple",H48="Cumple",H52="Cumple",H60="Cumple",H65="Cumple",H70="Cumple",H81="Cumple"),"CUMPLE","NO CUMPLE")</f>
        <v>CUMPLE</v>
      </c>
      <c r="C86" s="532"/>
      <c r="D86" s="532"/>
      <c r="E86" s="532"/>
      <c r="F86" s="532"/>
      <c r="G86" s="532"/>
      <c r="H86" s="533"/>
    </row>
    <row r="87" spans="2:8" s="6" customFormat="1" x14ac:dyDescent="0.2">
      <c r="B87" s="534"/>
      <c r="C87" s="535"/>
      <c r="D87" s="535"/>
      <c r="E87" s="535"/>
      <c r="F87" s="535"/>
      <c r="G87" s="535"/>
      <c r="H87" s="536"/>
    </row>
    <row r="88" spans="2:8" s="6" customFormat="1" ht="15" thickBot="1" x14ac:dyDescent="0.25">
      <c r="B88" s="537"/>
      <c r="C88" s="538"/>
      <c r="D88" s="538"/>
      <c r="E88" s="538"/>
      <c r="F88" s="538"/>
      <c r="G88" s="538"/>
      <c r="H88" s="539"/>
    </row>
    <row r="89" spans="2:8" s="6" customFormat="1" x14ac:dyDescent="0.2"/>
    <row r="90" spans="2:8" s="6" customFormat="1" x14ac:dyDescent="0.2"/>
    <row r="91" spans="2:8" s="6" customFormat="1" x14ac:dyDescent="0.2"/>
    <row r="92" spans="2:8" s="6" customFormat="1" x14ac:dyDescent="0.2"/>
    <row r="93" spans="2:8" s="6" customFormat="1" x14ac:dyDescent="0.2"/>
    <row r="94" spans="2:8" s="6" customFormat="1" x14ac:dyDescent="0.2"/>
    <row r="95" spans="2:8" s="6" customFormat="1" x14ac:dyDescent="0.2"/>
    <row r="96" spans="2:8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  <row r="113" s="6" customFormat="1" x14ac:dyDescent="0.2"/>
    <row r="114" s="6" customFormat="1" x14ac:dyDescent="0.2"/>
    <row r="115" s="6" customFormat="1" x14ac:dyDescent="0.2"/>
    <row r="116" s="6" customFormat="1" x14ac:dyDescent="0.2"/>
    <row r="117" s="6" customFormat="1" x14ac:dyDescent="0.2"/>
    <row r="118" s="6" customFormat="1" x14ac:dyDescent="0.2"/>
    <row r="119" s="6" customFormat="1" x14ac:dyDescent="0.2"/>
    <row r="120" s="6" customFormat="1" x14ac:dyDescent="0.2"/>
    <row r="121" s="6" customFormat="1" x14ac:dyDescent="0.2"/>
    <row r="122" s="6" customFormat="1" x14ac:dyDescent="0.2"/>
    <row r="123" s="6" customFormat="1" x14ac:dyDescent="0.2"/>
    <row r="124" s="6" customFormat="1" x14ac:dyDescent="0.2"/>
    <row r="125" s="6" customFormat="1" x14ac:dyDescent="0.2"/>
    <row r="126" s="6" customFormat="1" x14ac:dyDescent="0.2"/>
    <row r="127" s="6" customFormat="1" x14ac:dyDescent="0.2"/>
    <row r="128" s="6" customFormat="1" x14ac:dyDescent="0.2"/>
    <row r="129" s="6" customFormat="1" x14ac:dyDescent="0.2"/>
    <row r="130" s="6" customFormat="1" x14ac:dyDescent="0.2"/>
    <row r="131" s="6" customFormat="1" x14ac:dyDescent="0.2"/>
    <row r="132" s="6" customFormat="1" x14ac:dyDescent="0.2"/>
    <row r="133" s="6" customFormat="1" x14ac:dyDescent="0.2"/>
    <row r="134" s="6" customFormat="1" x14ac:dyDescent="0.2"/>
    <row r="135" s="6" customFormat="1" x14ac:dyDescent="0.2"/>
    <row r="136" s="6" customFormat="1" x14ac:dyDescent="0.2"/>
    <row r="137" s="6" customFormat="1" x14ac:dyDescent="0.2"/>
    <row r="138" s="6" customFormat="1" x14ac:dyDescent="0.2"/>
    <row r="139" s="6" customFormat="1" x14ac:dyDescent="0.2"/>
    <row r="140" s="6" customFormat="1" x14ac:dyDescent="0.2"/>
    <row r="141" s="6" customFormat="1" x14ac:dyDescent="0.2"/>
    <row r="142" s="6" customFormat="1" x14ac:dyDescent="0.2"/>
    <row r="143" s="6" customFormat="1" x14ac:dyDescent="0.2"/>
    <row r="144" s="6" customFormat="1" x14ac:dyDescent="0.2"/>
    <row r="145" s="6" customFormat="1" x14ac:dyDescent="0.2"/>
    <row r="146" s="6" customFormat="1" x14ac:dyDescent="0.2"/>
    <row r="147" s="6" customFormat="1" x14ac:dyDescent="0.2"/>
    <row r="148" s="6" customFormat="1" x14ac:dyDescent="0.2"/>
    <row r="149" s="6" customFormat="1" x14ac:dyDescent="0.2"/>
    <row r="150" s="6" customFormat="1" x14ac:dyDescent="0.2"/>
    <row r="151" s="6" customFormat="1" x14ac:dyDescent="0.2"/>
    <row r="152" s="6" customFormat="1" x14ac:dyDescent="0.2"/>
    <row r="153" s="6" customFormat="1" x14ac:dyDescent="0.2"/>
    <row r="154" s="6" customFormat="1" x14ac:dyDescent="0.2"/>
    <row r="155" s="6" customFormat="1" x14ac:dyDescent="0.2"/>
    <row r="156" s="6" customFormat="1" x14ac:dyDescent="0.2"/>
    <row r="157" s="6" customFormat="1" x14ac:dyDescent="0.2"/>
    <row r="158" s="6" customFormat="1" x14ac:dyDescent="0.2"/>
    <row r="159" s="6" customFormat="1" x14ac:dyDescent="0.2"/>
    <row r="160" s="6" customFormat="1" x14ac:dyDescent="0.2"/>
    <row r="161" s="6" customFormat="1" x14ac:dyDescent="0.2"/>
    <row r="162" s="6" customFormat="1" x14ac:dyDescent="0.2"/>
    <row r="163" s="6" customFormat="1" x14ac:dyDescent="0.2"/>
    <row r="164" s="6" customFormat="1" x14ac:dyDescent="0.2"/>
    <row r="165" s="6" customFormat="1" x14ac:dyDescent="0.2"/>
    <row r="166" s="6" customFormat="1" x14ac:dyDescent="0.2"/>
    <row r="167" s="6" customFormat="1" x14ac:dyDescent="0.2"/>
    <row r="168" s="6" customFormat="1" x14ac:dyDescent="0.2"/>
    <row r="169" s="6" customFormat="1" x14ac:dyDescent="0.2"/>
    <row r="170" s="6" customFormat="1" x14ac:dyDescent="0.2"/>
    <row r="171" s="6" customFormat="1" x14ac:dyDescent="0.2"/>
    <row r="172" s="6" customFormat="1" x14ac:dyDescent="0.2"/>
    <row r="173" s="6" customFormat="1" x14ac:dyDescent="0.2"/>
    <row r="174" s="6" customFormat="1" x14ac:dyDescent="0.2"/>
    <row r="175" s="6" customFormat="1" x14ac:dyDescent="0.2"/>
    <row r="176" s="6" customFormat="1" x14ac:dyDescent="0.2"/>
    <row r="177" s="6" customFormat="1" x14ac:dyDescent="0.2"/>
    <row r="178" s="6" customFormat="1" x14ac:dyDescent="0.2"/>
    <row r="179" s="6" customFormat="1" x14ac:dyDescent="0.2"/>
    <row r="180" s="6" customFormat="1" x14ac:dyDescent="0.2"/>
    <row r="181" s="6" customFormat="1" x14ac:dyDescent="0.2"/>
    <row r="182" s="6" customFormat="1" x14ac:dyDescent="0.2"/>
    <row r="183" s="6" customFormat="1" x14ac:dyDescent="0.2"/>
    <row r="184" s="6" customFormat="1" x14ac:dyDescent="0.2"/>
    <row r="185" s="6" customFormat="1" x14ac:dyDescent="0.2"/>
    <row r="186" s="6" customFormat="1" x14ac:dyDescent="0.2"/>
    <row r="187" s="6" customFormat="1" x14ac:dyDescent="0.2"/>
    <row r="188" s="6" customFormat="1" x14ac:dyDescent="0.2"/>
    <row r="189" s="6" customFormat="1" x14ac:dyDescent="0.2"/>
    <row r="190" s="6" customFormat="1" x14ac:dyDescent="0.2"/>
    <row r="191" s="6" customFormat="1" x14ac:dyDescent="0.2"/>
    <row r="192" s="6" customFormat="1" x14ac:dyDescent="0.2"/>
    <row r="193" s="6" customFormat="1" x14ac:dyDescent="0.2"/>
    <row r="194" s="6" customFormat="1" x14ac:dyDescent="0.2"/>
    <row r="195" s="6" customFormat="1" x14ac:dyDescent="0.2"/>
    <row r="196" s="6" customFormat="1" x14ac:dyDescent="0.2"/>
    <row r="197" s="6" customFormat="1" x14ac:dyDescent="0.2"/>
    <row r="198" s="6" customFormat="1" x14ac:dyDescent="0.2"/>
    <row r="199" s="6" customFormat="1" x14ac:dyDescent="0.2"/>
    <row r="200" s="6" customFormat="1" x14ac:dyDescent="0.2"/>
    <row r="201" s="6" customFormat="1" x14ac:dyDescent="0.2"/>
    <row r="202" s="6" customFormat="1" x14ac:dyDescent="0.2"/>
    <row r="203" s="6" customFormat="1" x14ac:dyDescent="0.2"/>
    <row r="204" s="6" customFormat="1" x14ac:dyDescent="0.2"/>
    <row r="205" s="6" customFormat="1" x14ac:dyDescent="0.2"/>
    <row r="206" s="6" customFormat="1" x14ac:dyDescent="0.2"/>
    <row r="207" s="6" customFormat="1" x14ac:dyDescent="0.2"/>
    <row r="208" s="6" customFormat="1" x14ac:dyDescent="0.2"/>
    <row r="209" s="6" customFormat="1" x14ac:dyDescent="0.2"/>
    <row r="210" s="6" customFormat="1" x14ac:dyDescent="0.2"/>
    <row r="211" s="6" customFormat="1" x14ac:dyDescent="0.2"/>
    <row r="212" s="6" customFormat="1" x14ac:dyDescent="0.2"/>
    <row r="213" s="6" customFormat="1" x14ac:dyDescent="0.2"/>
    <row r="214" s="6" customFormat="1" x14ac:dyDescent="0.2"/>
    <row r="215" s="6" customFormat="1" x14ac:dyDescent="0.2"/>
    <row r="216" s="6" customFormat="1" x14ac:dyDescent="0.2"/>
    <row r="217" s="6" customFormat="1" x14ac:dyDescent="0.2"/>
    <row r="218" s="6" customFormat="1" x14ac:dyDescent="0.2"/>
    <row r="219" s="6" customFormat="1" x14ac:dyDescent="0.2"/>
    <row r="220" s="6" customFormat="1" x14ac:dyDescent="0.2"/>
    <row r="221" s="6" customFormat="1" x14ac:dyDescent="0.2"/>
    <row r="222" s="6" customFormat="1" x14ac:dyDescent="0.2"/>
    <row r="223" s="6" customFormat="1" x14ac:dyDescent="0.2"/>
    <row r="224" s="6" customFormat="1" x14ac:dyDescent="0.2"/>
    <row r="225" s="6" customFormat="1" x14ac:dyDescent="0.2"/>
    <row r="226" s="6" customFormat="1" x14ac:dyDescent="0.2"/>
    <row r="227" s="6" customFormat="1" x14ac:dyDescent="0.2"/>
    <row r="228" s="6" customFormat="1" x14ac:dyDescent="0.2"/>
    <row r="229" s="6" customFormat="1" x14ac:dyDescent="0.2"/>
    <row r="230" s="6" customFormat="1" x14ac:dyDescent="0.2"/>
    <row r="231" s="6" customFormat="1" x14ac:dyDescent="0.2"/>
    <row r="232" s="6" customFormat="1" x14ac:dyDescent="0.2"/>
    <row r="233" s="6" customFormat="1" x14ac:dyDescent="0.2"/>
    <row r="234" s="6" customFormat="1" x14ac:dyDescent="0.2"/>
    <row r="235" s="6" customFormat="1" x14ac:dyDescent="0.2"/>
    <row r="236" s="6" customFormat="1" x14ac:dyDescent="0.2"/>
    <row r="237" s="6" customFormat="1" x14ac:dyDescent="0.2"/>
    <row r="238" s="6" customFormat="1" x14ac:dyDescent="0.2"/>
    <row r="239" s="6" customFormat="1" x14ac:dyDescent="0.2"/>
    <row r="240" s="6" customFormat="1" x14ac:dyDescent="0.2"/>
    <row r="241" s="6" customFormat="1" x14ac:dyDescent="0.2"/>
    <row r="242" s="6" customFormat="1" x14ac:dyDescent="0.2"/>
    <row r="243" s="6" customFormat="1" x14ac:dyDescent="0.2"/>
    <row r="244" s="6" customFormat="1" x14ac:dyDescent="0.2"/>
    <row r="245" s="6" customFormat="1" x14ac:dyDescent="0.2"/>
    <row r="246" s="6" customFormat="1" x14ac:dyDescent="0.2"/>
    <row r="247" s="6" customFormat="1" x14ac:dyDescent="0.2"/>
    <row r="248" s="6" customFormat="1" x14ac:dyDescent="0.2"/>
    <row r="249" s="6" customFormat="1" x14ac:dyDescent="0.2"/>
    <row r="250" s="6" customFormat="1" x14ac:dyDescent="0.2"/>
    <row r="251" s="6" customFormat="1" x14ac:dyDescent="0.2"/>
    <row r="252" s="6" customFormat="1" x14ac:dyDescent="0.2"/>
    <row r="253" s="6" customFormat="1" x14ac:dyDescent="0.2"/>
    <row r="254" s="6" customFormat="1" x14ac:dyDescent="0.2"/>
    <row r="255" s="6" customFormat="1" x14ac:dyDescent="0.2"/>
    <row r="256" s="6" customFormat="1" x14ac:dyDescent="0.2"/>
    <row r="257" s="6" customFormat="1" x14ac:dyDescent="0.2"/>
    <row r="258" s="6" customFormat="1" x14ac:dyDescent="0.2"/>
    <row r="259" s="6" customFormat="1" x14ac:dyDescent="0.2"/>
    <row r="260" s="6" customFormat="1" x14ac:dyDescent="0.2"/>
    <row r="261" s="6" customFormat="1" x14ac:dyDescent="0.2"/>
    <row r="262" s="6" customFormat="1" x14ac:dyDescent="0.2"/>
    <row r="263" s="6" customFormat="1" x14ac:dyDescent="0.2"/>
    <row r="264" s="6" customFormat="1" x14ac:dyDescent="0.2"/>
    <row r="265" s="6" customFormat="1" x14ac:dyDescent="0.2"/>
    <row r="266" s="6" customFormat="1" x14ac:dyDescent="0.2"/>
    <row r="267" s="6" customFormat="1" x14ac:dyDescent="0.2"/>
    <row r="268" s="6" customFormat="1" x14ac:dyDescent="0.2"/>
    <row r="269" s="6" customFormat="1" x14ac:dyDescent="0.2"/>
    <row r="270" s="6" customFormat="1" x14ac:dyDescent="0.2"/>
    <row r="271" s="6" customFormat="1" x14ac:dyDescent="0.2"/>
    <row r="272" s="6" customFormat="1" x14ac:dyDescent="0.2"/>
    <row r="273" s="6" customFormat="1" x14ac:dyDescent="0.2"/>
    <row r="274" s="6" customFormat="1" x14ac:dyDescent="0.2"/>
    <row r="275" s="6" customFormat="1" x14ac:dyDescent="0.2"/>
    <row r="276" s="6" customFormat="1" x14ac:dyDescent="0.2"/>
    <row r="277" s="6" customFormat="1" x14ac:dyDescent="0.2"/>
    <row r="278" s="6" customFormat="1" x14ac:dyDescent="0.2"/>
    <row r="279" s="6" customFormat="1" x14ac:dyDescent="0.2"/>
    <row r="280" s="6" customFormat="1" x14ac:dyDescent="0.2"/>
    <row r="281" s="6" customFormat="1" x14ac:dyDescent="0.2"/>
    <row r="282" s="6" customFormat="1" x14ac:dyDescent="0.2"/>
    <row r="283" s="6" customFormat="1" x14ac:dyDescent="0.2"/>
    <row r="284" s="6" customFormat="1" x14ac:dyDescent="0.2"/>
    <row r="285" s="6" customFormat="1" x14ac:dyDescent="0.2"/>
    <row r="286" s="6" customFormat="1" x14ac:dyDescent="0.2"/>
    <row r="287" s="6" customFormat="1" x14ac:dyDescent="0.2"/>
    <row r="288" s="6" customFormat="1" x14ac:dyDescent="0.2"/>
    <row r="289" s="6" customFormat="1" x14ac:dyDescent="0.2"/>
    <row r="290" s="6" customFormat="1" x14ac:dyDescent="0.2"/>
    <row r="291" s="6" customFormat="1" x14ac:dyDescent="0.2"/>
    <row r="292" s="6" customFormat="1" x14ac:dyDescent="0.2"/>
    <row r="293" s="6" customFormat="1" x14ac:dyDescent="0.2"/>
    <row r="294" s="6" customFormat="1" x14ac:dyDescent="0.2"/>
    <row r="295" s="6" customFormat="1" x14ac:dyDescent="0.2"/>
    <row r="296" s="6" customFormat="1" x14ac:dyDescent="0.2"/>
    <row r="297" s="6" customFormat="1" x14ac:dyDescent="0.2"/>
    <row r="298" s="6" customFormat="1" x14ac:dyDescent="0.2"/>
    <row r="299" s="6" customFormat="1" x14ac:dyDescent="0.2"/>
    <row r="300" s="6" customFormat="1" x14ac:dyDescent="0.2"/>
    <row r="301" s="6" customFormat="1" x14ac:dyDescent="0.2"/>
    <row r="302" s="6" customFormat="1" x14ac:dyDescent="0.2"/>
    <row r="303" s="6" customFormat="1" x14ac:dyDescent="0.2"/>
    <row r="304" s="6" customFormat="1" x14ac:dyDescent="0.2"/>
    <row r="305" s="6" customFormat="1" x14ac:dyDescent="0.2"/>
    <row r="306" s="6" customFormat="1" x14ac:dyDescent="0.2"/>
    <row r="307" s="6" customFormat="1" x14ac:dyDescent="0.2"/>
    <row r="308" s="6" customFormat="1" x14ac:dyDescent="0.2"/>
    <row r="309" s="6" customFormat="1" x14ac:dyDescent="0.2"/>
    <row r="310" s="6" customFormat="1" x14ac:dyDescent="0.2"/>
    <row r="311" s="6" customFormat="1" x14ac:dyDescent="0.2"/>
    <row r="312" s="6" customFormat="1" x14ac:dyDescent="0.2"/>
    <row r="313" s="6" customFormat="1" x14ac:dyDescent="0.2"/>
    <row r="314" s="6" customFormat="1" x14ac:dyDescent="0.2"/>
    <row r="315" s="6" customFormat="1" x14ac:dyDescent="0.2"/>
    <row r="316" s="6" customFormat="1" x14ac:dyDescent="0.2"/>
    <row r="317" s="6" customFormat="1" x14ac:dyDescent="0.2"/>
    <row r="318" s="6" customFormat="1" x14ac:dyDescent="0.2"/>
    <row r="319" s="6" customFormat="1" x14ac:dyDescent="0.2"/>
    <row r="320" s="6" customFormat="1" x14ac:dyDescent="0.2"/>
    <row r="321" s="6" customFormat="1" x14ac:dyDescent="0.2"/>
    <row r="322" s="6" customFormat="1" x14ac:dyDescent="0.2"/>
    <row r="323" s="6" customFormat="1" x14ac:dyDescent="0.2"/>
    <row r="324" s="6" customFormat="1" x14ac:dyDescent="0.2"/>
    <row r="325" s="6" customFormat="1" x14ac:dyDescent="0.2"/>
    <row r="326" s="6" customFormat="1" x14ac:dyDescent="0.2"/>
    <row r="327" s="6" customFormat="1" x14ac:dyDescent="0.2"/>
    <row r="328" s="6" customFormat="1" x14ac:dyDescent="0.2"/>
    <row r="329" s="6" customFormat="1" x14ac:dyDescent="0.2"/>
    <row r="330" s="6" customFormat="1" x14ac:dyDescent="0.2"/>
    <row r="331" s="6" customFormat="1" x14ac:dyDescent="0.2"/>
    <row r="332" s="6" customFormat="1" x14ac:dyDescent="0.2"/>
    <row r="333" s="6" customFormat="1" x14ac:dyDescent="0.2"/>
    <row r="334" s="6" customFormat="1" x14ac:dyDescent="0.2"/>
    <row r="335" s="6" customFormat="1" x14ac:dyDescent="0.2"/>
  </sheetData>
  <sheetProtection selectLockedCells="1" selectUnlockedCells="1"/>
  <mergeCells count="103">
    <mergeCell ref="B86:H88"/>
    <mergeCell ref="H81:H82"/>
    <mergeCell ref="A73:I73"/>
    <mergeCell ref="B75:B76"/>
    <mergeCell ref="C75:C76"/>
    <mergeCell ref="B78:B79"/>
    <mergeCell ref="C78:C79"/>
    <mergeCell ref="B81:B82"/>
    <mergeCell ref="C81:C82"/>
    <mergeCell ref="D81:D82"/>
    <mergeCell ref="E81:E82"/>
    <mergeCell ref="F81:F82"/>
    <mergeCell ref="E70:E71"/>
    <mergeCell ref="F70:F71"/>
    <mergeCell ref="H70:H71"/>
    <mergeCell ref="H60:H61"/>
    <mergeCell ref="B62:C62"/>
    <mergeCell ref="E62:F62"/>
    <mergeCell ref="A63:I63"/>
    <mergeCell ref="B65:B66"/>
    <mergeCell ref="C65:C66"/>
    <mergeCell ref="D65:D66"/>
    <mergeCell ref="E65:E66"/>
    <mergeCell ref="F65:F66"/>
    <mergeCell ref="H65:H66"/>
    <mergeCell ref="B60:B61"/>
    <mergeCell ref="C60:C61"/>
    <mergeCell ref="D60:D61"/>
    <mergeCell ref="E60:E61"/>
    <mergeCell ref="F60:F61"/>
    <mergeCell ref="A68:I68"/>
    <mergeCell ref="B70:B71"/>
    <mergeCell ref="C70:C71"/>
    <mergeCell ref="D70:D71"/>
    <mergeCell ref="A55:I55"/>
    <mergeCell ref="B57:B58"/>
    <mergeCell ref="C57:C58"/>
    <mergeCell ref="D57:F57"/>
    <mergeCell ref="D58:F58"/>
    <mergeCell ref="H52:H53"/>
    <mergeCell ref="A46:I46"/>
    <mergeCell ref="B48:B49"/>
    <mergeCell ref="C48:C49"/>
    <mergeCell ref="D48:D49"/>
    <mergeCell ref="E48:E49"/>
    <mergeCell ref="F48:F49"/>
    <mergeCell ref="H48:H49"/>
    <mergeCell ref="B52:B53"/>
    <mergeCell ref="C52:C53"/>
    <mergeCell ref="D52:D53"/>
    <mergeCell ref="E52:E53"/>
    <mergeCell ref="F52:F53"/>
    <mergeCell ref="A40:I40"/>
    <mergeCell ref="A41:I41"/>
    <mergeCell ref="B43:B44"/>
    <mergeCell ref="C43:C44"/>
    <mergeCell ref="D43:D44"/>
    <mergeCell ref="E43:E44"/>
    <mergeCell ref="F43:F44"/>
    <mergeCell ref="H43:H44"/>
    <mergeCell ref="B26:C27"/>
    <mergeCell ref="D26:D27"/>
    <mergeCell ref="B37:C37"/>
    <mergeCell ref="B34:C34"/>
    <mergeCell ref="B35:C35"/>
    <mergeCell ref="B36:C36"/>
    <mergeCell ref="B31:C31"/>
    <mergeCell ref="B32:C32"/>
    <mergeCell ref="B33:C33"/>
    <mergeCell ref="B30:D30"/>
    <mergeCell ref="F16:G17"/>
    <mergeCell ref="H16:H17"/>
    <mergeCell ref="I16:I17"/>
    <mergeCell ref="F20:G20"/>
    <mergeCell ref="F21:G21"/>
    <mergeCell ref="F22:G22"/>
    <mergeCell ref="F19:H19"/>
    <mergeCell ref="B25:C25"/>
    <mergeCell ref="F13:G13"/>
    <mergeCell ref="B14:C14"/>
    <mergeCell ref="F14:G15"/>
    <mergeCell ref="H14:H15"/>
    <mergeCell ref="I14:I15"/>
    <mergeCell ref="B15:C15"/>
    <mergeCell ref="A1:I1"/>
    <mergeCell ref="A2:I2"/>
    <mergeCell ref="B3:D3"/>
    <mergeCell ref="E3:I3"/>
    <mergeCell ref="B4:D4"/>
    <mergeCell ref="E4:I4"/>
    <mergeCell ref="B12:C12"/>
    <mergeCell ref="F12:G12"/>
    <mergeCell ref="A5:D5"/>
    <mergeCell ref="F5:H5"/>
    <mergeCell ref="B7:C7"/>
    <mergeCell ref="F7:H7"/>
    <mergeCell ref="B8:C8"/>
    <mergeCell ref="F8:G8"/>
    <mergeCell ref="B9:C9"/>
    <mergeCell ref="F9:G9"/>
    <mergeCell ref="F10:G10"/>
    <mergeCell ref="B11:C11"/>
    <mergeCell ref="F11:G11"/>
  </mergeCells>
  <conditionalFormatting sqref="C18:D22">
    <cfRule type="containsErrors" dxfId="60" priority="89" stopIfTrue="1">
      <formula>ISERROR(C18)</formula>
    </cfRule>
  </conditionalFormatting>
  <conditionalFormatting sqref="H43">
    <cfRule type="containsText" dxfId="59" priority="87" operator="containsText" text="No cumple">
      <formula>NOT(ISERROR(SEARCH("No cumple",H43)))</formula>
    </cfRule>
    <cfRule type="containsText" dxfId="58" priority="88" operator="containsText" text="Cumple">
      <formula>NOT(ISERROR(SEARCH("Cumple",H43)))</formula>
    </cfRule>
  </conditionalFormatting>
  <conditionalFormatting sqref="H43">
    <cfRule type="containsErrors" dxfId="57" priority="86">
      <formula>ISERROR(H43)</formula>
    </cfRule>
  </conditionalFormatting>
  <conditionalFormatting sqref="C48">
    <cfRule type="containsErrors" dxfId="56" priority="85" stopIfTrue="1">
      <formula>ISERROR(C48)</formula>
    </cfRule>
  </conditionalFormatting>
  <conditionalFormatting sqref="H48">
    <cfRule type="containsText" dxfId="55" priority="83" operator="containsText" text="No cumple">
      <formula>NOT(ISERROR(SEARCH("No cumple",H48)))</formula>
    </cfRule>
    <cfRule type="containsText" dxfId="54" priority="84" operator="containsText" text="Cumple">
      <formula>NOT(ISERROR(SEARCH("Cumple",H48)))</formula>
    </cfRule>
  </conditionalFormatting>
  <conditionalFormatting sqref="H48">
    <cfRule type="containsErrors" dxfId="53" priority="82">
      <formula>ISERROR(H48)</formula>
    </cfRule>
  </conditionalFormatting>
  <conditionalFormatting sqref="F48">
    <cfRule type="containsErrors" dxfId="52" priority="81" stopIfTrue="1">
      <formula>ISERROR(F48)</formula>
    </cfRule>
  </conditionalFormatting>
  <conditionalFormatting sqref="C43">
    <cfRule type="containsErrors" dxfId="51" priority="66" stopIfTrue="1">
      <formula>ISERROR(C43)</formula>
    </cfRule>
  </conditionalFormatting>
  <conditionalFormatting sqref="C52">
    <cfRule type="containsErrors" dxfId="50" priority="65" stopIfTrue="1">
      <formula>ISERROR(C52)</formula>
    </cfRule>
  </conditionalFormatting>
  <conditionalFormatting sqref="F52">
    <cfRule type="containsErrors" dxfId="49" priority="80" stopIfTrue="1">
      <formula>ISERROR(F52)</formula>
    </cfRule>
  </conditionalFormatting>
  <conditionalFormatting sqref="H52">
    <cfRule type="containsText" dxfId="48" priority="78" operator="containsText" text="No cumple">
      <formula>NOT(ISERROR(SEARCH("No cumple",H52)))</formula>
    </cfRule>
    <cfRule type="containsText" dxfId="47" priority="79" operator="containsText" text="Cumple">
      <formula>NOT(ISERROR(SEARCH("Cumple",H52)))</formula>
    </cfRule>
  </conditionalFormatting>
  <conditionalFormatting sqref="H52">
    <cfRule type="containsErrors" dxfId="46" priority="77">
      <formula>ISERROR(H52)</formula>
    </cfRule>
  </conditionalFormatting>
  <conditionalFormatting sqref="C57">
    <cfRule type="containsErrors" dxfId="45" priority="76" stopIfTrue="1">
      <formula>ISERROR(C57)</formula>
    </cfRule>
  </conditionalFormatting>
  <conditionalFormatting sqref="C60">
    <cfRule type="containsErrors" dxfId="44" priority="64" stopIfTrue="1">
      <formula>ISERROR(C60)</formula>
    </cfRule>
  </conditionalFormatting>
  <conditionalFormatting sqref="H60">
    <cfRule type="containsText" dxfId="43" priority="74" operator="containsText" text="No cumple">
      <formula>NOT(ISERROR(SEARCH("No cumple",H60)))</formula>
    </cfRule>
    <cfRule type="containsText" dxfId="42" priority="75" operator="containsText" text="Cumple">
      <formula>NOT(ISERROR(SEARCH("Cumple",H60)))</formula>
    </cfRule>
  </conditionalFormatting>
  <conditionalFormatting sqref="H60">
    <cfRule type="containsErrors" dxfId="41" priority="73">
      <formula>ISERROR(H60)</formula>
    </cfRule>
  </conditionalFormatting>
  <conditionalFormatting sqref="C65">
    <cfRule type="containsErrors" dxfId="40" priority="63" stopIfTrue="1">
      <formula>ISERROR(C65)</formula>
    </cfRule>
  </conditionalFormatting>
  <conditionalFormatting sqref="H65">
    <cfRule type="containsText" dxfId="39" priority="71" operator="containsText" text="No cumple">
      <formula>NOT(ISERROR(SEARCH("No cumple",H65)))</formula>
    </cfRule>
    <cfRule type="containsText" dxfId="38" priority="72" operator="containsText" text="Cumple">
      <formula>NOT(ISERROR(SEARCH("Cumple",H65)))</formula>
    </cfRule>
  </conditionalFormatting>
  <conditionalFormatting sqref="H65">
    <cfRule type="containsErrors" dxfId="37" priority="70">
      <formula>ISERROR(H65)</formula>
    </cfRule>
  </conditionalFormatting>
  <conditionalFormatting sqref="F65">
    <cfRule type="containsErrors" dxfId="36" priority="69" stopIfTrue="1">
      <formula>ISERROR(F65)</formula>
    </cfRule>
  </conditionalFormatting>
  <conditionalFormatting sqref="F60">
    <cfRule type="containsErrors" dxfId="35" priority="68" stopIfTrue="1">
      <formula>ISERROR(F60)</formula>
    </cfRule>
  </conditionalFormatting>
  <conditionalFormatting sqref="F43">
    <cfRule type="containsErrors" dxfId="34" priority="67" stopIfTrue="1">
      <formula>ISERROR(F43)</formula>
    </cfRule>
  </conditionalFormatting>
  <conditionalFormatting sqref="H70">
    <cfRule type="containsText" dxfId="33" priority="61" operator="containsText" text="No cumple">
      <formula>NOT(ISERROR(SEARCH("No cumple",H70)))</formula>
    </cfRule>
    <cfRule type="containsText" dxfId="32" priority="62" operator="containsText" text="Cumple">
      <formula>NOT(ISERROR(SEARCH("Cumple",H70)))</formula>
    </cfRule>
  </conditionalFormatting>
  <conditionalFormatting sqref="H70">
    <cfRule type="containsErrors" dxfId="31" priority="60">
      <formula>ISERROR(H70)</formula>
    </cfRule>
  </conditionalFormatting>
  <conditionalFormatting sqref="F70">
    <cfRule type="containsErrors" dxfId="30" priority="59" stopIfTrue="1">
      <formula>ISERROR(F70)</formula>
    </cfRule>
  </conditionalFormatting>
  <conditionalFormatting sqref="C70">
    <cfRule type="containsErrors" dxfId="29" priority="58" stopIfTrue="1">
      <formula>ISERROR(C70)</formula>
    </cfRule>
  </conditionalFormatting>
  <conditionalFormatting sqref="I14:I15">
    <cfRule type="containsText" dxfId="28" priority="57" operator="containsText" text="No cumple">
      <formula>NOT(ISERROR(SEARCH("No cumple",I14)))</formula>
    </cfRule>
  </conditionalFormatting>
  <conditionalFormatting sqref="C75">
    <cfRule type="containsErrors" dxfId="27" priority="55" stopIfTrue="1">
      <formula>ISERROR(C75)</formula>
    </cfRule>
  </conditionalFormatting>
  <conditionalFormatting sqref="I22">
    <cfRule type="containsText" dxfId="26" priority="54" operator="containsText" text="No cumple">
      <formula>NOT(ISERROR(SEARCH("No cumple",I22)))</formula>
    </cfRule>
  </conditionalFormatting>
  <conditionalFormatting sqref="C78">
    <cfRule type="containsErrors" dxfId="25" priority="53" stopIfTrue="1">
      <formula>ISERROR(C78)</formula>
    </cfRule>
  </conditionalFormatting>
  <conditionalFormatting sqref="C81">
    <cfRule type="containsErrors" dxfId="24" priority="52" stopIfTrue="1">
      <formula>ISERROR(C81)</formula>
    </cfRule>
  </conditionalFormatting>
  <conditionalFormatting sqref="F81">
    <cfRule type="containsErrors" dxfId="23" priority="51" stopIfTrue="1">
      <formula>ISERROR(F81)</formula>
    </cfRule>
  </conditionalFormatting>
  <conditionalFormatting sqref="H81">
    <cfRule type="containsText" dxfId="22" priority="49" operator="containsText" text="No cumple">
      <formula>NOT(ISERROR(SEARCH("No cumple",H81)))</formula>
    </cfRule>
    <cfRule type="containsText" dxfId="21" priority="50" operator="containsText" text="Cumple">
      <formula>NOT(ISERROR(SEARCH("Cumple",H81)))</formula>
    </cfRule>
  </conditionalFormatting>
  <conditionalFormatting sqref="H81">
    <cfRule type="containsErrors" dxfId="20" priority="48">
      <formula>ISERROR(H81)</formula>
    </cfRule>
  </conditionalFormatting>
  <conditionalFormatting sqref="B86">
    <cfRule type="containsText" dxfId="19" priority="7" operator="containsText" text="No cumple">
      <formula>NOT(ISERROR(SEARCH("No cumple",B86)))</formula>
    </cfRule>
    <cfRule type="containsText" dxfId="18" priority="8" operator="containsText" text="Cumple">
      <formula>NOT(ISERROR(SEARCH("Cumple",B86)))</formula>
    </cfRule>
  </conditionalFormatting>
  <conditionalFormatting sqref="B86:H88">
    <cfRule type="containsErrors" dxfId="17" priority="6">
      <formula>ISERROR(B86)</formula>
    </cfRule>
  </conditionalFormatting>
  <conditionalFormatting sqref="D31">
    <cfRule type="containsErrors" dxfId="16" priority="5" stopIfTrue="1">
      <formula>ISERROR(D31)</formula>
    </cfRule>
  </conditionalFormatting>
  <conditionalFormatting sqref="D32">
    <cfRule type="containsErrors" dxfId="15" priority="4" stopIfTrue="1">
      <formula>ISERROR(D32)</formula>
    </cfRule>
  </conditionalFormatting>
  <conditionalFormatting sqref="D33:D37">
    <cfRule type="containsErrors" dxfId="14" priority="3" stopIfTrue="1">
      <formula>ISERROR(D33)</formula>
    </cfRule>
  </conditionalFormatting>
  <conditionalFormatting sqref="D23">
    <cfRule type="containsErrors" dxfId="13" priority="1" stopIfTrue="1">
      <formula>ISERROR(D23)</formula>
    </cfRule>
  </conditionalFormatting>
  <conditionalFormatting sqref="C23">
    <cfRule type="containsErrors" dxfId="12" priority="2" stopIfTrue="1">
      <formula>ISERROR(C23)</formula>
    </cfRule>
  </conditionalFormatting>
  <dataValidations disablePrompts="1" count="9">
    <dataValidation type="list" allowBlank="1" showInputMessage="1" showErrorMessage="1" sqref="H20">
      <formula1>"413.7,482.6"</formula1>
    </dataValidation>
    <dataValidation type="list" allowBlank="1" showInputMessage="1" showErrorMessage="1" sqref="G43 G71 G66 G61 G49 G53">
      <formula1>$N$42:$N$45</formula1>
    </dataValidation>
    <dataValidation type="list" allowBlank="1" showInputMessage="1" showErrorMessage="1" sqref="D26">
      <formula1>"Si,No"</formula1>
    </dataValidation>
    <dataValidation type="list" allowBlank="1" showInputMessage="1" showErrorMessage="1" sqref="D25">
      <formula1>"A307,A325,A490,Pieza roscada"</formula1>
    </dataValidation>
    <dataValidation type="list" allowBlank="1" showInputMessage="1" showErrorMessage="1" sqref="I5">
      <formula1>F.CONEXION</formula1>
    </dataValidation>
    <dataValidation type="list" allowBlank="1" showInputMessage="1" showErrorMessage="1" sqref="B3:B4">
      <formula1>TIPO</formula1>
    </dataValidation>
    <dataValidation type="list" errorStyle="warning" allowBlank="1" showInputMessage="1" showErrorMessage="1" error="Verificar tipo de perfil " prompt="Seleccionar tipo de perfil " sqref="E3:G4">
      <formula1>INDIRECT(B3)</formula1>
    </dataValidation>
    <dataValidation type="list" errorStyle="warning" allowBlank="1" showInputMessage="1" showErrorMessage="1" error="Verificar tipo de perfil " prompt="Seleccionar tipo de perfil " sqref="H3:I4">
      <formula1>INDIRECT(D3)</formula1>
    </dataValidation>
    <dataValidation type="list" allowBlank="1" showInputMessage="1" showErrorMessage="1" sqref="D8:D9 D11">
      <formula1>"250,350"</formula1>
    </dataValidation>
  </dataValidations>
  <pageMargins left="0.7" right="0.7" top="0.75" bottom="0.75" header="0.3" footer="0.3"/>
  <pageSetup paperSize="9" scale="52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'Datos genericos conexiones'!$F$2:$F$7</xm:f>
          </x14:formula1>
          <xm:sqref>H11 H13</xm:sqref>
        </x14:dataValidation>
        <x14:dataValidation type="list" allowBlank="1" showInputMessage="1" showErrorMessage="1">
          <x14:formula1>
            <xm:f>'Datos genericos columnas'!$C$2:$C$4</xm:f>
          </x14:formula1>
          <xm:sqref>E5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F1118"/>
  <sheetViews>
    <sheetView workbookViewId="0">
      <selection activeCell="M10" sqref="M10"/>
    </sheetView>
  </sheetViews>
  <sheetFormatPr baseColWidth="10" defaultRowHeight="15" x14ac:dyDescent="0.25"/>
  <cols>
    <col min="1" max="1" width="26.85546875" bestFit="1" customWidth="1"/>
    <col min="4" max="4" width="19.85546875" bestFit="1" customWidth="1"/>
  </cols>
  <sheetData>
    <row r="1" spans="1:6" x14ac:dyDescent="0.25">
      <c r="A1" t="s">
        <v>2417</v>
      </c>
      <c r="B1" t="s">
        <v>2418</v>
      </c>
      <c r="C1" t="s">
        <v>2419</v>
      </c>
      <c r="D1" t="s">
        <v>2420</v>
      </c>
      <c r="E1" t="s">
        <v>2421</v>
      </c>
      <c r="F1" t="s">
        <v>2422</v>
      </c>
    </row>
    <row r="2" spans="1:6" x14ac:dyDescent="0.25">
      <c r="A2" t="s">
        <v>1298</v>
      </c>
      <c r="B2">
        <v>0.05</v>
      </c>
      <c r="C2">
        <v>0.05</v>
      </c>
      <c r="D2" t="s">
        <v>2423</v>
      </c>
      <c r="E2">
        <v>0.04</v>
      </c>
      <c r="F2">
        <v>0.02</v>
      </c>
    </row>
    <row r="3" spans="1:6" x14ac:dyDescent="0.25">
      <c r="A3" t="s">
        <v>1329</v>
      </c>
      <c r="B3">
        <v>0.05</v>
      </c>
      <c r="C3">
        <v>0.05</v>
      </c>
      <c r="D3" t="s">
        <v>2423</v>
      </c>
      <c r="E3">
        <v>0.04</v>
      </c>
      <c r="F3">
        <v>0.02</v>
      </c>
    </row>
    <row r="4" spans="1:6" x14ac:dyDescent="0.25">
      <c r="A4" t="s">
        <v>1361</v>
      </c>
      <c r="B4">
        <v>0.05</v>
      </c>
      <c r="C4">
        <v>0.05</v>
      </c>
      <c r="D4" t="s">
        <v>2423</v>
      </c>
      <c r="E4">
        <v>0.04</v>
      </c>
      <c r="F4">
        <v>0.02</v>
      </c>
    </row>
    <row r="5" spans="1:6" x14ac:dyDescent="0.25">
      <c r="A5" t="s">
        <v>1392</v>
      </c>
      <c r="B5">
        <v>0.05</v>
      </c>
      <c r="C5">
        <v>0.05</v>
      </c>
      <c r="D5" t="s">
        <v>2423</v>
      </c>
      <c r="E5">
        <v>0.04</v>
      </c>
      <c r="F5">
        <v>0.02</v>
      </c>
    </row>
    <row r="6" spans="1:6" x14ac:dyDescent="0.25">
      <c r="A6" t="s">
        <v>1423</v>
      </c>
      <c r="B6">
        <v>0.05</v>
      </c>
      <c r="C6">
        <v>0.05</v>
      </c>
      <c r="D6" t="s">
        <v>2423</v>
      </c>
      <c r="E6">
        <v>0.04</v>
      </c>
      <c r="F6">
        <v>0.02</v>
      </c>
    </row>
    <row r="7" spans="1:6" x14ac:dyDescent="0.25">
      <c r="A7" t="s">
        <v>1451</v>
      </c>
      <c r="B7">
        <v>0.05</v>
      </c>
      <c r="C7">
        <v>0.05</v>
      </c>
      <c r="D7" t="s">
        <v>2423</v>
      </c>
      <c r="E7">
        <v>0.04</v>
      </c>
      <c r="F7">
        <v>0.02</v>
      </c>
    </row>
    <row r="8" spans="1:6" x14ac:dyDescent="0.25">
      <c r="A8" t="s">
        <v>1480</v>
      </c>
      <c r="B8">
        <v>0.05</v>
      </c>
      <c r="C8">
        <v>0.05</v>
      </c>
      <c r="D8" t="s">
        <v>2423</v>
      </c>
      <c r="E8">
        <v>0.04</v>
      </c>
      <c r="F8">
        <v>0.02</v>
      </c>
    </row>
    <row r="9" spans="1:6" x14ac:dyDescent="0.25">
      <c r="A9" t="s">
        <v>1508</v>
      </c>
      <c r="B9">
        <v>0.05</v>
      </c>
      <c r="C9">
        <v>0.05</v>
      </c>
      <c r="D9" t="s">
        <v>2423</v>
      </c>
      <c r="E9">
        <v>0.04</v>
      </c>
      <c r="F9">
        <v>0.02</v>
      </c>
    </row>
    <row r="10" spans="1:6" x14ac:dyDescent="0.25">
      <c r="A10" t="s">
        <v>1534</v>
      </c>
      <c r="B10">
        <v>0.05</v>
      </c>
      <c r="C10">
        <v>0.05</v>
      </c>
      <c r="D10" t="s">
        <v>2423</v>
      </c>
      <c r="E10">
        <v>0.04</v>
      </c>
      <c r="F10">
        <v>0.02</v>
      </c>
    </row>
    <row r="11" spans="1:6" x14ac:dyDescent="0.25">
      <c r="A11" t="s">
        <v>1560</v>
      </c>
      <c r="B11">
        <v>0.05</v>
      </c>
      <c r="C11">
        <v>0.05</v>
      </c>
      <c r="D11" t="s">
        <v>2423</v>
      </c>
      <c r="E11">
        <v>0.04</v>
      </c>
      <c r="F11">
        <v>0.02</v>
      </c>
    </row>
    <row r="12" spans="1:6" x14ac:dyDescent="0.25">
      <c r="A12" t="s">
        <v>1586</v>
      </c>
      <c r="B12">
        <v>0.05</v>
      </c>
      <c r="C12">
        <v>0.05</v>
      </c>
      <c r="D12" t="s">
        <v>2423</v>
      </c>
      <c r="E12">
        <v>0.04</v>
      </c>
      <c r="F12">
        <v>0.02</v>
      </c>
    </row>
    <row r="13" spans="1:6" x14ac:dyDescent="0.25">
      <c r="A13" t="s">
        <v>1299</v>
      </c>
      <c r="B13">
        <v>0.15</v>
      </c>
      <c r="C13">
        <v>0.2</v>
      </c>
      <c r="D13" t="s">
        <v>2424</v>
      </c>
      <c r="E13">
        <v>0.13</v>
      </c>
      <c r="F13">
        <v>7.0000000000000007E-2</v>
      </c>
    </row>
    <row r="14" spans="1:6" x14ac:dyDescent="0.25">
      <c r="A14" t="s">
        <v>1330</v>
      </c>
      <c r="B14">
        <v>0.2</v>
      </c>
      <c r="C14">
        <v>0.25</v>
      </c>
      <c r="D14" t="s">
        <v>2425</v>
      </c>
      <c r="E14">
        <v>0.13</v>
      </c>
      <c r="F14">
        <v>7.0000000000000007E-2</v>
      </c>
    </row>
    <row r="15" spans="1:6" x14ac:dyDescent="0.25">
      <c r="A15" t="s">
        <v>1362</v>
      </c>
      <c r="B15">
        <v>0.2</v>
      </c>
      <c r="C15">
        <v>0.25</v>
      </c>
      <c r="D15" t="s">
        <v>2425</v>
      </c>
      <c r="E15">
        <v>0.13</v>
      </c>
      <c r="F15">
        <v>7.0000000000000007E-2</v>
      </c>
    </row>
    <row r="16" spans="1:6" x14ac:dyDescent="0.25">
      <c r="A16" t="s">
        <v>1393</v>
      </c>
      <c r="B16">
        <v>0.15</v>
      </c>
      <c r="C16">
        <v>0.2</v>
      </c>
      <c r="D16" t="s">
        <v>2424</v>
      </c>
      <c r="E16">
        <v>0.09</v>
      </c>
      <c r="F16">
        <v>0.05</v>
      </c>
    </row>
    <row r="17" spans="1:6" x14ac:dyDescent="0.25">
      <c r="A17" t="s">
        <v>1424</v>
      </c>
      <c r="B17">
        <v>0.2</v>
      </c>
      <c r="C17">
        <v>0.25</v>
      </c>
      <c r="D17" t="s">
        <v>2425</v>
      </c>
      <c r="E17">
        <v>0.16</v>
      </c>
      <c r="F17">
        <v>0.09</v>
      </c>
    </row>
    <row r="18" spans="1:6" x14ac:dyDescent="0.25">
      <c r="A18" t="s">
        <v>1452</v>
      </c>
      <c r="B18">
        <v>0.15</v>
      </c>
      <c r="C18">
        <v>0.2</v>
      </c>
      <c r="D18" t="s">
        <v>2424</v>
      </c>
      <c r="E18">
        <v>7.0000000000000007E-2</v>
      </c>
      <c r="F18">
        <v>0.04</v>
      </c>
    </row>
    <row r="19" spans="1:6" x14ac:dyDescent="0.25">
      <c r="A19" t="s">
        <v>1481</v>
      </c>
      <c r="B19">
        <v>0.2</v>
      </c>
      <c r="C19">
        <v>0.3</v>
      </c>
      <c r="D19" t="s">
        <v>2425</v>
      </c>
      <c r="E19">
        <v>0.17</v>
      </c>
      <c r="F19">
        <v>0.1</v>
      </c>
    </row>
    <row r="20" spans="1:6" x14ac:dyDescent="0.25">
      <c r="A20" t="s">
        <v>1509</v>
      </c>
      <c r="B20">
        <v>0.2</v>
      </c>
      <c r="C20">
        <v>0.25</v>
      </c>
      <c r="D20" t="s">
        <v>2425</v>
      </c>
      <c r="E20">
        <v>0.16</v>
      </c>
      <c r="F20">
        <v>0.08</v>
      </c>
    </row>
    <row r="21" spans="1:6" x14ac:dyDescent="0.25">
      <c r="A21" t="s">
        <v>1535</v>
      </c>
      <c r="B21">
        <v>0.15</v>
      </c>
      <c r="C21">
        <v>0.2</v>
      </c>
      <c r="D21" t="s">
        <v>2424</v>
      </c>
      <c r="E21">
        <v>0.09</v>
      </c>
      <c r="F21">
        <v>0.04</v>
      </c>
    </row>
    <row r="22" spans="1:6" x14ac:dyDescent="0.25">
      <c r="A22" t="s">
        <v>1561</v>
      </c>
      <c r="B22">
        <v>0.15</v>
      </c>
      <c r="C22">
        <v>0.2</v>
      </c>
      <c r="D22" t="s">
        <v>2424</v>
      </c>
      <c r="E22">
        <v>7.0000000000000007E-2</v>
      </c>
      <c r="F22">
        <v>0.04</v>
      </c>
    </row>
    <row r="23" spans="1:6" x14ac:dyDescent="0.25">
      <c r="A23" t="s">
        <v>1587</v>
      </c>
      <c r="B23">
        <v>0.2</v>
      </c>
      <c r="C23">
        <v>0.25</v>
      </c>
      <c r="D23" t="s">
        <v>2425</v>
      </c>
      <c r="E23">
        <v>0.14000000000000001</v>
      </c>
      <c r="F23">
        <v>0.08</v>
      </c>
    </row>
    <row r="24" spans="1:6" x14ac:dyDescent="0.25">
      <c r="A24" t="s">
        <v>1612</v>
      </c>
      <c r="B24">
        <v>0.25</v>
      </c>
      <c r="C24">
        <v>0.25</v>
      </c>
      <c r="D24" t="s">
        <v>2425</v>
      </c>
      <c r="E24">
        <v>0.19</v>
      </c>
      <c r="F24">
        <v>0.09</v>
      </c>
    </row>
    <row r="25" spans="1:6" x14ac:dyDescent="0.25">
      <c r="A25" t="s">
        <v>1637</v>
      </c>
      <c r="B25">
        <v>0.1</v>
      </c>
      <c r="C25">
        <v>0.2</v>
      </c>
      <c r="D25" t="s">
        <v>2424</v>
      </c>
      <c r="E25">
        <v>0.05</v>
      </c>
      <c r="F25">
        <v>0.03</v>
      </c>
    </row>
    <row r="26" spans="1:6" x14ac:dyDescent="0.25">
      <c r="A26" t="s">
        <v>1370</v>
      </c>
      <c r="B26">
        <v>0.15</v>
      </c>
      <c r="C26">
        <v>0.2</v>
      </c>
      <c r="D26" t="s">
        <v>2424</v>
      </c>
      <c r="E26">
        <v>0.12</v>
      </c>
      <c r="F26">
        <v>7.0000000000000007E-2</v>
      </c>
    </row>
    <row r="27" spans="1:6" x14ac:dyDescent="0.25">
      <c r="A27" t="s">
        <v>1682</v>
      </c>
      <c r="B27">
        <v>0.2</v>
      </c>
      <c r="C27">
        <v>0.25</v>
      </c>
      <c r="D27" t="s">
        <v>2425</v>
      </c>
      <c r="E27">
        <v>0.15</v>
      </c>
      <c r="F27">
        <v>0.08</v>
      </c>
    </row>
    <row r="28" spans="1:6" x14ac:dyDescent="0.25">
      <c r="A28" t="s">
        <v>1704</v>
      </c>
      <c r="B28">
        <v>0.15</v>
      </c>
      <c r="C28">
        <v>0.2</v>
      </c>
      <c r="D28" t="s">
        <v>2424</v>
      </c>
      <c r="E28">
        <v>0.1</v>
      </c>
      <c r="F28">
        <v>0.05</v>
      </c>
    </row>
    <row r="29" spans="1:6" x14ac:dyDescent="0.25">
      <c r="A29" t="s">
        <v>1725</v>
      </c>
      <c r="B29">
        <v>0.15</v>
      </c>
      <c r="C29">
        <v>0.2</v>
      </c>
      <c r="D29" t="s">
        <v>2424</v>
      </c>
      <c r="E29">
        <v>0.13</v>
      </c>
      <c r="F29">
        <v>7.0000000000000007E-2</v>
      </c>
    </row>
    <row r="30" spans="1:6" x14ac:dyDescent="0.25">
      <c r="A30" t="s">
        <v>1745</v>
      </c>
      <c r="B30">
        <v>0.15</v>
      </c>
      <c r="C30">
        <v>0.2</v>
      </c>
      <c r="D30" t="s">
        <v>2424</v>
      </c>
      <c r="E30">
        <v>0.12</v>
      </c>
      <c r="F30">
        <v>0.06</v>
      </c>
    </row>
    <row r="31" spans="1:6" x14ac:dyDescent="0.25">
      <c r="A31" t="s">
        <v>1765</v>
      </c>
      <c r="B31">
        <v>0.25</v>
      </c>
      <c r="C31">
        <v>0.3</v>
      </c>
      <c r="D31" t="s">
        <v>2425</v>
      </c>
      <c r="E31">
        <v>0.16</v>
      </c>
      <c r="F31">
        <v>0.1</v>
      </c>
    </row>
    <row r="32" spans="1:6" x14ac:dyDescent="0.25">
      <c r="A32" t="s">
        <v>1785</v>
      </c>
      <c r="B32">
        <v>0.2</v>
      </c>
      <c r="C32">
        <v>0.25</v>
      </c>
      <c r="D32" t="s">
        <v>2425</v>
      </c>
      <c r="E32">
        <v>0.14000000000000001</v>
      </c>
      <c r="F32">
        <v>0.08</v>
      </c>
    </row>
    <row r="33" spans="1:6" x14ac:dyDescent="0.25">
      <c r="A33" t="s">
        <v>1803</v>
      </c>
      <c r="B33">
        <v>0.15</v>
      </c>
      <c r="C33">
        <v>0.2</v>
      </c>
      <c r="D33" t="s">
        <v>2424</v>
      </c>
      <c r="E33">
        <v>0.12</v>
      </c>
      <c r="F33">
        <v>0.06</v>
      </c>
    </row>
    <row r="34" spans="1:6" x14ac:dyDescent="0.25">
      <c r="A34" t="s">
        <v>1822</v>
      </c>
      <c r="B34">
        <v>0.2</v>
      </c>
      <c r="C34">
        <v>0.25</v>
      </c>
      <c r="D34" t="s">
        <v>2425</v>
      </c>
      <c r="E34">
        <v>0.12</v>
      </c>
      <c r="F34">
        <v>7.0000000000000007E-2</v>
      </c>
    </row>
    <row r="35" spans="1:6" x14ac:dyDescent="0.25">
      <c r="A35" t="s">
        <v>1841</v>
      </c>
      <c r="B35">
        <v>0.2</v>
      </c>
      <c r="C35">
        <v>0.25</v>
      </c>
      <c r="D35" t="s">
        <v>2425</v>
      </c>
      <c r="E35">
        <v>0.12</v>
      </c>
      <c r="F35">
        <v>7.0000000000000007E-2</v>
      </c>
    </row>
    <row r="36" spans="1:6" x14ac:dyDescent="0.25">
      <c r="A36" t="s">
        <v>1860</v>
      </c>
      <c r="B36">
        <v>0.15</v>
      </c>
      <c r="C36">
        <v>0.2</v>
      </c>
      <c r="D36" t="s">
        <v>2424</v>
      </c>
      <c r="E36">
        <v>0.08</v>
      </c>
      <c r="F36">
        <v>0.03</v>
      </c>
    </row>
    <row r="37" spans="1:6" x14ac:dyDescent="0.25">
      <c r="A37" t="s">
        <v>1878</v>
      </c>
      <c r="B37">
        <v>0.2</v>
      </c>
      <c r="C37">
        <v>0.25</v>
      </c>
      <c r="D37" t="s">
        <v>2425</v>
      </c>
      <c r="E37">
        <v>0.13</v>
      </c>
      <c r="F37">
        <v>7.0000000000000007E-2</v>
      </c>
    </row>
    <row r="38" spans="1:6" x14ac:dyDescent="0.25">
      <c r="A38" t="s">
        <v>1275</v>
      </c>
      <c r="B38">
        <v>0.2</v>
      </c>
      <c r="C38">
        <v>0.2</v>
      </c>
      <c r="D38" t="s">
        <v>2424</v>
      </c>
      <c r="E38">
        <v>0.16</v>
      </c>
      <c r="F38">
        <v>0.08</v>
      </c>
    </row>
    <row r="39" spans="1:6" x14ac:dyDescent="0.25">
      <c r="A39" t="s">
        <v>1911</v>
      </c>
      <c r="B39">
        <v>0.15</v>
      </c>
      <c r="C39">
        <v>0.25</v>
      </c>
      <c r="D39" t="s">
        <v>2425</v>
      </c>
      <c r="E39">
        <v>0.08</v>
      </c>
      <c r="F39">
        <v>0.04</v>
      </c>
    </row>
    <row r="40" spans="1:6" x14ac:dyDescent="0.25">
      <c r="A40" t="s">
        <v>1927</v>
      </c>
      <c r="B40">
        <v>0.15</v>
      </c>
      <c r="C40">
        <v>0.2</v>
      </c>
      <c r="D40" t="s">
        <v>2424</v>
      </c>
      <c r="E40">
        <v>0.13</v>
      </c>
      <c r="F40">
        <v>0.06</v>
      </c>
    </row>
    <row r="41" spans="1:6" x14ac:dyDescent="0.25">
      <c r="A41" t="s">
        <v>1941</v>
      </c>
      <c r="B41">
        <v>0.25</v>
      </c>
      <c r="C41">
        <v>0.25</v>
      </c>
      <c r="D41" t="s">
        <v>2425</v>
      </c>
      <c r="E41">
        <v>0.15</v>
      </c>
      <c r="F41">
        <v>0.09</v>
      </c>
    </row>
    <row r="42" spans="1:6" x14ac:dyDescent="0.25">
      <c r="A42" t="s">
        <v>1954</v>
      </c>
      <c r="B42">
        <v>0.25</v>
      </c>
      <c r="C42">
        <v>0.25</v>
      </c>
      <c r="D42" t="s">
        <v>2425</v>
      </c>
      <c r="E42">
        <v>0.16</v>
      </c>
      <c r="F42">
        <v>0.08</v>
      </c>
    </row>
    <row r="43" spans="1:6" x14ac:dyDescent="0.25">
      <c r="A43" t="s">
        <v>1967</v>
      </c>
      <c r="B43">
        <v>0.15</v>
      </c>
      <c r="C43">
        <v>0.2</v>
      </c>
      <c r="D43" t="s">
        <v>2424</v>
      </c>
      <c r="E43">
        <v>0.11</v>
      </c>
      <c r="F43">
        <v>0.06</v>
      </c>
    </row>
    <row r="44" spans="1:6" x14ac:dyDescent="0.25">
      <c r="A44" t="s">
        <v>1979</v>
      </c>
      <c r="B44">
        <v>0.15</v>
      </c>
      <c r="C44">
        <v>0.2</v>
      </c>
      <c r="D44" t="s">
        <v>2424</v>
      </c>
      <c r="E44">
        <v>0.09</v>
      </c>
      <c r="F44">
        <v>0.05</v>
      </c>
    </row>
    <row r="45" spans="1:6" x14ac:dyDescent="0.25">
      <c r="A45" t="s">
        <v>1990</v>
      </c>
      <c r="B45">
        <v>0.15</v>
      </c>
      <c r="C45">
        <v>0.2</v>
      </c>
      <c r="D45" t="s">
        <v>2424</v>
      </c>
      <c r="E45">
        <v>0.04</v>
      </c>
      <c r="F45">
        <v>0.02</v>
      </c>
    </row>
    <row r="46" spans="1:6" x14ac:dyDescent="0.25">
      <c r="A46" t="s">
        <v>2001</v>
      </c>
      <c r="B46">
        <v>0.25</v>
      </c>
      <c r="C46">
        <v>0.3</v>
      </c>
      <c r="D46" t="s">
        <v>2425</v>
      </c>
    </row>
    <row r="47" spans="1:6" x14ac:dyDescent="0.25">
      <c r="A47" t="s">
        <v>2012</v>
      </c>
      <c r="B47">
        <v>0.15</v>
      </c>
      <c r="C47">
        <v>0.2</v>
      </c>
      <c r="D47" t="s">
        <v>2424</v>
      </c>
    </row>
    <row r="48" spans="1:6" x14ac:dyDescent="0.25">
      <c r="A48" t="s">
        <v>2023</v>
      </c>
      <c r="B48">
        <v>0.25</v>
      </c>
      <c r="C48">
        <v>0.3</v>
      </c>
      <c r="D48" t="s">
        <v>2425</v>
      </c>
    </row>
    <row r="49" spans="1:4" x14ac:dyDescent="0.25">
      <c r="A49" t="s">
        <v>2033</v>
      </c>
      <c r="B49">
        <v>0.15</v>
      </c>
      <c r="C49">
        <v>0.2</v>
      </c>
      <c r="D49" t="s">
        <v>2424</v>
      </c>
    </row>
    <row r="50" spans="1:4" x14ac:dyDescent="0.25">
      <c r="A50" t="s">
        <v>2044</v>
      </c>
      <c r="B50">
        <v>0.15</v>
      </c>
      <c r="C50">
        <v>0.2</v>
      </c>
      <c r="D50" t="s">
        <v>2424</v>
      </c>
    </row>
    <row r="51" spans="1:4" x14ac:dyDescent="0.25">
      <c r="A51" t="s">
        <v>2054</v>
      </c>
      <c r="B51">
        <v>0.25</v>
      </c>
      <c r="C51">
        <v>0.25</v>
      </c>
      <c r="D51" t="s">
        <v>2425</v>
      </c>
    </row>
    <row r="52" spans="1:4" x14ac:dyDescent="0.25">
      <c r="A52" t="s">
        <v>2064</v>
      </c>
      <c r="B52">
        <v>0.15</v>
      </c>
      <c r="C52">
        <v>0.2</v>
      </c>
      <c r="D52" t="s">
        <v>2424</v>
      </c>
    </row>
    <row r="53" spans="1:4" x14ac:dyDescent="0.25">
      <c r="A53" t="s">
        <v>2074</v>
      </c>
      <c r="B53">
        <v>0.25</v>
      </c>
      <c r="C53">
        <v>0.3</v>
      </c>
      <c r="D53" t="s">
        <v>2425</v>
      </c>
    </row>
    <row r="54" spans="1:4" x14ac:dyDescent="0.25">
      <c r="A54" t="s">
        <v>2083</v>
      </c>
      <c r="B54">
        <v>0.15</v>
      </c>
      <c r="C54">
        <v>0.2</v>
      </c>
      <c r="D54" t="s">
        <v>2424</v>
      </c>
    </row>
    <row r="55" spans="1:4" x14ac:dyDescent="0.25">
      <c r="A55" t="s">
        <v>2091</v>
      </c>
      <c r="B55">
        <v>0.15</v>
      </c>
      <c r="C55">
        <v>0.25</v>
      </c>
      <c r="D55" t="s">
        <v>2425</v>
      </c>
    </row>
    <row r="56" spans="1:4" x14ac:dyDescent="0.25">
      <c r="A56" t="s">
        <v>2098</v>
      </c>
      <c r="B56">
        <v>0.15</v>
      </c>
      <c r="C56">
        <v>0.15</v>
      </c>
      <c r="D56" t="s">
        <v>2424</v>
      </c>
    </row>
    <row r="57" spans="1:4" x14ac:dyDescent="0.25">
      <c r="A57" t="s">
        <v>2105</v>
      </c>
      <c r="B57">
        <v>0.15</v>
      </c>
      <c r="C57">
        <v>0.2</v>
      </c>
      <c r="D57" t="s">
        <v>2424</v>
      </c>
    </row>
    <row r="58" spans="1:4" x14ac:dyDescent="0.25">
      <c r="A58" t="s">
        <v>2112</v>
      </c>
      <c r="B58">
        <v>0.15</v>
      </c>
      <c r="C58">
        <v>0.2</v>
      </c>
      <c r="D58" t="s">
        <v>2424</v>
      </c>
    </row>
    <row r="59" spans="1:4" x14ac:dyDescent="0.25">
      <c r="A59" t="s">
        <v>2118</v>
      </c>
      <c r="B59">
        <v>0.2</v>
      </c>
      <c r="C59">
        <v>0.25</v>
      </c>
      <c r="D59" t="s">
        <v>2425</v>
      </c>
    </row>
    <row r="60" spans="1:4" x14ac:dyDescent="0.25">
      <c r="A60" t="s">
        <v>2124</v>
      </c>
      <c r="B60">
        <v>0.3</v>
      </c>
      <c r="C60">
        <v>0.3</v>
      </c>
      <c r="D60" t="s">
        <v>2425</v>
      </c>
    </row>
    <row r="61" spans="1:4" x14ac:dyDescent="0.25">
      <c r="A61" t="s">
        <v>2129</v>
      </c>
      <c r="B61">
        <v>0.2</v>
      </c>
      <c r="C61">
        <v>0.25</v>
      </c>
      <c r="D61" t="s">
        <v>2425</v>
      </c>
    </row>
    <row r="62" spans="1:4" x14ac:dyDescent="0.25">
      <c r="A62" t="s">
        <v>2134</v>
      </c>
      <c r="B62">
        <v>0.15</v>
      </c>
      <c r="C62">
        <v>0.2</v>
      </c>
      <c r="D62" t="s">
        <v>2424</v>
      </c>
    </row>
    <row r="63" spans="1:4" x14ac:dyDescent="0.25">
      <c r="A63" t="s">
        <v>2139</v>
      </c>
      <c r="B63">
        <v>0.15</v>
      </c>
      <c r="C63">
        <v>0.2</v>
      </c>
      <c r="D63" t="s">
        <v>2424</v>
      </c>
    </row>
    <row r="64" spans="1:4" x14ac:dyDescent="0.25">
      <c r="A64" t="s">
        <v>2144</v>
      </c>
      <c r="B64">
        <v>0.15</v>
      </c>
      <c r="C64">
        <v>0.2</v>
      </c>
      <c r="D64" t="s">
        <v>2424</v>
      </c>
    </row>
    <row r="65" spans="1:4" x14ac:dyDescent="0.25">
      <c r="A65" t="s">
        <v>2149</v>
      </c>
      <c r="B65">
        <v>0.15</v>
      </c>
      <c r="C65">
        <v>0.2</v>
      </c>
      <c r="D65" t="s">
        <v>2424</v>
      </c>
    </row>
    <row r="66" spans="1:4" x14ac:dyDescent="0.25">
      <c r="A66" t="s">
        <v>2154</v>
      </c>
      <c r="B66">
        <v>0.15</v>
      </c>
      <c r="C66">
        <v>0.2</v>
      </c>
      <c r="D66" t="s">
        <v>2424</v>
      </c>
    </row>
    <row r="67" spans="1:4" x14ac:dyDescent="0.25">
      <c r="A67" t="s">
        <v>2159</v>
      </c>
      <c r="B67">
        <v>0.15</v>
      </c>
      <c r="C67">
        <v>0.2</v>
      </c>
      <c r="D67" t="s">
        <v>2424</v>
      </c>
    </row>
    <row r="68" spans="1:4" x14ac:dyDescent="0.25">
      <c r="A68" t="s">
        <v>2164</v>
      </c>
      <c r="B68">
        <v>0.15</v>
      </c>
      <c r="C68">
        <v>0.25</v>
      </c>
      <c r="D68" t="s">
        <v>2425</v>
      </c>
    </row>
    <row r="69" spans="1:4" x14ac:dyDescent="0.25">
      <c r="A69" t="s">
        <v>2169</v>
      </c>
      <c r="B69">
        <v>0.25</v>
      </c>
      <c r="C69">
        <v>0.3</v>
      </c>
      <c r="D69" t="s">
        <v>2425</v>
      </c>
    </row>
    <row r="70" spans="1:4" x14ac:dyDescent="0.25">
      <c r="A70" t="s">
        <v>2174</v>
      </c>
      <c r="B70">
        <v>0.15</v>
      </c>
      <c r="C70">
        <v>0.2</v>
      </c>
      <c r="D70" t="s">
        <v>2424</v>
      </c>
    </row>
    <row r="71" spans="1:4" x14ac:dyDescent="0.25">
      <c r="A71" t="s">
        <v>2179</v>
      </c>
      <c r="B71">
        <v>0.2</v>
      </c>
      <c r="C71">
        <v>0.2</v>
      </c>
      <c r="D71" t="s">
        <v>2424</v>
      </c>
    </row>
    <row r="72" spans="1:4" x14ac:dyDescent="0.25">
      <c r="A72" t="s">
        <v>2184</v>
      </c>
      <c r="B72">
        <v>0.25</v>
      </c>
      <c r="C72">
        <v>0.3</v>
      </c>
      <c r="D72" t="s">
        <v>2425</v>
      </c>
    </row>
    <row r="73" spans="1:4" x14ac:dyDescent="0.25">
      <c r="A73" t="s">
        <v>2189</v>
      </c>
      <c r="B73">
        <v>0.25</v>
      </c>
      <c r="C73">
        <v>0.25</v>
      </c>
      <c r="D73" t="s">
        <v>2425</v>
      </c>
    </row>
    <row r="74" spans="1:4" x14ac:dyDescent="0.25">
      <c r="A74" t="s">
        <v>2194</v>
      </c>
      <c r="B74">
        <v>0.15</v>
      </c>
      <c r="C74">
        <v>0.2</v>
      </c>
      <c r="D74" t="s">
        <v>2424</v>
      </c>
    </row>
    <row r="75" spans="1:4" x14ac:dyDescent="0.25">
      <c r="A75" t="s">
        <v>2199</v>
      </c>
      <c r="B75">
        <v>0.15</v>
      </c>
      <c r="C75">
        <v>0.25</v>
      </c>
      <c r="D75" t="s">
        <v>2425</v>
      </c>
    </row>
    <row r="76" spans="1:4" x14ac:dyDescent="0.25">
      <c r="A76" t="s">
        <v>2204</v>
      </c>
      <c r="B76">
        <v>0.25</v>
      </c>
      <c r="C76">
        <v>0.25</v>
      </c>
      <c r="D76" t="s">
        <v>2425</v>
      </c>
    </row>
    <row r="77" spans="1:4" x14ac:dyDescent="0.25">
      <c r="A77" t="s">
        <v>2208</v>
      </c>
      <c r="B77">
        <v>0.15</v>
      </c>
      <c r="C77">
        <v>0.2</v>
      </c>
      <c r="D77" t="s">
        <v>2424</v>
      </c>
    </row>
    <row r="78" spans="1:4" x14ac:dyDescent="0.25">
      <c r="A78" t="s">
        <v>2212</v>
      </c>
      <c r="B78">
        <v>0.15</v>
      </c>
      <c r="C78">
        <v>0.2</v>
      </c>
      <c r="D78" t="s">
        <v>2424</v>
      </c>
    </row>
    <row r="79" spans="1:4" x14ac:dyDescent="0.25">
      <c r="A79" t="s">
        <v>2216</v>
      </c>
      <c r="B79">
        <v>0.15</v>
      </c>
      <c r="C79">
        <v>0.2</v>
      </c>
      <c r="D79" t="s">
        <v>2424</v>
      </c>
    </row>
    <row r="80" spans="1:4" x14ac:dyDescent="0.25">
      <c r="A80" t="s">
        <v>2220</v>
      </c>
      <c r="B80">
        <v>0.15</v>
      </c>
      <c r="C80">
        <v>0.2</v>
      </c>
      <c r="D80" t="s">
        <v>2424</v>
      </c>
    </row>
    <row r="81" spans="1:4" x14ac:dyDescent="0.25">
      <c r="A81" t="s">
        <v>2224</v>
      </c>
      <c r="B81">
        <v>0.2</v>
      </c>
      <c r="C81">
        <v>0.25</v>
      </c>
      <c r="D81" t="s">
        <v>2425</v>
      </c>
    </row>
    <row r="82" spans="1:4" x14ac:dyDescent="0.25">
      <c r="A82" t="s">
        <v>2228</v>
      </c>
      <c r="B82">
        <v>0.35</v>
      </c>
      <c r="C82">
        <v>0.35</v>
      </c>
      <c r="D82" t="s">
        <v>2425</v>
      </c>
    </row>
    <row r="83" spans="1:4" x14ac:dyDescent="0.25">
      <c r="A83" t="s">
        <v>2232</v>
      </c>
      <c r="B83">
        <v>0.25</v>
      </c>
      <c r="C83">
        <v>0.3</v>
      </c>
      <c r="D83" t="s">
        <v>2425</v>
      </c>
    </row>
    <row r="84" spans="1:4" x14ac:dyDescent="0.25">
      <c r="A84" t="s">
        <v>1229</v>
      </c>
      <c r="B84">
        <v>0.2</v>
      </c>
      <c r="C84">
        <v>0.2</v>
      </c>
      <c r="D84" t="s">
        <v>2424</v>
      </c>
    </row>
    <row r="85" spans="1:4" x14ac:dyDescent="0.25">
      <c r="A85" t="s">
        <v>2239</v>
      </c>
      <c r="B85">
        <v>0.15</v>
      </c>
      <c r="C85">
        <v>0.15</v>
      </c>
      <c r="D85" t="s">
        <v>2424</v>
      </c>
    </row>
    <row r="86" spans="1:4" x14ac:dyDescent="0.25">
      <c r="A86" t="s">
        <v>2243</v>
      </c>
      <c r="B86">
        <v>0.2</v>
      </c>
      <c r="C86">
        <v>0.2</v>
      </c>
      <c r="D86" t="s">
        <v>2424</v>
      </c>
    </row>
    <row r="87" spans="1:4" x14ac:dyDescent="0.25">
      <c r="A87" t="s">
        <v>2247</v>
      </c>
      <c r="B87">
        <v>0.15</v>
      </c>
      <c r="C87">
        <v>0.2</v>
      </c>
      <c r="D87" t="s">
        <v>2424</v>
      </c>
    </row>
    <row r="88" spans="1:4" x14ac:dyDescent="0.25">
      <c r="A88" t="s">
        <v>2251</v>
      </c>
      <c r="B88">
        <v>0.15</v>
      </c>
      <c r="C88">
        <v>0.2</v>
      </c>
      <c r="D88" t="s">
        <v>2424</v>
      </c>
    </row>
    <row r="89" spans="1:4" x14ac:dyDescent="0.25">
      <c r="A89" t="s">
        <v>2255</v>
      </c>
      <c r="B89">
        <v>0.2</v>
      </c>
      <c r="C89">
        <v>0.25</v>
      </c>
      <c r="D89" t="s">
        <v>2425</v>
      </c>
    </row>
    <row r="90" spans="1:4" x14ac:dyDescent="0.25">
      <c r="A90" t="s">
        <v>2259</v>
      </c>
      <c r="B90">
        <v>0.25</v>
      </c>
      <c r="C90">
        <v>0.25</v>
      </c>
      <c r="D90" t="s">
        <v>2425</v>
      </c>
    </row>
    <row r="91" spans="1:4" x14ac:dyDescent="0.25">
      <c r="A91" t="s">
        <v>2263</v>
      </c>
      <c r="B91">
        <v>0.15</v>
      </c>
      <c r="C91">
        <v>0.15</v>
      </c>
      <c r="D91" t="s">
        <v>2424</v>
      </c>
    </row>
    <row r="92" spans="1:4" x14ac:dyDescent="0.25">
      <c r="A92" t="s">
        <v>2267</v>
      </c>
      <c r="B92">
        <v>0.15</v>
      </c>
      <c r="C92">
        <v>0.2</v>
      </c>
      <c r="D92" t="s">
        <v>2424</v>
      </c>
    </row>
    <row r="93" spans="1:4" x14ac:dyDescent="0.25">
      <c r="A93" t="s">
        <v>2271</v>
      </c>
      <c r="B93">
        <v>0.15</v>
      </c>
      <c r="C93">
        <v>0.2</v>
      </c>
      <c r="D93" t="s">
        <v>2424</v>
      </c>
    </row>
    <row r="94" spans="1:4" x14ac:dyDescent="0.25">
      <c r="A94" t="s">
        <v>2275</v>
      </c>
      <c r="B94">
        <v>0.15</v>
      </c>
      <c r="C94">
        <v>0.2</v>
      </c>
      <c r="D94" t="s">
        <v>2424</v>
      </c>
    </row>
    <row r="95" spans="1:4" x14ac:dyDescent="0.25">
      <c r="A95" t="s">
        <v>2279</v>
      </c>
      <c r="B95">
        <v>0.15</v>
      </c>
      <c r="C95">
        <v>0.2</v>
      </c>
      <c r="D95" t="s">
        <v>2424</v>
      </c>
    </row>
    <row r="96" spans="1:4" x14ac:dyDescent="0.25">
      <c r="A96" t="s">
        <v>2283</v>
      </c>
      <c r="B96">
        <v>0.15</v>
      </c>
      <c r="C96">
        <v>0.2</v>
      </c>
      <c r="D96" t="s">
        <v>2424</v>
      </c>
    </row>
    <row r="97" spans="1:4" x14ac:dyDescent="0.25">
      <c r="A97" t="s">
        <v>2287</v>
      </c>
      <c r="B97">
        <v>0.2</v>
      </c>
      <c r="C97">
        <v>0.2</v>
      </c>
      <c r="D97" t="s">
        <v>2424</v>
      </c>
    </row>
    <row r="98" spans="1:4" x14ac:dyDescent="0.25">
      <c r="A98" t="s">
        <v>2291</v>
      </c>
      <c r="B98">
        <v>0.15</v>
      </c>
      <c r="C98">
        <v>0.2</v>
      </c>
      <c r="D98" t="s">
        <v>2424</v>
      </c>
    </row>
    <row r="99" spans="1:4" x14ac:dyDescent="0.25">
      <c r="A99" t="s">
        <v>2295</v>
      </c>
      <c r="B99">
        <v>0.25</v>
      </c>
      <c r="C99">
        <v>0.25</v>
      </c>
      <c r="D99" t="s">
        <v>2425</v>
      </c>
    </row>
    <row r="100" spans="1:4" x14ac:dyDescent="0.25">
      <c r="A100" t="s">
        <v>2299</v>
      </c>
      <c r="B100">
        <v>0.15</v>
      </c>
      <c r="C100">
        <v>0.2</v>
      </c>
      <c r="D100" t="s">
        <v>2424</v>
      </c>
    </row>
    <row r="101" spans="1:4" x14ac:dyDescent="0.25">
      <c r="A101" t="s">
        <v>2302</v>
      </c>
      <c r="B101">
        <v>0.15</v>
      </c>
      <c r="C101">
        <v>0.2</v>
      </c>
      <c r="D101" t="s">
        <v>2424</v>
      </c>
    </row>
    <row r="102" spans="1:4" x14ac:dyDescent="0.25">
      <c r="A102" t="s">
        <v>2305</v>
      </c>
      <c r="B102">
        <v>0.15</v>
      </c>
      <c r="C102">
        <v>0.2</v>
      </c>
      <c r="D102" t="s">
        <v>2424</v>
      </c>
    </row>
    <row r="103" spans="1:4" x14ac:dyDescent="0.25">
      <c r="A103" t="s">
        <v>2308</v>
      </c>
      <c r="B103">
        <v>0.15</v>
      </c>
      <c r="C103">
        <v>0.2</v>
      </c>
      <c r="D103" t="s">
        <v>2424</v>
      </c>
    </row>
    <row r="104" spans="1:4" x14ac:dyDescent="0.25">
      <c r="A104" t="s">
        <v>2311</v>
      </c>
      <c r="B104">
        <v>0.15</v>
      </c>
      <c r="C104">
        <v>0.2</v>
      </c>
      <c r="D104" t="s">
        <v>2424</v>
      </c>
    </row>
    <row r="105" spans="1:4" x14ac:dyDescent="0.25">
      <c r="A105" t="s">
        <v>2314</v>
      </c>
      <c r="B105">
        <v>0.1</v>
      </c>
      <c r="C105">
        <v>0.2</v>
      </c>
      <c r="D105" t="s">
        <v>2424</v>
      </c>
    </row>
    <row r="106" spans="1:4" x14ac:dyDescent="0.25">
      <c r="A106" t="s">
        <v>2317</v>
      </c>
      <c r="B106">
        <v>0.15</v>
      </c>
      <c r="C106">
        <v>0.2</v>
      </c>
      <c r="D106" t="s">
        <v>2424</v>
      </c>
    </row>
    <row r="107" spans="1:4" x14ac:dyDescent="0.25">
      <c r="A107" t="s">
        <v>2320</v>
      </c>
      <c r="B107">
        <v>0.15</v>
      </c>
      <c r="C107">
        <v>0.2</v>
      </c>
      <c r="D107" t="s">
        <v>2424</v>
      </c>
    </row>
    <row r="108" spans="1:4" x14ac:dyDescent="0.25">
      <c r="A108" t="s">
        <v>2323</v>
      </c>
      <c r="B108">
        <v>0.15</v>
      </c>
      <c r="C108">
        <v>0.2</v>
      </c>
      <c r="D108" t="s">
        <v>2424</v>
      </c>
    </row>
    <row r="109" spans="1:4" x14ac:dyDescent="0.25">
      <c r="A109" t="s">
        <v>2326</v>
      </c>
      <c r="B109">
        <v>0.15</v>
      </c>
      <c r="C109">
        <v>0.2</v>
      </c>
      <c r="D109" t="s">
        <v>2424</v>
      </c>
    </row>
    <row r="110" spans="1:4" x14ac:dyDescent="0.25">
      <c r="A110" t="s">
        <v>2329</v>
      </c>
      <c r="B110">
        <v>0.15</v>
      </c>
      <c r="C110">
        <v>0.2</v>
      </c>
      <c r="D110" t="s">
        <v>2424</v>
      </c>
    </row>
    <row r="111" spans="1:4" x14ac:dyDescent="0.25">
      <c r="A111" t="s">
        <v>2332</v>
      </c>
      <c r="B111">
        <v>0.15</v>
      </c>
      <c r="C111">
        <v>0.2</v>
      </c>
      <c r="D111" t="s">
        <v>2424</v>
      </c>
    </row>
    <row r="112" spans="1:4" x14ac:dyDescent="0.25">
      <c r="A112" t="s">
        <v>2335</v>
      </c>
      <c r="B112">
        <v>0.2</v>
      </c>
      <c r="C112">
        <v>0.25</v>
      </c>
      <c r="D112" t="s">
        <v>2425</v>
      </c>
    </row>
    <row r="113" spans="1:4" x14ac:dyDescent="0.25">
      <c r="A113" t="s">
        <v>2338</v>
      </c>
      <c r="B113">
        <v>0.15</v>
      </c>
      <c r="C113">
        <v>0.2</v>
      </c>
      <c r="D113" t="s">
        <v>2424</v>
      </c>
    </row>
    <row r="114" spans="1:4" x14ac:dyDescent="0.25">
      <c r="A114" t="s">
        <v>2341</v>
      </c>
      <c r="B114">
        <v>0.2</v>
      </c>
      <c r="C114">
        <v>0.25</v>
      </c>
      <c r="D114" t="s">
        <v>2425</v>
      </c>
    </row>
    <row r="115" spans="1:4" x14ac:dyDescent="0.25">
      <c r="A115" t="s">
        <v>2344</v>
      </c>
      <c r="B115">
        <v>0.15</v>
      </c>
      <c r="C115">
        <v>0.2</v>
      </c>
      <c r="D115" t="s">
        <v>2424</v>
      </c>
    </row>
    <row r="116" spans="1:4" x14ac:dyDescent="0.25">
      <c r="A116" t="s">
        <v>2347</v>
      </c>
      <c r="B116">
        <v>0.15</v>
      </c>
      <c r="C116">
        <v>0.2</v>
      </c>
      <c r="D116" t="s">
        <v>2424</v>
      </c>
    </row>
    <row r="117" spans="1:4" x14ac:dyDescent="0.25">
      <c r="A117" t="s">
        <v>2350</v>
      </c>
      <c r="B117">
        <v>0.15</v>
      </c>
      <c r="C117">
        <v>0.2</v>
      </c>
      <c r="D117" t="s">
        <v>2424</v>
      </c>
    </row>
    <row r="118" spans="1:4" x14ac:dyDescent="0.25">
      <c r="A118" t="s">
        <v>2353</v>
      </c>
      <c r="B118">
        <v>0.15</v>
      </c>
      <c r="C118">
        <v>0.2</v>
      </c>
      <c r="D118" t="s">
        <v>2424</v>
      </c>
    </row>
    <row r="119" spans="1:4" x14ac:dyDescent="0.25">
      <c r="A119" t="s">
        <v>2356</v>
      </c>
      <c r="B119">
        <v>0.15</v>
      </c>
      <c r="C119">
        <v>0.2</v>
      </c>
      <c r="D119" t="s">
        <v>2424</v>
      </c>
    </row>
    <row r="120" spans="1:4" x14ac:dyDescent="0.25">
      <c r="A120" t="s">
        <v>2359</v>
      </c>
      <c r="B120">
        <v>0.25</v>
      </c>
      <c r="C120">
        <v>0.25</v>
      </c>
      <c r="D120" t="s">
        <v>2425</v>
      </c>
    </row>
    <row r="121" spans="1:4" x14ac:dyDescent="0.25">
      <c r="A121" t="s">
        <v>2362</v>
      </c>
      <c r="B121">
        <v>0.15</v>
      </c>
      <c r="C121">
        <v>0.2</v>
      </c>
      <c r="D121" t="s">
        <v>2424</v>
      </c>
    </row>
    <row r="122" spans="1:4" x14ac:dyDescent="0.25">
      <c r="A122" t="s">
        <v>2365</v>
      </c>
      <c r="B122">
        <v>0.25</v>
      </c>
      <c r="C122">
        <v>0.25</v>
      </c>
      <c r="D122" t="s">
        <v>2425</v>
      </c>
    </row>
    <row r="123" spans="1:4" x14ac:dyDescent="0.25">
      <c r="A123" t="s">
        <v>2368</v>
      </c>
      <c r="B123">
        <v>0.2</v>
      </c>
      <c r="C123">
        <v>0.25</v>
      </c>
      <c r="D123" t="s">
        <v>2425</v>
      </c>
    </row>
    <row r="124" spans="1:4" x14ac:dyDescent="0.25">
      <c r="A124" t="s">
        <v>2371</v>
      </c>
      <c r="B124">
        <v>0.15</v>
      </c>
      <c r="C124">
        <v>0.2</v>
      </c>
      <c r="D124" t="s">
        <v>2424</v>
      </c>
    </row>
    <row r="125" spans="1:4" x14ac:dyDescent="0.25">
      <c r="A125" t="s">
        <v>2374</v>
      </c>
      <c r="B125">
        <v>0.25</v>
      </c>
      <c r="C125">
        <v>0.25</v>
      </c>
      <c r="D125" t="s">
        <v>2425</v>
      </c>
    </row>
    <row r="126" spans="1:4" x14ac:dyDescent="0.25">
      <c r="A126" t="s">
        <v>2377</v>
      </c>
      <c r="B126">
        <v>0.25</v>
      </c>
      <c r="C126">
        <v>0.25</v>
      </c>
      <c r="D126" t="s">
        <v>2425</v>
      </c>
    </row>
    <row r="127" spans="1:4" x14ac:dyDescent="0.25">
      <c r="A127" t="s">
        <v>2380</v>
      </c>
      <c r="B127">
        <v>0.3</v>
      </c>
      <c r="C127">
        <v>0.3</v>
      </c>
      <c r="D127" t="s">
        <v>2425</v>
      </c>
    </row>
    <row r="128" spans="1:4" x14ac:dyDescent="0.25">
      <c r="A128" t="s">
        <v>2383</v>
      </c>
      <c r="B128">
        <v>0.15</v>
      </c>
      <c r="C128">
        <v>0.2</v>
      </c>
      <c r="D128" t="s">
        <v>2424</v>
      </c>
    </row>
    <row r="129" spans="1:4" x14ac:dyDescent="0.25">
      <c r="A129" t="s">
        <v>2386</v>
      </c>
      <c r="B129">
        <v>0.25</v>
      </c>
      <c r="C129">
        <v>0.25</v>
      </c>
      <c r="D129" t="s">
        <v>2425</v>
      </c>
    </row>
    <row r="130" spans="1:4" x14ac:dyDescent="0.25">
      <c r="A130" t="s">
        <v>2388</v>
      </c>
      <c r="B130">
        <v>0.15</v>
      </c>
      <c r="C130">
        <v>0.2</v>
      </c>
      <c r="D130" t="s">
        <v>2424</v>
      </c>
    </row>
    <row r="131" spans="1:4" x14ac:dyDescent="0.25">
      <c r="A131" t="s">
        <v>2390</v>
      </c>
      <c r="B131">
        <v>0.2</v>
      </c>
      <c r="C131">
        <v>0.25</v>
      </c>
      <c r="D131" t="s">
        <v>2425</v>
      </c>
    </row>
    <row r="132" spans="1:4" x14ac:dyDescent="0.25">
      <c r="A132" t="s">
        <v>2392</v>
      </c>
      <c r="B132">
        <v>0.35</v>
      </c>
      <c r="C132">
        <v>0.35</v>
      </c>
      <c r="D132" t="s">
        <v>2425</v>
      </c>
    </row>
    <row r="133" spans="1:4" x14ac:dyDescent="0.25">
      <c r="A133" t="s">
        <v>2394</v>
      </c>
      <c r="B133">
        <v>0.15</v>
      </c>
      <c r="C133">
        <v>0.2</v>
      </c>
      <c r="D133" t="s">
        <v>2424</v>
      </c>
    </row>
    <row r="134" spans="1:4" x14ac:dyDescent="0.25">
      <c r="A134" t="s">
        <v>2396</v>
      </c>
      <c r="B134">
        <v>0.15</v>
      </c>
      <c r="C134">
        <v>0.2</v>
      </c>
      <c r="D134" t="s">
        <v>2424</v>
      </c>
    </row>
    <row r="135" spans="1:4" x14ac:dyDescent="0.25">
      <c r="A135" t="s">
        <v>2398</v>
      </c>
      <c r="B135">
        <v>0.15</v>
      </c>
      <c r="C135">
        <v>0.2</v>
      </c>
      <c r="D135" t="s">
        <v>2424</v>
      </c>
    </row>
    <row r="136" spans="1:4" x14ac:dyDescent="0.25">
      <c r="A136" t="s">
        <v>2400</v>
      </c>
      <c r="B136">
        <v>0.15</v>
      </c>
      <c r="C136">
        <v>0.15</v>
      </c>
      <c r="D136" t="s">
        <v>2424</v>
      </c>
    </row>
    <row r="137" spans="1:4" x14ac:dyDescent="0.25">
      <c r="A137" t="s">
        <v>2401</v>
      </c>
      <c r="B137">
        <v>0.15</v>
      </c>
      <c r="C137">
        <v>0.2</v>
      </c>
      <c r="D137" t="s">
        <v>2424</v>
      </c>
    </row>
    <row r="138" spans="1:4" x14ac:dyDescent="0.25">
      <c r="A138" t="s">
        <v>1270</v>
      </c>
      <c r="B138">
        <v>0.15</v>
      </c>
      <c r="C138">
        <v>0.15</v>
      </c>
      <c r="D138" t="s">
        <v>2424</v>
      </c>
    </row>
    <row r="139" spans="1:4" x14ac:dyDescent="0.25">
      <c r="A139" t="s">
        <v>1331</v>
      </c>
      <c r="B139">
        <v>0.2</v>
      </c>
      <c r="C139">
        <v>0.15</v>
      </c>
      <c r="D139" t="s">
        <v>2424</v>
      </c>
    </row>
    <row r="140" spans="1:4" x14ac:dyDescent="0.25">
      <c r="A140" t="s">
        <v>1363</v>
      </c>
      <c r="B140">
        <v>0.05</v>
      </c>
      <c r="C140">
        <v>0.05</v>
      </c>
      <c r="D140" t="s">
        <v>2423</v>
      </c>
    </row>
    <row r="141" spans="1:4" x14ac:dyDescent="0.25">
      <c r="A141" t="s">
        <v>1394</v>
      </c>
      <c r="B141">
        <v>0.3</v>
      </c>
      <c r="C141">
        <v>0.2</v>
      </c>
      <c r="D141" t="s">
        <v>2425</v>
      </c>
    </row>
    <row r="142" spans="1:4" x14ac:dyDescent="0.25">
      <c r="A142" t="s">
        <v>1425</v>
      </c>
      <c r="B142">
        <v>0.15</v>
      </c>
      <c r="C142">
        <v>0.15</v>
      </c>
      <c r="D142" t="s">
        <v>2424</v>
      </c>
    </row>
    <row r="143" spans="1:4" x14ac:dyDescent="0.25">
      <c r="A143" t="s">
        <v>1453</v>
      </c>
      <c r="B143">
        <v>0.3</v>
      </c>
      <c r="C143">
        <v>0.25</v>
      </c>
      <c r="D143" t="s">
        <v>2425</v>
      </c>
    </row>
    <row r="144" spans="1:4" x14ac:dyDescent="0.25">
      <c r="A144" t="s">
        <v>1482</v>
      </c>
      <c r="B144">
        <v>0.25</v>
      </c>
      <c r="C144">
        <v>0.2</v>
      </c>
      <c r="D144" t="s">
        <v>2425</v>
      </c>
    </row>
    <row r="145" spans="1:4" x14ac:dyDescent="0.25">
      <c r="A145" t="s">
        <v>1300</v>
      </c>
      <c r="B145">
        <v>0.1</v>
      </c>
      <c r="C145">
        <v>0.1</v>
      </c>
      <c r="D145" t="s">
        <v>2423</v>
      </c>
    </row>
    <row r="146" spans="1:4" x14ac:dyDescent="0.25">
      <c r="A146" t="s">
        <v>1332</v>
      </c>
      <c r="B146">
        <v>0.1</v>
      </c>
      <c r="C146">
        <v>0.1</v>
      </c>
      <c r="D146" t="s">
        <v>2423</v>
      </c>
    </row>
    <row r="147" spans="1:4" x14ac:dyDescent="0.25">
      <c r="A147" t="s">
        <v>1301</v>
      </c>
      <c r="B147">
        <v>0.1</v>
      </c>
      <c r="C147">
        <v>0.1</v>
      </c>
      <c r="D147" t="s">
        <v>2423</v>
      </c>
    </row>
    <row r="148" spans="1:4" x14ac:dyDescent="0.25">
      <c r="A148" t="s">
        <v>1333</v>
      </c>
      <c r="B148">
        <v>0.1</v>
      </c>
      <c r="C148">
        <v>0.1</v>
      </c>
      <c r="D148" t="s">
        <v>2423</v>
      </c>
    </row>
    <row r="149" spans="1:4" x14ac:dyDescent="0.25">
      <c r="A149" t="s">
        <v>1364</v>
      </c>
      <c r="B149">
        <v>0.1</v>
      </c>
      <c r="C149">
        <v>0.1</v>
      </c>
      <c r="D149" t="s">
        <v>2423</v>
      </c>
    </row>
    <row r="150" spans="1:4" x14ac:dyDescent="0.25">
      <c r="A150" t="s">
        <v>1395</v>
      </c>
      <c r="B150">
        <v>0.1</v>
      </c>
      <c r="C150">
        <v>0.1</v>
      </c>
      <c r="D150" t="s">
        <v>2423</v>
      </c>
    </row>
    <row r="151" spans="1:4" x14ac:dyDescent="0.25">
      <c r="A151" t="s">
        <v>1426</v>
      </c>
      <c r="B151">
        <v>0.1</v>
      </c>
      <c r="C151">
        <v>0.1</v>
      </c>
      <c r="D151" t="s">
        <v>2423</v>
      </c>
    </row>
    <row r="152" spans="1:4" x14ac:dyDescent="0.25">
      <c r="A152" t="s">
        <v>1454</v>
      </c>
      <c r="B152">
        <v>0.1</v>
      </c>
      <c r="C152">
        <v>0.1</v>
      </c>
      <c r="D152" t="s">
        <v>2423</v>
      </c>
    </row>
    <row r="153" spans="1:4" x14ac:dyDescent="0.25">
      <c r="A153" t="s">
        <v>1483</v>
      </c>
      <c r="B153">
        <v>0.1</v>
      </c>
      <c r="C153">
        <v>0.1</v>
      </c>
      <c r="D153" t="s">
        <v>2423</v>
      </c>
    </row>
    <row r="154" spans="1:4" x14ac:dyDescent="0.25">
      <c r="A154" t="s">
        <v>1510</v>
      </c>
      <c r="B154">
        <v>0.1</v>
      </c>
      <c r="C154">
        <v>0.1</v>
      </c>
      <c r="D154" t="s">
        <v>2423</v>
      </c>
    </row>
    <row r="155" spans="1:4" x14ac:dyDescent="0.25">
      <c r="A155" t="s">
        <v>1536</v>
      </c>
      <c r="B155">
        <v>0.1</v>
      </c>
      <c r="C155">
        <v>0.1</v>
      </c>
      <c r="D155" t="s">
        <v>2423</v>
      </c>
    </row>
    <row r="156" spans="1:4" x14ac:dyDescent="0.25">
      <c r="A156" t="s">
        <v>1562</v>
      </c>
      <c r="B156">
        <v>0.1</v>
      </c>
      <c r="C156">
        <v>0.1</v>
      </c>
      <c r="D156" t="s">
        <v>2423</v>
      </c>
    </row>
    <row r="157" spans="1:4" x14ac:dyDescent="0.25">
      <c r="A157" t="s">
        <v>1588</v>
      </c>
      <c r="B157">
        <v>0.1</v>
      </c>
      <c r="C157">
        <v>0.1</v>
      </c>
      <c r="D157" t="s">
        <v>2423</v>
      </c>
    </row>
    <row r="158" spans="1:4" x14ac:dyDescent="0.25">
      <c r="A158" t="s">
        <v>1613</v>
      </c>
      <c r="B158">
        <v>0.1</v>
      </c>
      <c r="C158">
        <v>0.1</v>
      </c>
      <c r="D158" t="s">
        <v>2423</v>
      </c>
    </row>
    <row r="159" spans="1:4" x14ac:dyDescent="0.25">
      <c r="A159" t="s">
        <v>1638</v>
      </c>
      <c r="B159">
        <v>0.1</v>
      </c>
      <c r="C159">
        <v>0.1</v>
      </c>
      <c r="D159" t="s">
        <v>2423</v>
      </c>
    </row>
    <row r="160" spans="1:4" x14ac:dyDescent="0.25">
      <c r="A160" t="s">
        <v>1660</v>
      </c>
      <c r="B160">
        <v>0.1</v>
      </c>
      <c r="C160">
        <v>0.1</v>
      </c>
      <c r="D160" t="s">
        <v>2423</v>
      </c>
    </row>
    <row r="161" spans="1:6" x14ac:dyDescent="0.25">
      <c r="A161" t="s">
        <v>1683</v>
      </c>
      <c r="B161">
        <v>0.1</v>
      </c>
      <c r="C161">
        <v>0.1</v>
      </c>
      <c r="D161" t="s">
        <v>2423</v>
      </c>
    </row>
    <row r="162" spans="1:6" x14ac:dyDescent="0.25">
      <c r="A162" t="s">
        <v>1705</v>
      </c>
      <c r="B162">
        <v>0.1</v>
      </c>
      <c r="C162">
        <v>0.1</v>
      </c>
      <c r="D162" t="s">
        <v>2423</v>
      </c>
    </row>
    <row r="163" spans="1:6" x14ac:dyDescent="0.25">
      <c r="A163" t="s">
        <v>1726</v>
      </c>
      <c r="B163">
        <v>0.1</v>
      </c>
      <c r="C163">
        <v>0.1</v>
      </c>
      <c r="D163" t="s">
        <v>2423</v>
      </c>
    </row>
    <row r="164" spans="1:6" x14ac:dyDescent="0.25">
      <c r="A164" t="s">
        <v>1746</v>
      </c>
      <c r="B164">
        <v>0.1</v>
      </c>
      <c r="C164">
        <v>0.1</v>
      </c>
      <c r="D164" t="s">
        <v>2423</v>
      </c>
    </row>
    <row r="165" spans="1:6" x14ac:dyDescent="0.25">
      <c r="A165" t="s">
        <v>1766</v>
      </c>
      <c r="B165">
        <v>0.1</v>
      </c>
      <c r="C165">
        <v>0.1</v>
      </c>
      <c r="D165" t="s">
        <v>2423</v>
      </c>
    </row>
    <row r="166" spans="1:6" x14ac:dyDescent="0.25">
      <c r="A166" t="s">
        <v>1786</v>
      </c>
      <c r="B166">
        <v>0.1</v>
      </c>
      <c r="C166">
        <v>0.1</v>
      </c>
      <c r="D166" t="s">
        <v>2423</v>
      </c>
    </row>
    <row r="167" spans="1:6" x14ac:dyDescent="0.25">
      <c r="A167" t="s">
        <v>1804</v>
      </c>
      <c r="B167">
        <v>0.1</v>
      </c>
      <c r="C167">
        <v>0.1</v>
      </c>
      <c r="D167" t="s">
        <v>2423</v>
      </c>
    </row>
    <row r="168" spans="1:6" x14ac:dyDescent="0.25">
      <c r="A168" t="s">
        <v>1823</v>
      </c>
      <c r="B168">
        <v>0.1</v>
      </c>
      <c r="C168">
        <v>0.1</v>
      </c>
      <c r="D168" t="s">
        <v>2423</v>
      </c>
    </row>
    <row r="169" spans="1:6" x14ac:dyDescent="0.25">
      <c r="A169" t="s">
        <v>1842</v>
      </c>
      <c r="B169">
        <v>0.1</v>
      </c>
      <c r="C169">
        <v>0.1</v>
      </c>
      <c r="D169" t="s">
        <v>2423</v>
      </c>
    </row>
    <row r="170" spans="1:6" x14ac:dyDescent="0.25">
      <c r="A170" t="s">
        <v>1302</v>
      </c>
      <c r="B170">
        <v>0.1</v>
      </c>
      <c r="C170">
        <v>0.1</v>
      </c>
      <c r="D170" t="s">
        <v>2423</v>
      </c>
      <c r="E170">
        <v>0.05</v>
      </c>
      <c r="F170">
        <v>0.03</v>
      </c>
    </row>
    <row r="171" spans="1:6" x14ac:dyDescent="0.25">
      <c r="A171" t="s">
        <v>1334</v>
      </c>
      <c r="B171">
        <v>0.15</v>
      </c>
      <c r="C171">
        <v>0.15</v>
      </c>
      <c r="D171" t="s">
        <v>2424</v>
      </c>
    </row>
    <row r="172" spans="1:6" x14ac:dyDescent="0.25">
      <c r="A172" t="s">
        <v>1365</v>
      </c>
      <c r="B172">
        <v>0.15</v>
      </c>
      <c r="C172">
        <v>0.15</v>
      </c>
      <c r="D172" t="s">
        <v>2424</v>
      </c>
    </row>
    <row r="173" spans="1:6" x14ac:dyDescent="0.25">
      <c r="A173" t="s">
        <v>1396</v>
      </c>
      <c r="B173">
        <v>0.15</v>
      </c>
      <c r="C173">
        <v>0.15</v>
      </c>
      <c r="D173" t="s">
        <v>2424</v>
      </c>
    </row>
    <row r="174" spans="1:6" x14ac:dyDescent="0.25">
      <c r="A174" t="s">
        <v>1427</v>
      </c>
      <c r="B174">
        <v>0.1</v>
      </c>
      <c r="C174">
        <v>0.1</v>
      </c>
      <c r="D174" t="s">
        <v>2423</v>
      </c>
    </row>
    <row r="175" spans="1:6" x14ac:dyDescent="0.25">
      <c r="A175" t="s">
        <v>1455</v>
      </c>
      <c r="B175">
        <v>0.1</v>
      </c>
      <c r="C175">
        <v>0.1</v>
      </c>
      <c r="D175" t="s">
        <v>2423</v>
      </c>
    </row>
    <row r="176" spans="1:6" x14ac:dyDescent="0.25">
      <c r="A176" t="s">
        <v>1484</v>
      </c>
      <c r="B176">
        <v>0.15</v>
      </c>
      <c r="C176">
        <v>0.15</v>
      </c>
      <c r="D176" t="s">
        <v>2424</v>
      </c>
    </row>
    <row r="177" spans="1:4" x14ac:dyDescent="0.25">
      <c r="A177" t="s">
        <v>1346</v>
      </c>
      <c r="B177">
        <v>0.1</v>
      </c>
      <c r="C177">
        <v>0.1</v>
      </c>
      <c r="D177" t="s">
        <v>2423</v>
      </c>
    </row>
    <row r="178" spans="1:4" x14ac:dyDescent="0.25">
      <c r="A178" t="s">
        <v>1537</v>
      </c>
      <c r="B178">
        <v>0.15</v>
      </c>
      <c r="C178">
        <v>0.15</v>
      </c>
      <c r="D178" t="s">
        <v>2424</v>
      </c>
    </row>
    <row r="179" spans="1:4" x14ac:dyDescent="0.25">
      <c r="A179" t="s">
        <v>1563</v>
      </c>
      <c r="B179">
        <v>0.1</v>
      </c>
      <c r="C179">
        <v>0.15</v>
      </c>
      <c r="D179" t="s">
        <v>2424</v>
      </c>
    </row>
    <row r="180" spans="1:4" x14ac:dyDescent="0.25">
      <c r="A180" t="s">
        <v>1589</v>
      </c>
      <c r="B180">
        <v>0.1</v>
      </c>
      <c r="C180">
        <v>0.1</v>
      </c>
      <c r="D180" t="s">
        <v>2423</v>
      </c>
    </row>
    <row r="181" spans="1:4" x14ac:dyDescent="0.25">
      <c r="A181" t="s">
        <v>1614</v>
      </c>
      <c r="B181">
        <v>0.1</v>
      </c>
      <c r="C181">
        <v>0.1</v>
      </c>
      <c r="D181" t="s">
        <v>2423</v>
      </c>
    </row>
    <row r="182" spans="1:4" x14ac:dyDescent="0.25">
      <c r="A182" t="s">
        <v>1639</v>
      </c>
      <c r="B182">
        <v>0.1</v>
      </c>
      <c r="C182">
        <v>0.15</v>
      </c>
      <c r="D182" t="s">
        <v>2424</v>
      </c>
    </row>
    <row r="183" spans="1:4" x14ac:dyDescent="0.25">
      <c r="A183" t="s">
        <v>1661</v>
      </c>
      <c r="B183">
        <v>0.1</v>
      </c>
      <c r="C183">
        <v>0.1</v>
      </c>
      <c r="D183" t="s">
        <v>2423</v>
      </c>
    </row>
    <row r="184" spans="1:4" x14ac:dyDescent="0.25">
      <c r="A184" t="s">
        <v>1684</v>
      </c>
      <c r="B184">
        <v>0.15</v>
      </c>
      <c r="C184">
        <v>0.15</v>
      </c>
      <c r="D184" t="s">
        <v>2424</v>
      </c>
    </row>
    <row r="185" spans="1:4" x14ac:dyDescent="0.25">
      <c r="A185" t="s">
        <v>1706</v>
      </c>
      <c r="B185">
        <v>0.15</v>
      </c>
      <c r="C185">
        <v>0.1</v>
      </c>
      <c r="D185" t="s">
        <v>2424</v>
      </c>
    </row>
    <row r="186" spans="1:4" x14ac:dyDescent="0.25">
      <c r="A186" t="s">
        <v>1727</v>
      </c>
      <c r="B186">
        <v>0.1</v>
      </c>
      <c r="C186">
        <v>0.15</v>
      </c>
      <c r="D186" t="s">
        <v>2424</v>
      </c>
    </row>
    <row r="187" spans="1:4" x14ac:dyDescent="0.25">
      <c r="A187" t="s">
        <v>1747</v>
      </c>
      <c r="B187">
        <v>0.1</v>
      </c>
      <c r="C187">
        <v>0.1</v>
      </c>
      <c r="D187" t="s">
        <v>2423</v>
      </c>
    </row>
    <row r="188" spans="1:4" x14ac:dyDescent="0.25">
      <c r="A188" t="s">
        <v>1767</v>
      </c>
      <c r="B188">
        <v>0.1</v>
      </c>
      <c r="C188">
        <v>0.1</v>
      </c>
      <c r="D188" t="s">
        <v>2423</v>
      </c>
    </row>
    <row r="189" spans="1:4" x14ac:dyDescent="0.25">
      <c r="A189" t="s">
        <v>1787</v>
      </c>
      <c r="B189">
        <v>0.1</v>
      </c>
      <c r="C189">
        <v>0.15</v>
      </c>
      <c r="D189" t="s">
        <v>2424</v>
      </c>
    </row>
    <row r="190" spans="1:4" x14ac:dyDescent="0.25">
      <c r="A190" t="s">
        <v>1805</v>
      </c>
      <c r="B190">
        <v>0.1</v>
      </c>
      <c r="C190">
        <v>0.15</v>
      </c>
      <c r="D190" t="s">
        <v>2424</v>
      </c>
    </row>
    <row r="191" spans="1:4" x14ac:dyDescent="0.25">
      <c r="A191" t="s">
        <v>1824</v>
      </c>
      <c r="B191">
        <v>0.15</v>
      </c>
      <c r="C191">
        <v>0.15</v>
      </c>
      <c r="D191" t="s">
        <v>2424</v>
      </c>
    </row>
    <row r="192" spans="1:4" x14ac:dyDescent="0.25">
      <c r="A192" t="s">
        <v>1843</v>
      </c>
      <c r="B192">
        <v>0.15</v>
      </c>
      <c r="C192">
        <v>0.15</v>
      </c>
      <c r="D192" t="s">
        <v>2424</v>
      </c>
    </row>
    <row r="193" spans="1:4" x14ac:dyDescent="0.25">
      <c r="A193" t="s">
        <v>1861</v>
      </c>
      <c r="B193">
        <v>0.1</v>
      </c>
      <c r="C193">
        <v>0.15</v>
      </c>
      <c r="D193" t="s">
        <v>2424</v>
      </c>
    </row>
    <row r="194" spans="1:4" x14ac:dyDescent="0.25">
      <c r="A194" t="s">
        <v>1879</v>
      </c>
      <c r="B194">
        <v>0.15</v>
      </c>
      <c r="C194">
        <v>0.15</v>
      </c>
      <c r="D194" t="s">
        <v>2424</v>
      </c>
    </row>
    <row r="195" spans="1:4" x14ac:dyDescent="0.25">
      <c r="A195" t="s">
        <v>1896</v>
      </c>
      <c r="B195">
        <v>0.15</v>
      </c>
      <c r="C195">
        <v>0.15</v>
      </c>
      <c r="D195" t="s">
        <v>2424</v>
      </c>
    </row>
    <row r="196" spans="1:4" x14ac:dyDescent="0.25">
      <c r="A196" t="s">
        <v>1912</v>
      </c>
      <c r="B196">
        <v>0.1</v>
      </c>
      <c r="C196">
        <v>0.1</v>
      </c>
      <c r="D196" t="s">
        <v>2423</v>
      </c>
    </row>
    <row r="197" spans="1:4" x14ac:dyDescent="0.25">
      <c r="A197" t="s">
        <v>1928</v>
      </c>
      <c r="B197">
        <v>0.1</v>
      </c>
      <c r="C197">
        <v>0.1</v>
      </c>
      <c r="D197" t="s">
        <v>2423</v>
      </c>
    </row>
    <row r="198" spans="1:4" x14ac:dyDescent="0.25">
      <c r="A198" t="s">
        <v>1942</v>
      </c>
      <c r="B198">
        <v>0.1</v>
      </c>
      <c r="C198">
        <v>0.1</v>
      </c>
      <c r="D198" t="s">
        <v>2423</v>
      </c>
    </row>
    <row r="199" spans="1:4" x14ac:dyDescent="0.25">
      <c r="A199" t="s">
        <v>1955</v>
      </c>
      <c r="B199">
        <v>0.1</v>
      </c>
      <c r="C199">
        <v>0.1</v>
      </c>
      <c r="D199" t="s">
        <v>2423</v>
      </c>
    </row>
    <row r="200" spans="1:4" x14ac:dyDescent="0.25">
      <c r="A200" t="s">
        <v>1968</v>
      </c>
      <c r="B200">
        <v>0.15</v>
      </c>
      <c r="C200">
        <v>0.15</v>
      </c>
      <c r="D200" t="s">
        <v>2424</v>
      </c>
    </row>
    <row r="201" spans="1:4" x14ac:dyDescent="0.25">
      <c r="A201" t="s">
        <v>1980</v>
      </c>
      <c r="B201">
        <v>0.1</v>
      </c>
      <c r="C201">
        <v>0.1</v>
      </c>
      <c r="D201" t="s">
        <v>2423</v>
      </c>
    </row>
    <row r="202" spans="1:4" x14ac:dyDescent="0.25">
      <c r="A202" t="s">
        <v>1991</v>
      </c>
      <c r="B202">
        <v>0.15</v>
      </c>
      <c r="C202">
        <v>0.15</v>
      </c>
      <c r="D202" t="s">
        <v>2424</v>
      </c>
    </row>
    <row r="203" spans="1:4" x14ac:dyDescent="0.25">
      <c r="A203" t="s">
        <v>2002</v>
      </c>
      <c r="B203">
        <v>0.15</v>
      </c>
      <c r="C203">
        <v>0.15</v>
      </c>
      <c r="D203" t="s">
        <v>2424</v>
      </c>
    </row>
    <row r="204" spans="1:4" x14ac:dyDescent="0.25">
      <c r="A204" t="s">
        <v>2013</v>
      </c>
      <c r="B204">
        <v>0.1</v>
      </c>
      <c r="C204">
        <v>0.1</v>
      </c>
      <c r="D204" t="s">
        <v>2423</v>
      </c>
    </row>
    <row r="205" spans="1:4" x14ac:dyDescent="0.25">
      <c r="A205" t="s">
        <v>2024</v>
      </c>
      <c r="B205">
        <v>0.1</v>
      </c>
      <c r="C205">
        <v>0.1</v>
      </c>
      <c r="D205" t="s">
        <v>2423</v>
      </c>
    </row>
    <row r="206" spans="1:4" x14ac:dyDescent="0.25">
      <c r="A206" t="s">
        <v>2034</v>
      </c>
      <c r="B206">
        <v>0.15</v>
      </c>
      <c r="C206">
        <v>0.15</v>
      </c>
      <c r="D206" t="s">
        <v>2424</v>
      </c>
    </row>
    <row r="207" spans="1:4" x14ac:dyDescent="0.25">
      <c r="A207" t="s">
        <v>2045</v>
      </c>
      <c r="B207">
        <v>0.15</v>
      </c>
      <c r="C207">
        <v>0.15</v>
      </c>
      <c r="D207" t="s">
        <v>2424</v>
      </c>
    </row>
    <row r="208" spans="1:4" x14ac:dyDescent="0.25">
      <c r="A208" t="s">
        <v>2055</v>
      </c>
      <c r="B208">
        <v>0.1</v>
      </c>
      <c r="C208">
        <v>0.1</v>
      </c>
      <c r="D208" t="s">
        <v>2423</v>
      </c>
    </row>
    <row r="209" spans="1:4" x14ac:dyDescent="0.25">
      <c r="A209" t="s">
        <v>2065</v>
      </c>
      <c r="B209">
        <v>0.1</v>
      </c>
      <c r="C209">
        <v>0.1</v>
      </c>
      <c r="D209" t="s">
        <v>2423</v>
      </c>
    </row>
    <row r="210" spans="1:4" x14ac:dyDescent="0.25">
      <c r="A210" t="s">
        <v>2075</v>
      </c>
      <c r="B210">
        <v>0.15</v>
      </c>
      <c r="C210">
        <v>0.15</v>
      </c>
      <c r="D210" t="s">
        <v>2424</v>
      </c>
    </row>
    <row r="211" spans="1:4" x14ac:dyDescent="0.25">
      <c r="A211" t="s">
        <v>2084</v>
      </c>
      <c r="B211">
        <v>0.1</v>
      </c>
      <c r="C211">
        <v>0.1</v>
      </c>
      <c r="D211" t="s">
        <v>2423</v>
      </c>
    </row>
    <row r="212" spans="1:4" x14ac:dyDescent="0.25">
      <c r="A212" t="s">
        <v>2092</v>
      </c>
      <c r="B212">
        <v>0.1</v>
      </c>
      <c r="C212">
        <v>0.1</v>
      </c>
      <c r="D212" t="s">
        <v>2423</v>
      </c>
    </row>
    <row r="213" spans="1:4" x14ac:dyDescent="0.25">
      <c r="A213" t="s">
        <v>2099</v>
      </c>
      <c r="B213">
        <v>0.1</v>
      </c>
      <c r="C213">
        <v>0.1</v>
      </c>
      <c r="D213" t="s">
        <v>2423</v>
      </c>
    </row>
    <row r="214" spans="1:4" x14ac:dyDescent="0.25">
      <c r="A214" t="s">
        <v>2106</v>
      </c>
      <c r="B214">
        <v>0.1</v>
      </c>
      <c r="C214">
        <v>0.1</v>
      </c>
      <c r="D214" t="s">
        <v>2423</v>
      </c>
    </row>
    <row r="215" spans="1:4" x14ac:dyDescent="0.25">
      <c r="A215" t="s">
        <v>1303</v>
      </c>
      <c r="B215">
        <v>0.2</v>
      </c>
      <c r="C215">
        <v>0.2</v>
      </c>
      <c r="D215" t="s">
        <v>2424</v>
      </c>
    </row>
    <row r="216" spans="1:4" x14ac:dyDescent="0.25">
      <c r="A216" t="s">
        <v>1335</v>
      </c>
      <c r="B216">
        <v>0.25</v>
      </c>
      <c r="C216">
        <v>0.25</v>
      </c>
      <c r="D216" t="s">
        <v>2425</v>
      </c>
    </row>
    <row r="217" spans="1:4" x14ac:dyDescent="0.25">
      <c r="A217" t="s">
        <v>1366</v>
      </c>
      <c r="B217">
        <v>0.25</v>
      </c>
      <c r="C217">
        <v>0.3</v>
      </c>
      <c r="D217" t="s">
        <v>2425</v>
      </c>
    </row>
    <row r="218" spans="1:4" x14ac:dyDescent="0.25">
      <c r="A218" t="s">
        <v>1397</v>
      </c>
      <c r="B218">
        <v>0.2</v>
      </c>
      <c r="C218">
        <v>0.2</v>
      </c>
      <c r="D218" t="s">
        <v>2424</v>
      </c>
    </row>
    <row r="219" spans="1:4" x14ac:dyDescent="0.25">
      <c r="A219" t="s">
        <v>1428</v>
      </c>
      <c r="B219">
        <v>0.25</v>
      </c>
      <c r="C219">
        <v>0.25</v>
      </c>
      <c r="D219" t="s">
        <v>2425</v>
      </c>
    </row>
    <row r="220" spans="1:4" x14ac:dyDescent="0.25">
      <c r="A220" t="s">
        <v>1456</v>
      </c>
      <c r="B220">
        <v>0.25</v>
      </c>
      <c r="C220">
        <v>0.25</v>
      </c>
      <c r="D220" t="s">
        <v>2425</v>
      </c>
    </row>
    <row r="221" spans="1:4" x14ac:dyDescent="0.25">
      <c r="A221" t="s">
        <v>1485</v>
      </c>
      <c r="B221">
        <v>0.25</v>
      </c>
      <c r="C221">
        <v>0.25</v>
      </c>
      <c r="D221" t="s">
        <v>2425</v>
      </c>
    </row>
    <row r="222" spans="1:4" x14ac:dyDescent="0.25">
      <c r="A222" t="s">
        <v>1511</v>
      </c>
      <c r="B222">
        <v>0.25</v>
      </c>
      <c r="C222">
        <v>0.25</v>
      </c>
      <c r="D222" t="s">
        <v>2425</v>
      </c>
    </row>
    <row r="223" spans="1:4" x14ac:dyDescent="0.25">
      <c r="A223" t="s">
        <v>1274</v>
      </c>
      <c r="B223">
        <v>0.2</v>
      </c>
      <c r="C223">
        <v>0.2</v>
      </c>
      <c r="D223" t="s">
        <v>2424</v>
      </c>
    </row>
    <row r="224" spans="1:4" x14ac:dyDescent="0.25">
      <c r="A224" t="s">
        <v>1564</v>
      </c>
      <c r="B224">
        <v>0.15</v>
      </c>
      <c r="C224">
        <v>0.15</v>
      </c>
      <c r="D224" t="s">
        <v>2424</v>
      </c>
    </row>
    <row r="225" spans="1:4" x14ac:dyDescent="0.25">
      <c r="A225" t="s">
        <v>1590</v>
      </c>
      <c r="B225">
        <v>0.15</v>
      </c>
      <c r="C225">
        <v>0.15</v>
      </c>
      <c r="D225" t="s">
        <v>2424</v>
      </c>
    </row>
    <row r="226" spans="1:4" x14ac:dyDescent="0.25">
      <c r="A226" t="s">
        <v>1615</v>
      </c>
      <c r="B226">
        <v>0.25</v>
      </c>
      <c r="C226">
        <v>0.25</v>
      </c>
      <c r="D226" t="s">
        <v>2425</v>
      </c>
    </row>
    <row r="227" spans="1:4" x14ac:dyDescent="0.25">
      <c r="A227" t="s">
        <v>1640</v>
      </c>
      <c r="B227">
        <v>0.15</v>
      </c>
      <c r="C227">
        <v>0.15</v>
      </c>
      <c r="D227" t="s">
        <v>2424</v>
      </c>
    </row>
    <row r="228" spans="1:4" x14ac:dyDescent="0.25">
      <c r="A228" t="s">
        <v>1662</v>
      </c>
      <c r="B228">
        <v>0.3</v>
      </c>
      <c r="C228">
        <v>0.25</v>
      </c>
      <c r="D228" t="s">
        <v>2425</v>
      </c>
    </row>
    <row r="229" spans="1:4" x14ac:dyDescent="0.25">
      <c r="A229" t="s">
        <v>1685</v>
      </c>
      <c r="B229">
        <v>0.2</v>
      </c>
      <c r="C229">
        <v>0.25</v>
      </c>
      <c r="D229" t="s">
        <v>2425</v>
      </c>
    </row>
    <row r="230" spans="1:4" x14ac:dyDescent="0.25">
      <c r="A230" t="s">
        <v>1707</v>
      </c>
      <c r="B230">
        <v>0.2</v>
      </c>
      <c r="C230">
        <v>0.25</v>
      </c>
      <c r="D230" t="s">
        <v>2425</v>
      </c>
    </row>
    <row r="231" spans="1:4" x14ac:dyDescent="0.25">
      <c r="A231" t="s">
        <v>1728</v>
      </c>
      <c r="B231">
        <v>0.15</v>
      </c>
      <c r="C231">
        <v>0.2</v>
      </c>
      <c r="D231" t="s">
        <v>2424</v>
      </c>
    </row>
    <row r="232" spans="1:4" x14ac:dyDescent="0.25">
      <c r="A232" t="s">
        <v>1748</v>
      </c>
      <c r="B232">
        <v>0.2</v>
      </c>
      <c r="C232">
        <v>0.2</v>
      </c>
      <c r="D232" t="s">
        <v>2424</v>
      </c>
    </row>
    <row r="233" spans="1:4" x14ac:dyDescent="0.25">
      <c r="A233" t="s">
        <v>1768</v>
      </c>
      <c r="B233">
        <v>0.25</v>
      </c>
      <c r="C233">
        <v>0.3</v>
      </c>
      <c r="D233" t="s">
        <v>2425</v>
      </c>
    </row>
    <row r="234" spans="1:4" x14ac:dyDescent="0.25">
      <c r="A234" t="s">
        <v>1788</v>
      </c>
      <c r="B234">
        <v>0.25</v>
      </c>
      <c r="C234">
        <v>0.3</v>
      </c>
      <c r="D234" t="s">
        <v>2425</v>
      </c>
    </row>
    <row r="235" spans="1:4" x14ac:dyDescent="0.25">
      <c r="A235" t="s">
        <v>1806</v>
      </c>
      <c r="B235">
        <v>0.15</v>
      </c>
      <c r="C235">
        <v>0.2</v>
      </c>
      <c r="D235" t="s">
        <v>2424</v>
      </c>
    </row>
    <row r="236" spans="1:4" x14ac:dyDescent="0.25">
      <c r="A236" t="s">
        <v>1825</v>
      </c>
      <c r="B236">
        <v>0.15</v>
      </c>
      <c r="C236">
        <v>0.25</v>
      </c>
      <c r="D236" t="s">
        <v>2425</v>
      </c>
    </row>
    <row r="237" spans="1:4" x14ac:dyDescent="0.25">
      <c r="A237" t="s">
        <v>1844</v>
      </c>
      <c r="B237">
        <v>0.25</v>
      </c>
      <c r="C237">
        <v>0.25</v>
      </c>
      <c r="D237" t="s">
        <v>2425</v>
      </c>
    </row>
    <row r="238" spans="1:4" x14ac:dyDescent="0.25">
      <c r="A238" t="s">
        <v>1862</v>
      </c>
      <c r="B238">
        <v>0.2</v>
      </c>
      <c r="C238">
        <v>0.25</v>
      </c>
      <c r="D238" t="s">
        <v>2425</v>
      </c>
    </row>
    <row r="239" spans="1:4" x14ac:dyDescent="0.25">
      <c r="A239" t="s">
        <v>1880</v>
      </c>
      <c r="B239">
        <v>0.2</v>
      </c>
      <c r="C239">
        <v>0.2</v>
      </c>
      <c r="D239" t="s">
        <v>2424</v>
      </c>
    </row>
    <row r="240" spans="1:4" x14ac:dyDescent="0.25">
      <c r="A240" t="s">
        <v>1897</v>
      </c>
      <c r="B240">
        <v>0.15</v>
      </c>
      <c r="C240">
        <v>0.15</v>
      </c>
      <c r="D240" t="s">
        <v>2424</v>
      </c>
    </row>
    <row r="241" spans="1:4" x14ac:dyDescent="0.25">
      <c r="A241" t="s">
        <v>1913</v>
      </c>
      <c r="B241">
        <v>0.25</v>
      </c>
      <c r="C241">
        <v>0.25</v>
      </c>
      <c r="D241" t="s">
        <v>2425</v>
      </c>
    </row>
    <row r="242" spans="1:4" x14ac:dyDescent="0.25">
      <c r="A242" t="s">
        <v>1929</v>
      </c>
      <c r="B242">
        <v>0.2</v>
      </c>
      <c r="C242">
        <v>0.25</v>
      </c>
      <c r="D242" t="s">
        <v>2425</v>
      </c>
    </row>
    <row r="243" spans="1:4" x14ac:dyDescent="0.25">
      <c r="A243" t="s">
        <v>1943</v>
      </c>
      <c r="B243">
        <v>0.3</v>
      </c>
      <c r="C243">
        <v>0.3</v>
      </c>
      <c r="D243" t="s">
        <v>2425</v>
      </c>
    </row>
    <row r="244" spans="1:4" x14ac:dyDescent="0.25">
      <c r="A244" t="s">
        <v>1956</v>
      </c>
      <c r="B244">
        <v>0.2</v>
      </c>
      <c r="C244">
        <v>0.2</v>
      </c>
      <c r="D244" t="s">
        <v>2424</v>
      </c>
    </row>
    <row r="245" spans="1:4" x14ac:dyDescent="0.25">
      <c r="A245" t="s">
        <v>1969</v>
      </c>
      <c r="B245">
        <v>0.25</v>
      </c>
      <c r="C245">
        <v>0.25</v>
      </c>
      <c r="D245" t="s">
        <v>2425</v>
      </c>
    </row>
    <row r="246" spans="1:4" x14ac:dyDescent="0.25">
      <c r="A246" t="s">
        <v>1981</v>
      </c>
      <c r="B246">
        <v>0.2</v>
      </c>
      <c r="C246">
        <v>0.25</v>
      </c>
      <c r="D246" t="s">
        <v>2425</v>
      </c>
    </row>
    <row r="247" spans="1:4" x14ac:dyDescent="0.25">
      <c r="A247" t="s">
        <v>1992</v>
      </c>
      <c r="B247">
        <v>0.25</v>
      </c>
      <c r="C247">
        <v>0.3</v>
      </c>
      <c r="D247" t="s">
        <v>2425</v>
      </c>
    </row>
    <row r="248" spans="1:4" x14ac:dyDescent="0.25">
      <c r="A248" t="s">
        <v>2003</v>
      </c>
      <c r="B248">
        <v>0.25</v>
      </c>
      <c r="C248">
        <v>0.3</v>
      </c>
      <c r="D248" t="s">
        <v>2425</v>
      </c>
    </row>
    <row r="249" spans="1:4" x14ac:dyDescent="0.25">
      <c r="A249" t="s">
        <v>2014</v>
      </c>
      <c r="B249">
        <v>0.2</v>
      </c>
      <c r="C249">
        <v>0.25</v>
      </c>
      <c r="D249" t="s">
        <v>2425</v>
      </c>
    </row>
    <row r="250" spans="1:4" x14ac:dyDescent="0.25">
      <c r="A250" t="s">
        <v>2025</v>
      </c>
      <c r="B250">
        <v>0.25</v>
      </c>
      <c r="C250">
        <v>0.25</v>
      </c>
      <c r="D250" t="s">
        <v>2425</v>
      </c>
    </row>
    <row r="251" spans="1:4" x14ac:dyDescent="0.25">
      <c r="A251" t="s">
        <v>2035</v>
      </c>
      <c r="B251">
        <v>0.15</v>
      </c>
      <c r="C251">
        <v>0.2</v>
      </c>
      <c r="D251" t="s">
        <v>2424</v>
      </c>
    </row>
    <row r="252" spans="1:4" x14ac:dyDescent="0.25">
      <c r="A252" t="s">
        <v>2046</v>
      </c>
      <c r="B252">
        <v>0.25</v>
      </c>
      <c r="C252">
        <v>0.25</v>
      </c>
      <c r="D252" t="s">
        <v>2425</v>
      </c>
    </row>
    <row r="253" spans="1:4" x14ac:dyDescent="0.25">
      <c r="A253" t="s">
        <v>2056</v>
      </c>
      <c r="B253">
        <v>0.25</v>
      </c>
      <c r="C253">
        <v>0.25</v>
      </c>
      <c r="D253" t="s">
        <v>2425</v>
      </c>
    </row>
    <row r="254" spans="1:4" x14ac:dyDescent="0.25">
      <c r="A254" t="s">
        <v>2066</v>
      </c>
      <c r="B254">
        <v>0.25</v>
      </c>
      <c r="C254">
        <v>0.25</v>
      </c>
      <c r="D254" t="s">
        <v>2425</v>
      </c>
    </row>
    <row r="255" spans="1:4" x14ac:dyDescent="0.25">
      <c r="A255" t="s">
        <v>2076</v>
      </c>
      <c r="B255">
        <v>0.2</v>
      </c>
      <c r="C255">
        <v>0.25</v>
      </c>
      <c r="D255" t="s">
        <v>2425</v>
      </c>
    </row>
    <row r="256" spans="1:4" x14ac:dyDescent="0.25">
      <c r="A256" t="s">
        <v>2085</v>
      </c>
      <c r="B256">
        <v>0.25</v>
      </c>
      <c r="C256">
        <v>0.25</v>
      </c>
      <c r="D256" t="s">
        <v>2425</v>
      </c>
    </row>
    <row r="257" spans="1:4" x14ac:dyDescent="0.25">
      <c r="A257" t="s">
        <v>2093</v>
      </c>
      <c r="B257">
        <v>0.3</v>
      </c>
      <c r="C257">
        <v>0.3</v>
      </c>
      <c r="D257" t="s">
        <v>2425</v>
      </c>
    </row>
    <row r="258" spans="1:4" x14ac:dyDescent="0.25">
      <c r="A258" t="s">
        <v>2100</v>
      </c>
      <c r="B258">
        <v>0.2</v>
      </c>
      <c r="C258">
        <v>0.25</v>
      </c>
      <c r="D258" t="s">
        <v>2425</v>
      </c>
    </row>
    <row r="259" spans="1:4" x14ac:dyDescent="0.25">
      <c r="A259" t="s">
        <v>2107</v>
      </c>
      <c r="B259">
        <v>0.2</v>
      </c>
      <c r="C259">
        <v>0.25</v>
      </c>
      <c r="D259" t="s">
        <v>2425</v>
      </c>
    </row>
    <row r="260" spans="1:4" x14ac:dyDescent="0.25">
      <c r="A260" t="s">
        <v>2113</v>
      </c>
      <c r="B260">
        <v>0.25</v>
      </c>
      <c r="C260">
        <v>0.25</v>
      </c>
      <c r="D260" t="s">
        <v>2425</v>
      </c>
    </row>
    <row r="261" spans="1:4" x14ac:dyDescent="0.25">
      <c r="A261" t="s">
        <v>2119</v>
      </c>
      <c r="B261">
        <v>0.2</v>
      </c>
      <c r="C261">
        <v>0.25</v>
      </c>
      <c r="D261" t="s">
        <v>2425</v>
      </c>
    </row>
    <row r="262" spans="1:4" x14ac:dyDescent="0.25">
      <c r="A262" t="s">
        <v>2125</v>
      </c>
      <c r="B262">
        <v>0.25</v>
      </c>
      <c r="C262">
        <v>0.25</v>
      </c>
      <c r="D262" t="s">
        <v>2425</v>
      </c>
    </row>
    <row r="263" spans="1:4" x14ac:dyDescent="0.25">
      <c r="A263" t="s">
        <v>2130</v>
      </c>
      <c r="B263">
        <v>0.15</v>
      </c>
      <c r="C263">
        <v>0.15</v>
      </c>
      <c r="D263" t="s">
        <v>2424</v>
      </c>
    </row>
    <row r="264" spans="1:4" x14ac:dyDescent="0.25">
      <c r="A264" t="s">
        <v>2135</v>
      </c>
      <c r="B264">
        <v>0.3</v>
      </c>
      <c r="C264">
        <v>0.25</v>
      </c>
      <c r="D264" t="s">
        <v>2425</v>
      </c>
    </row>
    <row r="265" spans="1:4" x14ac:dyDescent="0.25">
      <c r="A265" t="s">
        <v>2140</v>
      </c>
      <c r="B265">
        <v>0.25</v>
      </c>
      <c r="C265">
        <v>0.25</v>
      </c>
      <c r="D265" t="s">
        <v>2425</v>
      </c>
    </row>
    <row r="266" spans="1:4" x14ac:dyDescent="0.25">
      <c r="A266" t="s">
        <v>2145</v>
      </c>
      <c r="B266">
        <v>0.15</v>
      </c>
      <c r="C266">
        <v>0.15</v>
      </c>
      <c r="D266" t="s">
        <v>2424</v>
      </c>
    </row>
    <row r="267" spans="1:4" x14ac:dyDescent="0.25">
      <c r="A267" t="s">
        <v>2150</v>
      </c>
      <c r="B267">
        <v>0.25</v>
      </c>
      <c r="C267">
        <v>0.25</v>
      </c>
      <c r="D267" t="s">
        <v>2425</v>
      </c>
    </row>
    <row r="268" spans="1:4" x14ac:dyDescent="0.25">
      <c r="A268" t="s">
        <v>2155</v>
      </c>
      <c r="B268">
        <v>0.25</v>
      </c>
      <c r="C268">
        <v>0.3</v>
      </c>
      <c r="D268" t="s">
        <v>2425</v>
      </c>
    </row>
    <row r="269" spans="1:4" x14ac:dyDescent="0.25">
      <c r="A269" t="s">
        <v>2160</v>
      </c>
      <c r="B269">
        <v>0.25</v>
      </c>
      <c r="C269">
        <v>0.25</v>
      </c>
      <c r="D269" t="s">
        <v>2425</v>
      </c>
    </row>
    <row r="270" spans="1:4" x14ac:dyDescent="0.25">
      <c r="A270" t="s">
        <v>2165</v>
      </c>
      <c r="B270">
        <v>0.15</v>
      </c>
      <c r="C270">
        <v>0.2</v>
      </c>
      <c r="D270" t="s">
        <v>2424</v>
      </c>
    </row>
    <row r="271" spans="1:4" x14ac:dyDescent="0.25">
      <c r="A271" t="s">
        <v>2170</v>
      </c>
      <c r="B271">
        <v>0.2</v>
      </c>
      <c r="C271">
        <v>0.2</v>
      </c>
      <c r="D271" t="s">
        <v>2424</v>
      </c>
    </row>
    <row r="272" spans="1:4" x14ac:dyDescent="0.25">
      <c r="A272" t="s">
        <v>2175</v>
      </c>
      <c r="B272">
        <v>0.15</v>
      </c>
      <c r="C272">
        <v>0.15</v>
      </c>
      <c r="D272" t="s">
        <v>2424</v>
      </c>
    </row>
    <row r="273" spans="1:4" x14ac:dyDescent="0.25">
      <c r="A273" t="s">
        <v>2180</v>
      </c>
      <c r="B273">
        <v>0.25</v>
      </c>
      <c r="C273">
        <v>0.25</v>
      </c>
      <c r="D273" t="s">
        <v>2425</v>
      </c>
    </row>
    <row r="274" spans="1:4" x14ac:dyDescent="0.25">
      <c r="A274" t="s">
        <v>2185</v>
      </c>
      <c r="B274">
        <v>0.2</v>
      </c>
      <c r="C274">
        <v>0.2</v>
      </c>
      <c r="D274" t="s">
        <v>2424</v>
      </c>
    </row>
    <row r="275" spans="1:4" x14ac:dyDescent="0.25">
      <c r="A275" t="s">
        <v>2190</v>
      </c>
      <c r="B275">
        <v>0.2</v>
      </c>
      <c r="C275">
        <v>0.2</v>
      </c>
      <c r="D275" t="s">
        <v>2424</v>
      </c>
    </row>
    <row r="276" spans="1:4" x14ac:dyDescent="0.25">
      <c r="A276" t="s">
        <v>2195</v>
      </c>
      <c r="B276">
        <v>0.15</v>
      </c>
      <c r="C276">
        <v>0.15</v>
      </c>
      <c r="D276" t="s">
        <v>2424</v>
      </c>
    </row>
    <row r="277" spans="1:4" x14ac:dyDescent="0.25">
      <c r="A277" t="s">
        <v>2200</v>
      </c>
      <c r="B277">
        <v>0.2</v>
      </c>
      <c r="C277">
        <v>0.25</v>
      </c>
      <c r="D277" t="s">
        <v>2425</v>
      </c>
    </row>
    <row r="278" spans="1:4" x14ac:dyDescent="0.25">
      <c r="A278" t="s">
        <v>2205</v>
      </c>
      <c r="B278">
        <v>0.3</v>
      </c>
      <c r="C278">
        <v>0.3</v>
      </c>
      <c r="D278" t="s">
        <v>2425</v>
      </c>
    </row>
    <row r="279" spans="1:4" x14ac:dyDescent="0.25">
      <c r="A279" t="s">
        <v>2209</v>
      </c>
      <c r="B279">
        <v>0.2</v>
      </c>
      <c r="C279">
        <v>0.25</v>
      </c>
      <c r="D279" t="s">
        <v>2425</v>
      </c>
    </row>
    <row r="280" spans="1:4" x14ac:dyDescent="0.25">
      <c r="A280" t="s">
        <v>2213</v>
      </c>
      <c r="B280">
        <v>0.3</v>
      </c>
      <c r="C280">
        <v>0.25</v>
      </c>
      <c r="D280" t="s">
        <v>2425</v>
      </c>
    </row>
    <row r="281" spans="1:4" x14ac:dyDescent="0.25">
      <c r="A281" t="s">
        <v>2217</v>
      </c>
      <c r="B281">
        <v>0.25</v>
      </c>
      <c r="C281">
        <v>0.3</v>
      </c>
      <c r="D281" t="s">
        <v>2425</v>
      </c>
    </row>
    <row r="282" spans="1:4" x14ac:dyDescent="0.25">
      <c r="A282" t="s">
        <v>2221</v>
      </c>
      <c r="B282">
        <v>0.15</v>
      </c>
      <c r="C282">
        <v>0.15</v>
      </c>
      <c r="D282" t="s">
        <v>2424</v>
      </c>
    </row>
    <row r="283" spans="1:4" x14ac:dyDescent="0.25">
      <c r="A283" t="s">
        <v>2225</v>
      </c>
      <c r="B283">
        <v>0.35</v>
      </c>
      <c r="C283">
        <v>0.25</v>
      </c>
      <c r="D283" t="s">
        <v>2425</v>
      </c>
    </row>
    <row r="284" spans="1:4" x14ac:dyDescent="0.25">
      <c r="A284" t="s">
        <v>2229</v>
      </c>
      <c r="B284">
        <v>0.25</v>
      </c>
      <c r="C284">
        <v>0.25</v>
      </c>
      <c r="D284" t="s">
        <v>2425</v>
      </c>
    </row>
    <row r="285" spans="1:4" x14ac:dyDescent="0.25">
      <c r="A285" t="s">
        <v>2233</v>
      </c>
      <c r="B285">
        <v>0.2</v>
      </c>
      <c r="C285">
        <v>0.25</v>
      </c>
      <c r="D285" t="s">
        <v>2425</v>
      </c>
    </row>
    <row r="286" spans="1:4" x14ac:dyDescent="0.25">
      <c r="A286" t="s">
        <v>2236</v>
      </c>
      <c r="B286">
        <v>0.3</v>
      </c>
      <c r="C286">
        <v>0.25</v>
      </c>
      <c r="D286" t="s">
        <v>2425</v>
      </c>
    </row>
    <row r="287" spans="1:4" x14ac:dyDescent="0.25">
      <c r="A287" t="s">
        <v>2240</v>
      </c>
      <c r="B287">
        <v>0.15</v>
      </c>
      <c r="C287">
        <v>0.15</v>
      </c>
      <c r="D287" t="s">
        <v>2424</v>
      </c>
    </row>
    <row r="288" spans="1:4" x14ac:dyDescent="0.25">
      <c r="A288" t="s">
        <v>2244</v>
      </c>
      <c r="B288">
        <v>0.15</v>
      </c>
      <c r="C288">
        <v>0.15</v>
      </c>
      <c r="D288" t="s">
        <v>2424</v>
      </c>
    </row>
    <row r="289" spans="1:4" x14ac:dyDescent="0.25">
      <c r="A289" t="s">
        <v>2248</v>
      </c>
      <c r="B289">
        <v>0.2</v>
      </c>
      <c r="C289">
        <v>0.25</v>
      </c>
      <c r="D289" t="s">
        <v>2425</v>
      </c>
    </row>
    <row r="290" spans="1:4" x14ac:dyDescent="0.25">
      <c r="A290" t="s">
        <v>2252</v>
      </c>
      <c r="B290">
        <v>0.15</v>
      </c>
      <c r="C290">
        <v>0.2</v>
      </c>
      <c r="D290" t="s">
        <v>2424</v>
      </c>
    </row>
    <row r="291" spans="1:4" x14ac:dyDescent="0.25">
      <c r="A291" t="s">
        <v>2256</v>
      </c>
      <c r="B291">
        <v>0.2</v>
      </c>
      <c r="C291">
        <v>0.25</v>
      </c>
      <c r="D291" t="s">
        <v>2425</v>
      </c>
    </row>
    <row r="292" spans="1:4" x14ac:dyDescent="0.25">
      <c r="A292" t="s">
        <v>2260</v>
      </c>
      <c r="B292">
        <v>0.15</v>
      </c>
      <c r="C292">
        <v>0.2</v>
      </c>
      <c r="D292" t="s">
        <v>2424</v>
      </c>
    </row>
    <row r="293" spans="1:4" x14ac:dyDescent="0.25">
      <c r="A293" t="s">
        <v>2264</v>
      </c>
      <c r="B293">
        <v>0.2</v>
      </c>
      <c r="C293">
        <v>0.2</v>
      </c>
      <c r="D293" t="s">
        <v>2424</v>
      </c>
    </row>
    <row r="294" spans="1:4" x14ac:dyDescent="0.25">
      <c r="A294" t="s">
        <v>2268</v>
      </c>
      <c r="B294">
        <v>0.2</v>
      </c>
      <c r="C294">
        <v>0.2</v>
      </c>
      <c r="D294" t="s">
        <v>2424</v>
      </c>
    </row>
    <row r="295" spans="1:4" x14ac:dyDescent="0.25">
      <c r="A295" t="s">
        <v>2272</v>
      </c>
      <c r="B295">
        <v>0.25</v>
      </c>
      <c r="C295">
        <v>0.25</v>
      </c>
      <c r="D295" t="s">
        <v>2425</v>
      </c>
    </row>
    <row r="296" spans="1:4" x14ac:dyDescent="0.25">
      <c r="A296" t="s">
        <v>2276</v>
      </c>
      <c r="B296">
        <v>0.15</v>
      </c>
      <c r="C296">
        <v>0.2</v>
      </c>
      <c r="D296" t="s">
        <v>2424</v>
      </c>
    </row>
    <row r="297" spans="1:4" x14ac:dyDescent="0.25">
      <c r="A297" t="s">
        <v>2280</v>
      </c>
      <c r="B297">
        <v>0.35</v>
      </c>
      <c r="C297">
        <v>0.3</v>
      </c>
      <c r="D297" t="s">
        <v>2425</v>
      </c>
    </row>
    <row r="298" spans="1:4" x14ac:dyDescent="0.25">
      <c r="A298" t="s">
        <v>2284</v>
      </c>
      <c r="B298">
        <v>0.25</v>
      </c>
      <c r="C298">
        <v>0.25</v>
      </c>
      <c r="D298" t="s">
        <v>2425</v>
      </c>
    </row>
    <row r="299" spans="1:4" x14ac:dyDescent="0.25">
      <c r="A299" t="s">
        <v>2288</v>
      </c>
      <c r="B299">
        <v>0.15</v>
      </c>
      <c r="C299">
        <v>0.2</v>
      </c>
      <c r="D299" t="s">
        <v>2424</v>
      </c>
    </row>
    <row r="300" spans="1:4" x14ac:dyDescent="0.25">
      <c r="A300" t="s">
        <v>2292</v>
      </c>
      <c r="B300">
        <v>0.15</v>
      </c>
      <c r="C300">
        <v>0.15</v>
      </c>
      <c r="D300" t="s">
        <v>2424</v>
      </c>
    </row>
    <row r="301" spans="1:4" x14ac:dyDescent="0.25">
      <c r="A301" t="s">
        <v>2296</v>
      </c>
      <c r="B301">
        <v>0.2</v>
      </c>
      <c r="C301">
        <v>0.25</v>
      </c>
      <c r="D301" t="s">
        <v>2425</v>
      </c>
    </row>
    <row r="302" spans="1:4" x14ac:dyDescent="0.25">
      <c r="A302" t="s">
        <v>2300</v>
      </c>
      <c r="B302">
        <v>0.3</v>
      </c>
      <c r="C302">
        <v>0.25</v>
      </c>
      <c r="D302" t="s">
        <v>2425</v>
      </c>
    </row>
    <row r="303" spans="1:4" x14ac:dyDescent="0.25">
      <c r="A303" t="s">
        <v>2303</v>
      </c>
      <c r="B303">
        <v>0.15</v>
      </c>
      <c r="C303">
        <v>0.2</v>
      </c>
      <c r="D303" t="s">
        <v>2424</v>
      </c>
    </row>
    <row r="304" spans="1:4" x14ac:dyDescent="0.25">
      <c r="A304" t="s">
        <v>2306</v>
      </c>
      <c r="B304">
        <v>0.15</v>
      </c>
      <c r="C304">
        <v>0.2</v>
      </c>
      <c r="D304" t="s">
        <v>2424</v>
      </c>
    </row>
    <row r="305" spans="1:4" x14ac:dyDescent="0.25">
      <c r="A305" t="s">
        <v>2309</v>
      </c>
      <c r="B305">
        <v>0.25</v>
      </c>
      <c r="C305">
        <v>0.25</v>
      </c>
      <c r="D305" t="s">
        <v>2425</v>
      </c>
    </row>
    <row r="306" spans="1:4" x14ac:dyDescent="0.25">
      <c r="A306" t="s">
        <v>2312</v>
      </c>
      <c r="B306">
        <v>0.25</v>
      </c>
      <c r="C306">
        <v>0.25</v>
      </c>
      <c r="D306" t="s">
        <v>2425</v>
      </c>
    </row>
    <row r="307" spans="1:4" x14ac:dyDescent="0.25">
      <c r="A307" t="s">
        <v>2315</v>
      </c>
      <c r="B307">
        <v>0.2</v>
      </c>
      <c r="C307">
        <v>0.25</v>
      </c>
      <c r="D307" t="s">
        <v>2425</v>
      </c>
    </row>
    <row r="308" spans="1:4" x14ac:dyDescent="0.25">
      <c r="A308" t="s">
        <v>2318</v>
      </c>
      <c r="B308">
        <v>0.25</v>
      </c>
      <c r="C308">
        <v>0.25</v>
      </c>
      <c r="D308" t="s">
        <v>2425</v>
      </c>
    </row>
    <row r="309" spans="1:4" x14ac:dyDescent="0.25">
      <c r="A309" t="s">
        <v>2321</v>
      </c>
      <c r="B309">
        <v>0.25</v>
      </c>
      <c r="C309">
        <v>0.25</v>
      </c>
      <c r="D309" t="s">
        <v>2425</v>
      </c>
    </row>
    <row r="310" spans="1:4" x14ac:dyDescent="0.25">
      <c r="A310" t="s">
        <v>2324</v>
      </c>
      <c r="B310">
        <v>0.25</v>
      </c>
      <c r="C310">
        <v>0.3</v>
      </c>
      <c r="D310" t="s">
        <v>2425</v>
      </c>
    </row>
    <row r="311" spans="1:4" x14ac:dyDescent="0.25">
      <c r="A311" t="s">
        <v>2327</v>
      </c>
      <c r="B311">
        <v>0.25</v>
      </c>
      <c r="C311">
        <v>0.25</v>
      </c>
      <c r="D311" t="s">
        <v>2425</v>
      </c>
    </row>
    <row r="312" spans="1:4" x14ac:dyDescent="0.25">
      <c r="A312" t="s">
        <v>2330</v>
      </c>
      <c r="B312">
        <v>0.25</v>
      </c>
      <c r="C312">
        <v>0.25</v>
      </c>
      <c r="D312" t="s">
        <v>2425</v>
      </c>
    </row>
    <row r="313" spans="1:4" x14ac:dyDescent="0.25">
      <c r="A313" t="s">
        <v>2333</v>
      </c>
      <c r="B313">
        <v>0.2</v>
      </c>
      <c r="C313">
        <v>0.2</v>
      </c>
      <c r="D313" t="s">
        <v>2424</v>
      </c>
    </row>
    <row r="314" spans="1:4" x14ac:dyDescent="0.25">
      <c r="A314" t="s">
        <v>2336</v>
      </c>
      <c r="B314">
        <v>0.2</v>
      </c>
      <c r="C314">
        <v>0.25</v>
      </c>
      <c r="D314" t="s">
        <v>2425</v>
      </c>
    </row>
    <row r="315" spans="1:4" x14ac:dyDescent="0.25">
      <c r="A315" t="s">
        <v>2339</v>
      </c>
      <c r="B315">
        <v>0.2</v>
      </c>
      <c r="C315">
        <v>0.2</v>
      </c>
      <c r="D315" t="s">
        <v>2424</v>
      </c>
    </row>
    <row r="316" spans="1:4" x14ac:dyDescent="0.25">
      <c r="A316" t="s">
        <v>2342</v>
      </c>
      <c r="B316">
        <v>0.25</v>
      </c>
      <c r="C316">
        <v>0.25</v>
      </c>
      <c r="D316" t="s">
        <v>2425</v>
      </c>
    </row>
    <row r="317" spans="1:4" x14ac:dyDescent="0.25">
      <c r="A317" t="s">
        <v>2345</v>
      </c>
      <c r="B317">
        <v>0.15</v>
      </c>
      <c r="C317">
        <v>0.2</v>
      </c>
      <c r="D317" t="s">
        <v>2424</v>
      </c>
    </row>
    <row r="318" spans="1:4" x14ac:dyDescent="0.25">
      <c r="A318" t="s">
        <v>2348</v>
      </c>
      <c r="B318">
        <v>0.25</v>
      </c>
      <c r="C318">
        <v>0.25</v>
      </c>
      <c r="D318" t="s">
        <v>2425</v>
      </c>
    </row>
    <row r="319" spans="1:4" x14ac:dyDescent="0.25">
      <c r="A319" t="s">
        <v>2351</v>
      </c>
      <c r="B319">
        <v>0.25</v>
      </c>
      <c r="C319">
        <v>0.25</v>
      </c>
      <c r="D319" t="s">
        <v>2425</v>
      </c>
    </row>
    <row r="320" spans="1:4" x14ac:dyDescent="0.25">
      <c r="A320" t="s">
        <v>2354</v>
      </c>
      <c r="B320">
        <v>0.2</v>
      </c>
      <c r="C320">
        <v>0.25</v>
      </c>
      <c r="D320" t="s">
        <v>2425</v>
      </c>
    </row>
    <row r="321" spans="1:4" x14ac:dyDescent="0.25">
      <c r="A321" t="s">
        <v>2357</v>
      </c>
      <c r="B321">
        <v>0.2</v>
      </c>
      <c r="C321">
        <v>0.25</v>
      </c>
      <c r="D321" t="s">
        <v>2425</v>
      </c>
    </row>
    <row r="322" spans="1:4" x14ac:dyDescent="0.25">
      <c r="A322" t="s">
        <v>2360</v>
      </c>
      <c r="B322">
        <v>0.2</v>
      </c>
      <c r="C322">
        <v>0.25</v>
      </c>
      <c r="D322" t="s">
        <v>2425</v>
      </c>
    </row>
    <row r="323" spans="1:4" x14ac:dyDescent="0.25">
      <c r="A323" t="s">
        <v>2363</v>
      </c>
      <c r="B323">
        <v>0.15</v>
      </c>
      <c r="C323">
        <v>0.2</v>
      </c>
      <c r="D323" t="s">
        <v>2424</v>
      </c>
    </row>
    <row r="324" spans="1:4" x14ac:dyDescent="0.25">
      <c r="A324" t="s">
        <v>2366</v>
      </c>
      <c r="B324">
        <v>0.25</v>
      </c>
      <c r="C324">
        <v>0.25</v>
      </c>
      <c r="D324" t="s">
        <v>2425</v>
      </c>
    </row>
    <row r="325" spans="1:4" x14ac:dyDescent="0.25">
      <c r="A325" t="s">
        <v>2369</v>
      </c>
      <c r="B325">
        <v>0.2</v>
      </c>
      <c r="C325">
        <v>0.25</v>
      </c>
      <c r="D325" t="s">
        <v>2425</v>
      </c>
    </row>
    <row r="326" spans="1:4" x14ac:dyDescent="0.25">
      <c r="A326" t="s">
        <v>2372</v>
      </c>
      <c r="B326">
        <v>0.15</v>
      </c>
      <c r="C326">
        <v>0.2</v>
      </c>
      <c r="D326" t="s">
        <v>2424</v>
      </c>
    </row>
    <row r="327" spans="1:4" x14ac:dyDescent="0.25">
      <c r="A327" t="s">
        <v>2375</v>
      </c>
      <c r="B327">
        <v>0.25</v>
      </c>
      <c r="C327">
        <v>0.25</v>
      </c>
      <c r="D327" t="s">
        <v>2425</v>
      </c>
    </row>
    <row r="328" spans="1:4" x14ac:dyDescent="0.25">
      <c r="A328" t="s">
        <v>2378</v>
      </c>
      <c r="B328">
        <v>0.2</v>
      </c>
      <c r="C328">
        <v>0.25</v>
      </c>
      <c r="D328" t="s">
        <v>2425</v>
      </c>
    </row>
    <row r="329" spans="1:4" x14ac:dyDescent="0.25">
      <c r="A329" t="s">
        <v>2381</v>
      </c>
      <c r="B329">
        <v>0.15</v>
      </c>
      <c r="C329">
        <v>0.15</v>
      </c>
      <c r="D329" t="s">
        <v>2424</v>
      </c>
    </row>
    <row r="330" spans="1:4" x14ac:dyDescent="0.25">
      <c r="A330" t="s">
        <v>2384</v>
      </c>
      <c r="B330">
        <v>0.2</v>
      </c>
      <c r="C330">
        <v>0.2</v>
      </c>
      <c r="D330" t="s">
        <v>2424</v>
      </c>
    </row>
    <row r="331" spans="1:4" x14ac:dyDescent="0.25">
      <c r="A331" t="s">
        <v>2387</v>
      </c>
      <c r="B331">
        <v>0.2</v>
      </c>
      <c r="C331">
        <v>0.25</v>
      </c>
      <c r="D331" t="s">
        <v>2425</v>
      </c>
    </row>
    <row r="332" spans="1:4" x14ac:dyDescent="0.25">
      <c r="A332" t="s">
        <v>2389</v>
      </c>
      <c r="B332">
        <v>0.25</v>
      </c>
      <c r="C332">
        <v>0.25</v>
      </c>
      <c r="D332" t="s">
        <v>2425</v>
      </c>
    </row>
    <row r="333" spans="1:4" x14ac:dyDescent="0.25">
      <c r="A333" t="s">
        <v>2391</v>
      </c>
      <c r="B333">
        <v>0.2</v>
      </c>
      <c r="C333">
        <v>0.25</v>
      </c>
      <c r="D333" t="s">
        <v>2425</v>
      </c>
    </row>
    <row r="334" spans="1:4" x14ac:dyDescent="0.25">
      <c r="A334" t="s">
        <v>2393</v>
      </c>
      <c r="B334">
        <v>0.2</v>
      </c>
      <c r="C334">
        <v>0.2</v>
      </c>
      <c r="D334" t="s">
        <v>2424</v>
      </c>
    </row>
    <row r="335" spans="1:4" x14ac:dyDescent="0.25">
      <c r="A335" t="s">
        <v>2395</v>
      </c>
      <c r="B335">
        <v>0.2</v>
      </c>
      <c r="C335">
        <v>0.2</v>
      </c>
      <c r="D335" t="s">
        <v>2424</v>
      </c>
    </row>
    <row r="336" spans="1:4" x14ac:dyDescent="0.25">
      <c r="A336" t="s">
        <v>2397</v>
      </c>
      <c r="B336">
        <v>0.2</v>
      </c>
      <c r="C336">
        <v>0.25</v>
      </c>
      <c r="D336" t="s">
        <v>2425</v>
      </c>
    </row>
    <row r="337" spans="1:4" x14ac:dyDescent="0.25">
      <c r="A337" t="s">
        <v>2399</v>
      </c>
      <c r="B337">
        <v>0.2</v>
      </c>
      <c r="C337">
        <v>0.25</v>
      </c>
      <c r="D337" t="s">
        <v>2425</v>
      </c>
    </row>
    <row r="338" spans="1:4" x14ac:dyDescent="0.25">
      <c r="A338" t="s">
        <v>1304</v>
      </c>
      <c r="B338">
        <v>0.25</v>
      </c>
      <c r="C338">
        <v>0.25</v>
      </c>
      <c r="D338" t="s">
        <v>2425</v>
      </c>
    </row>
    <row r="339" spans="1:4" x14ac:dyDescent="0.25">
      <c r="A339" t="s">
        <v>1336</v>
      </c>
      <c r="B339">
        <v>0.25</v>
      </c>
      <c r="C339">
        <v>0.25</v>
      </c>
      <c r="D339" t="s">
        <v>2425</v>
      </c>
    </row>
    <row r="340" spans="1:4" x14ac:dyDescent="0.25">
      <c r="A340" t="s">
        <v>1367</v>
      </c>
      <c r="B340">
        <v>0.25</v>
      </c>
      <c r="C340">
        <v>0.3</v>
      </c>
      <c r="D340" t="s">
        <v>2425</v>
      </c>
    </row>
    <row r="341" spans="1:4" x14ac:dyDescent="0.25">
      <c r="A341" t="s">
        <v>1398</v>
      </c>
      <c r="B341">
        <v>0.25</v>
      </c>
      <c r="C341">
        <v>0.25</v>
      </c>
      <c r="D341" t="s">
        <v>2425</v>
      </c>
    </row>
    <row r="342" spans="1:4" x14ac:dyDescent="0.25">
      <c r="A342" t="s">
        <v>1429</v>
      </c>
      <c r="B342">
        <v>0.25</v>
      </c>
      <c r="C342">
        <v>0.3</v>
      </c>
      <c r="D342" t="s">
        <v>2425</v>
      </c>
    </row>
    <row r="343" spans="1:4" x14ac:dyDescent="0.25">
      <c r="A343" t="s">
        <v>1457</v>
      </c>
      <c r="B343">
        <v>0.25</v>
      </c>
      <c r="C343">
        <v>0.25</v>
      </c>
      <c r="D343" t="s">
        <v>2425</v>
      </c>
    </row>
    <row r="344" spans="1:4" x14ac:dyDescent="0.25">
      <c r="A344" t="s">
        <v>1486</v>
      </c>
      <c r="B344">
        <v>0.25</v>
      </c>
      <c r="C344">
        <v>0.25</v>
      </c>
      <c r="D344" t="s">
        <v>2425</v>
      </c>
    </row>
    <row r="345" spans="1:4" x14ac:dyDescent="0.25">
      <c r="A345" t="s">
        <v>1512</v>
      </c>
      <c r="B345">
        <v>0.15</v>
      </c>
      <c r="C345">
        <v>0.2</v>
      </c>
      <c r="D345" t="s">
        <v>2424</v>
      </c>
    </row>
    <row r="346" spans="1:4" x14ac:dyDescent="0.25">
      <c r="A346" t="s">
        <v>1538</v>
      </c>
      <c r="B346">
        <v>0.25</v>
      </c>
      <c r="C346">
        <v>0.25</v>
      </c>
      <c r="D346" t="s">
        <v>2425</v>
      </c>
    </row>
    <row r="347" spans="1:4" x14ac:dyDescent="0.25">
      <c r="A347" t="s">
        <v>1565</v>
      </c>
      <c r="B347">
        <v>0.2</v>
      </c>
      <c r="C347">
        <v>0.2</v>
      </c>
      <c r="D347" t="s">
        <v>2424</v>
      </c>
    </row>
    <row r="348" spans="1:4" x14ac:dyDescent="0.25">
      <c r="A348" t="s">
        <v>1591</v>
      </c>
      <c r="B348">
        <v>0.25</v>
      </c>
      <c r="C348">
        <v>0.25</v>
      </c>
      <c r="D348" t="s">
        <v>2425</v>
      </c>
    </row>
    <row r="349" spans="1:4" x14ac:dyDescent="0.25">
      <c r="A349" t="s">
        <v>1616</v>
      </c>
      <c r="B349">
        <v>0.2</v>
      </c>
      <c r="C349">
        <v>0.2</v>
      </c>
      <c r="D349" t="s">
        <v>2424</v>
      </c>
    </row>
    <row r="350" spans="1:4" x14ac:dyDescent="0.25">
      <c r="A350" t="s">
        <v>1641</v>
      </c>
      <c r="B350">
        <v>0.2</v>
      </c>
      <c r="C350">
        <v>0.25</v>
      </c>
      <c r="D350" t="s">
        <v>2425</v>
      </c>
    </row>
    <row r="351" spans="1:4" x14ac:dyDescent="0.25">
      <c r="A351" t="s">
        <v>1663</v>
      </c>
      <c r="B351">
        <v>0.25</v>
      </c>
      <c r="C351">
        <v>0.25</v>
      </c>
      <c r="D351" t="s">
        <v>2425</v>
      </c>
    </row>
    <row r="352" spans="1:4" x14ac:dyDescent="0.25">
      <c r="A352" t="s">
        <v>1686</v>
      </c>
      <c r="B352">
        <v>0.15</v>
      </c>
      <c r="C352">
        <v>0.2</v>
      </c>
      <c r="D352" t="s">
        <v>2424</v>
      </c>
    </row>
    <row r="353" spans="1:4" x14ac:dyDescent="0.25">
      <c r="A353" t="s">
        <v>1708</v>
      </c>
      <c r="B353">
        <v>0.25</v>
      </c>
      <c r="C353">
        <v>0.25</v>
      </c>
      <c r="D353" t="s">
        <v>2425</v>
      </c>
    </row>
    <row r="354" spans="1:4" x14ac:dyDescent="0.25">
      <c r="A354" t="s">
        <v>1729</v>
      </c>
      <c r="B354">
        <v>0.25</v>
      </c>
      <c r="C354">
        <v>0.25</v>
      </c>
      <c r="D354" t="s">
        <v>2425</v>
      </c>
    </row>
    <row r="355" spans="1:4" x14ac:dyDescent="0.25">
      <c r="A355" t="s">
        <v>1749</v>
      </c>
      <c r="B355">
        <v>0.2</v>
      </c>
      <c r="C355">
        <v>0.2</v>
      </c>
      <c r="D355" t="s">
        <v>2424</v>
      </c>
    </row>
    <row r="356" spans="1:4" x14ac:dyDescent="0.25">
      <c r="A356" t="s">
        <v>1769</v>
      </c>
      <c r="B356">
        <v>0.25</v>
      </c>
      <c r="C356">
        <v>0.3</v>
      </c>
      <c r="D356" t="s">
        <v>2425</v>
      </c>
    </row>
    <row r="357" spans="1:4" x14ac:dyDescent="0.25">
      <c r="A357" t="s">
        <v>1292</v>
      </c>
      <c r="B357">
        <v>0.25</v>
      </c>
      <c r="C357">
        <v>0.3</v>
      </c>
      <c r="D357" t="s">
        <v>2425</v>
      </c>
    </row>
    <row r="358" spans="1:4" x14ac:dyDescent="0.25">
      <c r="A358" t="s">
        <v>1807</v>
      </c>
      <c r="B358">
        <v>0.25</v>
      </c>
      <c r="C358">
        <v>0.25</v>
      </c>
      <c r="D358" t="s">
        <v>2425</v>
      </c>
    </row>
    <row r="359" spans="1:4" x14ac:dyDescent="0.25">
      <c r="A359" t="s">
        <v>1826</v>
      </c>
      <c r="B359">
        <v>0.2</v>
      </c>
      <c r="C359">
        <v>0.2</v>
      </c>
      <c r="D359" t="s">
        <v>2424</v>
      </c>
    </row>
    <row r="360" spans="1:4" x14ac:dyDescent="0.25">
      <c r="A360" t="s">
        <v>1845</v>
      </c>
      <c r="B360">
        <v>0.25</v>
      </c>
      <c r="C360">
        <v>0.3</v>
      </c>
      <c r="D360" t="s">
        <v>2425</v>
      </c>
    </row>
    <row r="361" spans="1:4" x14ac:dyDescent="0.25">
      <c r="A361" t="s">
        <v>1863</v>
      </c>
      <c r="B361">
        <v>0.15</v>
      </c>
      <c r="C361">
        <v>0.3</v>
      </c>
      <c r="D361" t="s">
        <v>2425</v>
      </c>
    </row>
    <row r="362" spans="1:4" x14ac:dyDescent="0.25">
      <c r="A362" t="s">
        <v>1881</v>
      </c>
      <c r="B362">
        <v>0.25</v>
      </c>
      <c r="C362">
        <v>0.2</v>
      </c>
      <c r="D362" t="s">
        <v>2425</v>
      </c>
    </row>
    <row r="363" spans="1:4" x14ac:dyDescent="0.25">
      <c r="A363" t="s">
        <v>1898</v>
      </c>
      <c r="B363">
        <v>0.25</v>
      </c>
      <c r="C363">
        <v>0.25</v>
      </c>
      <c r="D363" t="s">
        <v>2425</v>
      </c>
    </row>
    <row r="364" spans="1:4" x14ac:dyDescent="0.25">
      <c r="A364" t="s">
        <v>1914</v>
      </c>
      <c r="B364">
        <v>0.25</v>
      </c>
      <c r="C364">
        <v>0.3</v>
      </c>
      <c r="D364" t="s">
        <v>2425</v>
      </c>
    </row>
    <row r="365" spans="1:4" x14ac:dyDescent="0.25">
      <c r="A365" t="s">
        <v>1305</v>
      </c>
      <c r="B365">
        <v>0.2</v>
      </c>
      <c r="C365">
        <v>0.15</v>
      </c>
      <c r="D365" t="s">
        <v>2424</v>
      </c>
    </row>
    <row r="366" spans="1:4" x14ac:dyDescent="0.25">
      <c r="A366" t="s">
        <v>1337</v>
      </c>
      <c r="B366">
        <v>0.15</v>
      </c>
      <c r="C366">
        <v>0.15</v>
      </c>
      <c r="D366" t="s">
        <v>2424</v>
      </c>
    </row>
    <row r="367" spans="1:4" x14ac:dyDescent="0.25">
      <c r="A367" t="s">
        <v>1368</v>
      </c>
      <c r="B367">
        <v>0.2</v>
      </c>
      <c r="C367">
        <v>0.15</v>
      </c>
      <c r="D367" t="s">
        <v>2424</v>
      </c>
    </row>
    <row r="368" spans="1:4" x14ac:dyDescent="0.25">
      <c r="A368" t="s">
        <v>1399</v>
      </c>
      <c r="B368">
        <v>0.05</v>
      </c>
      <c r="C368">
        <v>0.05</v>
      </c>
      <c r="D368" t="s">
        <v>2423</v>
      </c>
    </row>
    <row r="369" spans="1:4" x14ac:dyDescent="0.25">
      <c r="A369" t="s">
        <v>1430</v>
      </c>
      <c r="B369">
        <v>0.15</v>
      </c>
      <c r="C369">
        <v>0.2</v>
      </c>
      <c r="D369" t="s">
        <v>2424</v>
      </c>
    </row>
    <row r="370" spans="1:4" x14ac:dyDescent="0.25">
      <c r="A370" t="s">
        <v>1458</v>
      </c>
      <c r="B370">
        <v>0.15</v>
      </c>
      <c r="C370">
        <v>0.15</v>
      </c>
      <c r="D370" t="s">
        <v>2424</v>
      </c>
    </row>
    <row r="371" spans="1:4" x14ac:dyDescent="0.25">
      <c r="A371" t="s">
        <v>1487</v>
      </c>
      <c r="B371">
        <v>0.15</v>
      </c>
      <c r="C371">
        <v>0.15</v>
      </c>
      <c r="D371" t="s">
        <v>2424</v>
      </c>
    </row>
    <row r="372" spans="1:4" x14ac:dyDescent="0.25">
      <c r="A372" t="s">
        <v>1513</v>
      </c>
      <c r="B372">
        <v>0.1</v>
      </c>
      <c r="C372">
        <v>0.15</v>
      </c>
      <c r="D372" t="s">
        <v>2424</v>
      </c>
    </row>
    <row r="373" spans="1:4" x14ac:dyDescent="0.25">
      <c r="A373" t="s">
        <v>1539</v>
      </c>
      <c r="B373">
        <v>0.05</v>
      </c>
      <c r="C373">
        <v>0.15</v>
      </c>
      <c r="D373" t="s">
        <v>2424</v>
      </c>
    </row>
    <row r="374" spans="1:4" x14ac:dyDescent="0.25">
      <c r="A374" t="s">
        <v>1566</v>
      </c>
      <c r="B374">
        <v>0.15</v>
      </c>
      <c r="C374">
        <v>0.15</v>
      </c>
      <c r="D374" t="s">
        <v>2424</v>
      </c>
    </row>
    <row r="375" spans="1:4" x14ac:dyDescent="0.25">
      <c r="A375" t="s">
        <v>1592</v>
      </c>
      <c r="B375">
        <v>0.15</v>
      </c>
      <c r="C375">
        <v>0.15</v>
      </c>
      <c r="D375" t="s">
        <v>2424</v>
      </c>
    </row>
    <row r="376" spans="1:4" x14ac:dyDescent="0.25">
      <c r="A376" t="s">
        <v>1617</v>
      </c>
      <c r="B376">
        <v>0.25</v>
      </c>
      <c r="C376">
        <v>0.2</v>
      </c>
      <c r="D376" t="s">
        <v>2425</v>
      </c>
    </row>
    <row r="377" spans="1:4" x14ac:dyDescent="0.25">
      <c r="A377" t="s">
        <v>1642</v>
      </c>
      <c r="B377">
        <v>0.05</v>
      </c>
      <c r="C377">
        <v>0.05</v>
      </c>
      <c r="D377" t="s">
        <v>2423</v>
      </c>
    </row>
    <row r="378" spans="1:4" x14ac:dyDescent="0.25">
      <c r="A378" t="s">
        <v>1664</v>
      </c>
      <c r="B378">
        <v>0.05</v>
      </c>
      <c r="C378">
        <v>0.05</v>
      </c>
      <c r="D378" t="s">
        <v>2423</v>
      </c>
    </row>
    <row r="379" spans="1:4" x14ac:dyDescent="0.25">
      <c r="A379" t="s">
        <v>1687</v>
      </c>
      <c r="B379">
        <v>0.05</v>
      </c>
      <c r="C379">
        <v>0.15</v>
      </c>
      <c r="D379" t="s">
        <v>2424</v>
      </c>
    </row>
    <row r="380" spans="1:4" x14ac:dyDescent="0.25">
      <c r="A380" t="s">
        <v>1709</v>
      </c>
      <c r="B380">
        <v>0.05</v>
      </c>
      <c r="C380">
        <v>0.15</v>
      </c>
      <c r="D380" t="s">
        <v>2424</v>
      </c>
    </row>
    <row r="381" spans="1:4" x14ac:dyDescent="0.25">
      <c r="A381" t="s">
        <v>1306</v>
      </c>
      <c r="B381">
        <v>0.3</v>
      </c>
      <c r="C381">
        <v>0.2</v>
      </c>
      <c r="D381" t="s">
        <v>2425</v>
      </c>
    </row>
    <row r="382" spans="1:4" x14ac:dyDescent="0.25">
      <c r="A382" t="s">
        <v>1338</v>
      </c>
      <c r="B382">
        <v>0.3</v>
      </c>
      <c r="C382">
        <v>0.2</v>
      </c>
      <c r="D382" t="s">
        <v>2425</v>
      </c>
    </row>
    <row r="383" spans="1:4" x14ac:dyDescent="0.25">
      <c r="A383" t="s">
        <v>1369</v>
      </c>
      <c r="B383">
        <v>0.3</v>
      </c>
      <c r="C383">
        <v>0.3</v>
      </c>
      <c r="D383" t="s">
        <v>2425</v>
      </c>
    </row>
    <row r="384" spans="1:4" x14ac:dyDescent="0.25">
      <c r="A384" t="s">
        <v>1400</v>
      </c>
      <c r="B384">
        <v>0.15</v>
      </c>
      <c r="C384">
        <v>0.15</v>
      </c>
      <c r="D384" t="s">
        <v>2424</v>
      </c>
    </row>
    <row r="385" spans="1:4" x14ac:dyDescent="0.25">
      <c r="A385" t="s">
        <v>1431</v>
      </c>
      <c r="B385">
        <v>0.3</v>
      </c>
      <c r="C385">
        <v>0.3</v>
      </c>
      <c r="D385" t="s">
        <v>2425</v>
      </c>
    </row>
    <row r="386" spans="1:4" x14ac:dyDescent="0.25">
      <c r="A386" t="s">
        <v>1459</v>
      </c>
      <c r="B386">
        <v>0.1</v>
      </c>
      <c r="C386">
        <v>0.15</v>
      </c>
      <c r="D386" t="s">
        <v>2424</v>
      </c>
    </row>
    <row r="387" spans="1:4" x14ac:dyDescent="0.25">
      <c r="A387" t="s">
        <v>1488</v>
      </c>
      <c r="B387">
        <v>0.3</v>
      </c>
      <c r="C387">
        <v>0.25</v>
      </c>
      <c r="D387" t="s">
        <v>2425</v>
      </c>
    </row>
    <row r="388" spans="1:4" x14ac:dyDescent="0.25">
      <c r="A388" t="s">
        <v>1514</v>
      </c>
      <c r="B388">
        <v>0.2</v>
      </c>
      <c r="C388">
        <v>0.2</v>
      </c>
      <c r="D388" t="s">
        <v>2424</v>
      </c>
    </row>
    <row r="389" spans="1:4" x14ac:dyDescent="0.25">
      <c r="A389" t="s">
        <v>1540</v>
      </c>
      <c r="B389">
        <v>0.05</v>
      </c>
      <c r="C389">
        <v>0.15</v>
      </c>
      <c r="D389" t="s">
        <v>2424</v>
      </c>
    </row>
    <row r="390" spans="1:4" x14ac:dyDescent="0.25">
      <c r="A390" t="s">
        <v>1567</v>
      </c>
      <c r="B390">
        <v>0.05</v>
      </c>
      <c r="C390">
        <v>0.15</v>
      </c>
      <c r="D390" t="s">
        <v>2424</v>
      </c>
    </row>
    <row r="391" spans="1:4" x14ac:dyDescent="0.25">
      <c r="A391" t="s">
        <v>1593</v>
      </c>
      <c r="B391">
        <v>0.2</v>
      </c>
      <c r="C391">
        <v>0.2</v>
      </c>
      <c r="D391" t="s">
        <v>2424</v>
      </c>
    </row>
    <row r="392" spans="1:4" x14ac:dyDescent="0.25">
      <c r="A392" t="s">
        <v>1618</v>
      </c>
      <c r="B392">
        <v>0.3</v>
      </c>
      <c r="C392">
        <v>0.3</v>
      </c>
      <c r="D392" t="s">
        <v>2425</v>
      </c>
    </row>
    <row r="393" spans="1:4" x14ac:dyDescent="0.25">
      <c r="A393" t="s">
        <v>1643</v>
      </c>
      <c r="B393">
        <v>0.35</v>
      </c>
      <c r="C393">
        <v>0.3</v>
      </c>
      <c r="D393" t="s">
        <v>2425</v>
      </c>
    </row>
    <row r="394" spans="1:4" x14ac:dyDescent="0.25">
      <c r="A394" t="s">
        <v>1665</v>
      </c>
      <c r="B394">
        <v>0.35</v>
      </c>
      <c r="C394">
        <v>0.25</v>
      </c>
      <c r="D394" t="s">
        <v>2425</v>
      </c>
    </row>
    <row r="395" spans="1:4" x14ac:dyDescent="0.25">
      <c r="A395" t="s">
        <v>1688</v>
      </c>
      <c r="B395">
        <v>0.1</v>
      </c>
      <c r="C395">
        <v>0.15</v>
      </c>
      <c r="D395" t="s">
        <v>2424</v>
      </c>
    </row>
    <row r="396" spans="1:4" x14ac:dyDescent="0.25">
      <c r="A396" t="s">
        <v>1710</v>
      </c>
      <c r="B396">
        <v>0.35</v>
      </c>
      <c r="C396">
        <v>0.2</v>
      </c>
      <c r="D396" t="s">
        <v>2425</v>
      </c>
    </row>
    <row r="397" spans="1:4" x14ac:dyDescent="0.25">
      <c r="A397" t="s">
        <v>1730</v>
      </c>
      <c r="B397">
        <v>0.15</v>
      </c>
      <c r="C397">
        <v>0.2</v>
      </c>
      <c r="D397" t="s">
        <v>2424</v>
      </c>
    </row>
    <row r="398" spans="1:4" x14ac:dyDescent="0.25">
      <c r="A398" t="s">
        <v>1750</v>
      </c>
      <c r="B398">
        <v>0.05</v>
      </c>
      <c r="C398">
        <v>0.15</v>
      </c>
      <c r="D398" t="s">
        <v>2424</v>
      </c>
    </row>
    <row r="399" spans="1:4" x14ac:dyDescent="0.25">
      <c r="A399" t="s">
        <v>1770</v>
      </c>
      <c r="B399">
        <v>0.2</v>
      </c>
      <c r="C399">
        <v>0.2</v>
      </c>
      <c r="D399" t="s">
        <v>2424</v>
      </c>
    </row>
    <row r="400" spans="1:4" x14ac:dyDescent="0.25">
      <c r="A400" t="s">
        <v>1307</v>
      </c>
      <c r="B400">
        <v>0.25</v>
      </c>
      <c r="C400">
        <v>0.2</v>
      </c>
      <c r="D400" t="s">
        <v>2425</v>
      </c>
    </row>
    <row r="401" spans="1:4" x14ac:dyDescent="0.25">
      <c r="A401" t="s">
        <v>1339</v>
      </c>
      <c r="B401">
        <v>0.25</v>
      </c>
      <c r="C401">
        <v>0.25</v>
      </c>
      <c r="D401" t="s">
        <v>2425</v>
      </c>
    </row>
    <row r="402" spans="1:4" x14ac:dyDescent="0.25">
      <c r="A402" t="s">
        <v>1370</v>
      </c>
      <c r="B402">
        <v>0.35</v>
      </c>
      <c r="C402">
        <v>0.25</v>
      </c>
      <c r="D402" t="s">
        <v>2425</v>
      </c>
    </row>
    <row r="403" spans="1:4" x14ac:dyDescent="0.25">
      <c r="A403" t="s">
        <v>1401</v>
      </c>
      <c r="B403">
        <v>0.3</v>
      </c>
      <c r="C403">
        <v>0.25</v>
      </c>
      <c r="D403" t="s">
        <v>2425</v>
      </c>
    </row>
    <row r="404" spans="1:4" x14ac:dyDescent="0.25">
      <c r="A404" t="s">
        <v>1432</v>
      </c>
      <c r="B404">
        <v>0.25</v>
      </c>
      <c r="C404">
        <v>0.25</v>
      </c>
      <c r="D404" t="s">
        <v>2425</v>
      </c>
    </row>
    <row r="405" spans="1:4" x14ac:dyDescent="0.25">
      <c r="A405" t="s">
        <v>1460</v>
      </c>
      <c r="B405">
        <v>0.25</v>
      </c>
      <c r="C405">
        <v>0.2</v>
      </c>
      <c r="D405" t="s">
        <v>2425</v>
      </c>
    </row>
    <row r="406" spans="1:4" x14ac:dyDescent="0.25">
      <c r="A406" t="s">
        <v>1489</v>
      </c>
      <c r="B406">
        <v>0.25</v>
      </c>
      <c r="C406">
        <v>0.2</v>
      </c>
      <c r="D406" t="s">
        <v>2425</v>
      </c>
    </row>
    <row r="407" spans="1:4" x14ac:dyDescent="0.25">
      <c r="A407" t="s">
        <v>1515</v>
      </c>
      <c r="B407">
        <v>0.25</v>
      </c>
      <c r="C407">
        <v>0.2</v>
      </c>
      <c r="D407" t="s">
        <v>2425</v>
      </c>
    </row>
    <row r="408" spans="1:4" x14ac:dyDescent="0.25">
      <c r="A408" t="s">
        <v>1541</v>
      </c>
      <c r="B408">
        <v>0.25</v>
      </c>
      <c r="C408">
        <v>0.2</v>
      </c>
      <c r="D408" t="s">
        <v>2425</v>
      </c>
    </row>
    <row r="409" spans="1:4" x14ac:dyDescent="0.25">
      <c r="A409" t="s">
        <v>1568</v>
      </c>
      <c r="B409">
        <v>0.25</v>
      </c>
      <c r="C409">
        <v>0.2</v>
      </c>
      <c r="D409" t="s">
        <v>2425</v>
      </c>
    </row>
    <row r="410" spans="1:4" x14ac:dyDescent="0.25">
      <c r="A410" t="s">
        <v>1594</v>
      </c>
      <c r="B410">
        <v>0.3</v>
      </c>
      <c r="C410">
        <v>0.25</v>
      </c>
      <c r="D410" t="s">
        <v>2425</v>
      </c>
    </row>
    <row r="411" spans="1:4" x14ac:dyDescent="0.25">
      <c r="A411" t="s">
        <v>1619</v>
      </c>
      <c r="B411">
        <v>0.25</v>
      </c>
      <c r="C411">
        <v>0.25</v>
      </c>
      <c r="D411" t="s">
        <v>2425</v>
      </c>
    </row>
    <row r="412" spans="1:4" x14ac:dyDescent="0.25">
      <c r="A412" t="s">
        <v>1644</v>
      </c>
      <c r="B412">
        <v>0.4</v>
      </c>
      <c r="C412">
        <v>0.35</v>
      </c>
      <c r="D412" t="s">
        <v>2425</v>
      </c>
    </row>
    <row r="413" spans="1:4" x14ac:dyDescent="0.25">
      <c r="A413" t="s">
        <v>1666</v>
      </c>
      <c r="B413">
        <v>0.25</v>
      </c>
      <c r="C413">
        <v>0.2</v>
      </c>
      <c r="D413" t="s">
        <v>2425</v>
      </c>
    </row>
    <row r="414" spans="1:4" x14ac:dyDescent="0.25">
      <c r="A414" t="s">
        <v>1689</v>
      </c>
      <c r="B414">
        <v>0.25</v>
      </c>
      <c r="C414">
        <v>0.2</v>
      </c>
      <c r="D414" t="s">
        <v>2425</v>
      </c>
    </row>
    <row r="415" spans="1:4" x14ac:dyDescent="0.25">
      <c r="A415" t="s">
        <v>1711</v>
      </c>
      <c r="B415">
        <v>0.25</v>
      </c>
      <c r="C415">
        <v>0.2</v>
      </c>
      <c r="D415" t="s">
        <v>2425</v>
      </c>
    </row>
    <row r="416" spans="1:4" x14ac:dyDescent="0.25">
      <c r="A416" t="s">
        <v>1731</v>
      </c>
      <c r="B416">
        <v>0.25</v>
      </c>
      <c r="C416">
        <v>0.2</v>
      </c>
      <c r="D416" t="s">
        <v>2425</v>
      </c>
    </row>
    <row r="417" spans="1:4" x14ac:dyDescent="0.25">
      <c r="A417" t="s">
        <v>1751</v>
      </c>
      <c r="B417">
        <v>0.4</v>
      </c>
      <c r="C417">
        <v>3</v>
      </c>
      <c r="D417" t="s">
        <v>2425</v>
      </c>
    </row>
    <row r="418" spans="1:4" x14ac:dyDescent="0.25">
      <c r="A418" t="s">
        <v>1771</v>
      </c>
      <c r="B418">
        <v>0.25</v>
      </c>
      <c r="C418">
        <v>0.25</v>
      </c>
      <c r="D418" t="s">
        <v>2425</v>
      </c>
    </row>
    <row r="419" spans="1:4" x14ac:dyDescent="0.25">
      <c r="A419" t="s">
        <v>1789</v>
      </c>
      <c r="B419">
        <v>0.25</v>
      </c>
      <c r="C419">
        <v>0.2</v>
      </c>
      <c r="D419" t="s">
        <v>2425</v>
      </c>
    </row>
    <row r="420" spans="1:4" x14ac:dyDescent="0.25">
      <c r="A420" t="s">
        <v>1808</v>
      </c>
      <c r="B420">
        <v>0.25</v>
      </c>
      <c r="C420">
        <v>0.2</v>
      </c>
      <c r="D420" t="s">
        <v>2425</v>
      </c>
    </row>
    <row r="421" spans="1:4" x14ac:dyDescent="0.25">
      <c r="A421" t="s">
        <v>1827</v>
      </c>
      <c r="B421">
        <v>0.25</v>
      </c>
      <c r="C421">
        <v>0.2</v>
      </c>
      <c r="D421" t="s">
        <v>2425</v>
      </c>
    </row>
    <row r="422" spans="1:4" x14ac:dyDescent="0.25">
      <c r="A422" t="s">
        <v>1846</v>
      </c>
      <c r="B422">
        <v>0.25</v>
      </c>
      <c r="C422">
        <v>0.25</v>
      </c>
      <c r="D422" t="s">
        <v>2425</v>
      </c>
    </row>
    <row r="423" spans="1:4" x14ac:dyDescent="0.25">
      <c r="A423" t="s">
        <v>1864</v>
      </c>
      <c r="B423">
        <v>0.25</v>
      </c>
      <c r="C423">
        <v>0.2</v>
      </c>
      <c r="D423" t="s">
        <v>2425</v>
      </c>
    </row>
    <row r="424" spans="1:4" x14ac:dyDescent="0.25">
      <c r="A424" t="s">
        <v>1882</v>
      </c>
      <c r="B424">
        <v>0.25</v>
      </c>
      <c r="C424">
        <v>0.25</v>
      </c>
      <c r="D424" t="s">
        <v>2425</v>
      </c>
    </row>
    <row r="425" spans="1:4" x14ac:dyDescent="0.25">
      <c r="A425" t="s">
        <v>1899</v>
      </c>
      <c r="B425">
        <v>0.25</v>
      </c>
      <c r="C425">
        <v>0.2</v>
      </c>
      <c r="D425" t="s">
        <v>2425</v>
      </c>
    </row>
    <row r="426" spans="1:4" x14ac:dyDescent="0.25">
      <c r="A426" t="s">
        <v>1915</v>
      </c>
      <c r="B426">
        <v>0.25</v>
      </c>
      <c r="C426">
        <v>0.2</v>
      </c>
      <c r="D426" t="s">
        <v>2425</v>
      </c>
    </row>
    <row r="427" spans="1:4" x14ac:dyDescent="0.25">
      <c r="A427" t="s">
        <v>1930</v>
      </c>
      <c r="B427">
        <v>0.25</v>
      </c>
      <c r="C427">
        <v>0.2</v>
      </c>
      <c r="D427" t="s">
        <v>2425</v>
      </c>
    </row>
    <row r="428" spans="1:4" x14ac:dyDescent="0.25">
      <c r="A428" t="s">
        <v>1944</v>
      </c>
      <c r="B428">
        <v>0.25</v>
      </c>
      <c r="C428">
        <v>0.2</v>
      </c>
      <c r="D428" t="s">
        <v>2425</v>
      </c>
    </row>
    <row r="429" spans="1:4" x14ac:dyDescent="0.25">
      <c r="A429" t="s">
        <v>1957</v>
      </c>
      <c r="B429">
        <v>0.25</v>
      </c>
      <c r="C429">
        <v>0.25</v>
      </c>
      <c r="D429" t="s">
        <v>2425</v>
      </c>
    </row>
    <row r="430" spans="1:4" x14ac:dyDescent="0.25">
      <c r="A430" t="s">
        <v>1970</v>
      </c>
      <c r="B430">
        <v>0.25</v>
      </c>
      <c r="C430">
        <v>0.25</v>
      </c>
      <c r="D430" t="s">
        <v>2425</v>
      </c>
    </row>
    <row r="431" spans="1:4" x14ac:dyDescent="0.25">
      <c r="A431" t="s">
        <v>1982</v>
      </c>
      <c r="B431">
        <v>0.25</v>
      </c>
      <c r="C431">
        <v>0.2</v>
      </c>
      <c r="D431" t="s">
        <v>2425</v>
      </c>
    </row>
    <row r="432" spans="1:4" x14ac:dyDescent="0.25">
      <c r="A432" t="s">
        <v>1993</v>
      </c>
      <c r="B432">
        <v>0.25</v>
      </c>
      <c r="C432">
        <v>0.2</v>
      </c>
      <c r="D432" t="s">
        <v>2425</v>
      </c>
    </row>
    <row r="433" spans="1:4" x14ac:dyDescent="0.25">
      <c r="A433" t="s">
        <v>2004</v>
      </c>
      <c r="B433">
        <v>0.25</v>
      </c>
      <c r="C433">
        <v>0.2</v>
      </c>
      <c r="D433" t="s">
        <v>2425</v>
      </c>
    </row>
    <row r="434" spans="1:4" x14ac:dyDescent="0.25">
      <c r="A434" t="s">
        <v>2015</v>
      </c>
      <c r="B434">
        <v>0.25</v>
      </c>
      <c r="C434">
        <v>0.2</v>
      </c>
      <c r="D434" t="s">
        <v>2425</v>
      </c>
    </row>
    <row r="435" spans="1:4" x14ac:dyDescent="0.25">
      <c r="A435" t="s">
        <v>1293</v>
      </c>
      <c r="B435">
        <v>0.25</v>
      </c>
      <c r="C435">
        <v>0.25</v>
      </c>
      <c r="D435" t="s">
        <v>2425</v>
      </c>
    </row>
    <row r="436" spans="1:4" x14ac:dyDescent="0.25">
      <c r="A436" t="s">
        <v>2036</v>
      </c>
      <c r="B436">
        <v>0.25</v>
      </c>
      <c r="C436">
        <v>0.2</v>
      </c>
      <c r="D436" t="s">
        <v>2425</v>
      </c>
    </row>
    <row r="437" spans="1:4" x14ac:dyDescent="0.25">
      <c r="A437" t="s">
        <v>2047</v>
      </c>
      <c r="B437">
        <v>0.4</v>
      </c>
      <c r="C437">
        <v>0.3</v>
      </c>
      <c r="D437" t="s">
        <v>2425</v>
      </c>
    </row>
    <row r="438" spans="1:4" x14ac:dyDescent="0.25">
      <c r="A438" t="s">
        <v>2057</v>
      </c>
      <c r="B438">
        <v>0.25</v>
      </c>
      <c r="C438">
        <v>0.2</v>
      </c>
      <c r="D438" t="s">
        <v>2425</v>
      </c>
    </row>
    <row r="439" spans="1:4" x14ac:dyDescent="0.25">
      <c r="A439" t="s">
        <v>2067</v>
      </c>
      <c r="B439">
        <v>0.25</v>
      </c>
      <c r="C439">
        <v>0.2</v>
      </c>
      <c r="D439" t="s">
        <v>2425</v>
      </c>
    </row>
    <row r="440" spans="1:4" x14ac:dyDescent="0.25">
      <c r="A440" t="s">
        <v>2077</v>
      </c>
      <c r="B440">
        <v>0.25</v>
      </c>
      <c r="C440">
        <v>0.2</v>
      </c>
      <c r="D440" t="s">
        <v>2425</v>
      </c>
    </row>
    <row r="441" spans="1:4" x14ac:dyDescent="0.25">
      <c r="A441" t="s">
        <v>1308</v>
      </c>
      <c r="B441">
        <v>0.1</v>
      </c>
      <c r="C441">
        <v>0.1</v>
      </c>
      <c r="D441" t="s">
        <v>2423</v>
      </c>
    </row>
    <row r="442" spans="1:4" x14ac:dyDescent="0.25">
      <c r="A442" t="s">
        <v>1340</v>
      </c>
      <c r="B442">
        <v>0.15</v>
      </c>
      <c r="C442">
        <v>0.15</v>
      </c>
      <c r="D442" t="s">
        <v>2424</v>
      </c>
    </row>
    <row r="443" spans="1:4" x14ac:dyDescent="0.25">
      <c r="A443" t="s">
        <v>1371</v>
      </c>
      <c r="B443">
        <v>0.1</v>
      </c>
      <c r="C443">
        <v>0.1</v>
      </c>
      <c r="D443" t="s">
        <v>2423</v>
      </c>
    </row>
    <row r="444" spans="1:4" x14ac:dyDescent="0.25">
      <c r="A444" t="s">
        <v>1402</v>
      </c>
      <c r="B444">
        <v>0.1</v>
      </c>
      <c r="C444">
        <v>0.1</v>
      </c>
      <c r="D444" t="s">
        <v>2423</v>
      </c>
    </row>
    <row r="445" spans="1:4" x14ac:dyDescent="0.25">
      <c r="A445" t="s">
        <v>1433</v>
      </c>
      <c r="B445">
        <v>0.1</v>
      </c>
      <c r="C445">
        <v>0.1</v>
      </c>
      <c r="D445" t="s">
        <v>2423</v>
      </c>
    </row>
    <row r="446" spans="1:4" x14ac:dyDescent="0.25">
      <c r="A446" t="s">
        <v>1461</v>
      </c>
      <c r="B446">
        <v>0.1</v>
      </c>
      <c r="C446">
        <v>0.1</v>
      </c>
      <c r="D446" t="s">
        <v>2423</v>
      </c>
    </row>
    <row r="447" spans="1:4" x14ac:dyDescent="0.25">
      <c r="A447" t="s">
        <v>1490</v>
      </c>
      <c r="B447">
        <v>0.1</v>
      </c>
      <c r="C447">
        <v>0.1</v>
      </c>
      <c r="D447" t="s">
        <v>2423</v>
      </c>
    </row>
    <row r="448" spans="1:4" x14ac:dyDescent="0.25">
      <c r="A448" t="s">
        <v>1516</v>
      </c>
      <c r="B448">
        <v>0.1</v>
      </c>
      <c r="C448">
        <v>0.1</v>
      </c>
      <c r="D448" t="s">
        <v>2423</v>
      </c>
    </row>
    <row r="449" spans="1:4" x14ac:dyDescent="0.25">
      <c r="A449" t="s">
        <v>1542</v>
      </c>
      <c r="B449">
        <v>0.15</v>
      </c>
      <c r="C449">
        <v>0.1</v>
      </c>
      <c r="D449" t="s">
        <v>2424</v>
      </c>
    </row>
    <row r="450" spans="1:4" x14ac:dyDescent="0.25">
      <c r="A450" t="s">
        <v>1569</v>
      </c>
      <c r="B450">
        <v>0.1</v>
      </c>
      <c r="C450">
        <v>0.1</v>
      </c>
      <c r="D450" t="s">
        <v>2423</v>
      </c>
    </row>
    <row r="451" spans="1:4" x14ac:dyDescent="0.25">
      <c r="A451" t="s">
        <v>1595</v>
      </c>
      <c r="B451">
        <v>0.1</v>
      </c>
      <c r="C451">
        <v>0.1</v>
      </c>
      <c r="D451" t="s">
        <v>2423</v>
      </c>
    </row>
    <row r="452" spans="1:4" x14ac:dyDescent="0.25">
      <c r="A452" t="s">
        <v>1620</v>
      </c>
      <c r="B452">
        <v>0.15</v>
      </c>
      <c r="C452">
        <v>0.15</v>
      </c>
      <c r="D452" t="s">
        <v>2424</v>
      </c>
    </row>
    <row r="453" spans="1:4" x14ac:dyDescent="0.25">
      <c r="A453" t="s">
        <v>1645</v>
      </c>
      <c r="B453">
        <v>0.2</v>
      </c>
      <c r="C453">
        <v>0.15</v>
      </c>
      <c r="D453" t="s">
        <v>2424</v>
      </c>
    </row>
    <row r="454" spans="1:4" x14ac:dyDescent="0.25">
      <c r="A454" t="s">
        <v>1667</v>
      </c>
      <c r="B454">
        <v>0.15</v>
      </c>
      <c r="C454">
        <v>0.15</v>
      </c>
      <c r="D454" t="s">
        <v>2424</v>
      </c>
    </row>
    <row r="455" spans="1:4" x14ac:dyDescent="0.25">
      <c r="A455" t="s">
        <v>1690</v>
      </c>
      <c r="B455">
        <v>0.1</v>
      </c>
      <c r="C455">
        <v>0.1</v>
      </c>
      <c r="D455" t="s">
        <v>2423</v>
      </c>
    </row>
    <row r="456" spans="1:4" x14ac:dyDescent="0.25">
      <c r="A456" t="s">
        <v>1712</v>
      </c>
      <c r="B456">
        <v>0.1</v>
      </c>
      <c r="C456">
        <v>0.1</v>
      </c>
      <c r="D456" t="s">
        <v>2423</v>
      </c>
    </row>
    <row r="457" spans="1:4" x14ac:dyDescent="0.25">
      <c r="A457" t="s">
        <v>1732</v>
      </c>
      <c r="B457">
        <v>0.1</v>
      </c>
      <c r="C457">
        <v>0.1</v>
      </c>
      <c r="D457" t="s">
        <v>2423</v>
      </c>
    </row>
    <row r="458" spans="1:4" x14ac:dyDescent="0.25">
      <c r="A458" t="s">
        <v>1752</v>
      </c>
      <c r="B458">
        <v>0.15</v>
      </c>
      <c r="C458">
        <v>0.1</v>
      </c>
      <c r="D458" t="s">
        <v>2424</v>
      </c>
    </row>
    <row r="459" spans="1:4" x14ac:dyDescent="0.25">
      <c r="A459" t="s">
        <v>1772</v>
      </c>
      <c r="B459">
        <v>0.15</v>
      </c>
      <c r="C459">
        <v>0.15</v>
      </c>
      <c r="D459" t="s">
        <v>2424</v>
      </c>
    </row>
    <row r="460" spans="1:4" x14ac:dyDescent="0.25">
      <c r="A460" t="s">
        <v>1790</v>
      </c>
      <c r="B460">
        <v>0.1</v>
      </c>
      <c r="C460">
        <v>0.1</v>
      </c>
      <c r="D460" t="s">
        <v>2423</v>
      </c>
    </row>
    <row r="461" spans="1:4" x14ac:dyDescent="0.25">
      <c r="A461" t="s">
        <v>1809</v>
      </c>
      <c r="B461">
        <v>0.2</v>
      </c>
      <c r="C461">
        <v>0.15</v>
      </c>
      <c r="D461" t="s">
        <v>2424</v>
      </c>
    </row>
    <row r="462" spans="1:4" x14ac:dyDescent="0.25">
      <c r="A462" t="s">
        <v>1828</v>
      </c>
      <c r="B462">
        <v>0.2</v>
      </c>
      <c r="C462">
        <v>0.15</v>
      </c>
      <c r="D462" t="s">
        <v>2424</v>
      </c>
    </row>
    <row r="463" spans="1:4" x14ac:dyDescent="0.25">
      <c r="A463" t="s">
        <v>1847</v>
      </c>
      <c r="B463">
        <v>0.1</v>
      </c>
      <c r="C463">
        <v>0.1</v>
      </c>
      <c r="D463" t="s">
        <v>2423</v>
      </c>
    </row>
    <row r="464" spans="1:4" x14ac:dyDescent="0.25">
      <c r="A464" t="s">
        <v>1865</v>
      </c>
      <c r="B464">
        <v>0.2</v>
      </c>
      <c r="C464">
        <v>0.15</v>
      </c>
      <c r="D464" t="s">
        <v>2424</v>
      </c>
    </row>
    <row r="465" spans="1:4" x14ac:dyDescent="0.25">
      <c r="A465" t="s">
        <v>1883</v>
      </c>
      <c r="B465">
        <v>0.15</v>
      </c>
      <c r="C465">
        <v>0.1</v>
      </c>
      <c r="D465" t="s">
        <v>2424</v>
      </c>
    </row>
    <row r="466" spans="1:4" x14ac:dyDescent="0.25">
      <c r="A466" t="s">
        <v>1309</v>
      </c>
      <c r="B466">
        <v>0.35</v>
      </c>
      <c r="C466">
        <v>0.35</v>
      </c>
      <c r="D466" t="s">
        <v>2425</v>
      </c>
    </row>
    <row r="467" spans="1:4" x14ac:dyDescent="0.25">
      <c r="A467" t="s">
        <v>1341</v>
      </c>
      <c r="B467">
        <v>0.25</v>
      </c>
      <c r="C467">
        <v>0.25</v>
      </c>
      <c r="D467" t="s">
        <v>2425</v>
      </c>
    </row>
    <row r="468" spans="1:4" x14ac:dyDescent="0.25">
      <c r="A468" t="s">
        <v>1372</v>
      </c>
      <c r="B468">
        <v>0.4</v>
      </c>
      <c r="C468">
        <v>0.4</v>
      </c>
      <c r="D468" t="s">
        <v>2425</v>
      </c>
    </row>
    <row r="469" spans="1:4" x14ac:dyDescent="0.25">
      <c r="A469" t="s">
        <v>1403</v>
      </c>
      <c r="B469">
        <v>0.35</v>
      </c>
      <c r="C469">
        <v>0.35</v>
      </c>
      <c r="D469" t="s">
        <v>2425</v>
      </c>
    </row>
    <row r="470" spans="1:4" x14ac:dyDescent="0.25">
      <c r="A470" t="s">
        <v>1434</v>
      </c>
      <c r="B470">
        <v>0.35</v>
      </c>
      <c r="C470">
        <v>0.3</v>
      </c>
      <c r="D470" t="s">
        <v>2425</v>
      </c>
    </row>
    <row r="471" spans="1:4" x14ac:dyDescent="0.25">
      <c r="A471" t="s">
        <v>1462</v>
      </c>
      <c r="B471">
        <v>0.45</v>
      </c>
      <c r="C471">
        <v>0.4</v>
      </c>
      <c r="D471" t="s">
        <v>2425</v>
      </c>
    </row>
    <row r="472" spans="1:4" x14ac:dyDescent="0.25">
      <c r="A472" t="s">
        <v>1491</v>
      </c>
      <c r="B472">
        <v>0.45</v>
      </c>
      <c r="C472">
        <v>0.4</v>
      </c>
      <c r="D472" t="s">
        <v>2425</v>
      </c>
    </row>
    <row r="473" spans="1:4" x14ac:dyDescent="0.25">
      <c r="A473" t="s">
        <v>1517</v>
      </c>
      <c r="B473">
        <v>0.25</v>
      </c>
      <c r="C473">
        <v>0.3</v>
      </c>
      <c r="D473" t="s">
        <v>2425</v>
      </c>
    </row>
    <row r="474" spans="1:4" x14ac:dyDescent="0.25">
      <c r="A474" t="s">
        <v>1543</v>
      </c>
      <c r="B474">
        <v>0.4</v>
      </c>
      <c r="C474">
        <v>0.4</v>
      </c>
      <c r="D474" t="s">
        <v>2425</v>
      </c>
    </row>
    <row r="475" spans="1:4" x14ac:dyDescent="0.25">
      <c r="A475" t="s">
        <v>1570</v>
      </c>
      <c r="B475">
        <v>0.4</v>
      </c>
      <c r="C475">
        <v>0.4</v>
      </c>
      <c r="D475" t="s">
        <v>2425</v>
      </c>
    </row>
    <row r="476" spans="1:4" x14ac:dyDescent="0.25">
      <c r="A476" t="s">
        <v>1596</v>
      </c>
      <c r="B476">
        <v>0.35</v>
      </c>
      <c r="C476">
        <v>0.35</v>
      </c>
      <c r="D476" t="s">
        <v>2425</v>
      </c>
    </row>
    <row r="477" spans="1:4" x14ac:dyDescent="0.25">
      <c r="A477" t="s">
        <v>1621</v>
      </c>
      <c r="B477">
        <v>0.35</v>
      </c>
      <c r="C477">
        <v>0.35</v>
      </c>
      <c r="D477" t="s">
        <v>2425</v>
      </c>
    </row>
    <row r="478" spans="1:4" x14ac:dyDescent="0.25">
      <c r="A478" t="s">
        <v>1646</v>
      </c>
      <c r="B478">
        <v>0.35</v>
      </c>
      <c r="C478">
        <v>0.35</v>
      </c>
      <c r="D478" t="s">
        <v>2425</v>
      </c>
    </row>
    <row r="479" spans="1:4" x14ac:dyDescent="0.25">
      <c r="A479" t="s">
        <v>1668</v>
      </c>
      <c r="B479">
        <v>0.3</v>
      </c>
      <c r="C479">
        <v>0.3</v>
      </c>
      <c r="D479" t="s">
        <v>2425</v>
      </c>
    </row>
    <row r="480" spans="1:4" x14ac:dyDescent="0.25">
      <c r="A480" t="s">
        <v>1691</v>
      </c>
      <c r="B480">
        <v>0.4</v>
      </c>
      <c r="C480">
        <v>0.4</v>
      </c>
      <c r="D480" t="s">
        <v>2425</v>
      </c>
    </row>
    <row r="481" spans="1:4" x14ac:dyDescent="0.25">
      <c r="A481" t="s">
        <v>1713</v>
      </c>
      <c r="B481">
        <v>0.4</v>
      </c>
      <c r="C481">
        <v>0.4</v>
      </c>
      <c r="D481" t="s">
        <v>2425</v>
      </c>
    </row>
    <row r="482" spans="1:4" x14ac:dyDescent="0.25">
      <c r="A482" t="s">
        <v>1733</v>
      </c>
      <c r="B482">
        <v>0.4</v>
      </c>
      <c r="C482">
        <v>0.4</v>
      </c>
      <c r="D482" t="s">
        <v>2425</v>
      </c>
    </row>
    <row r="483" spans="1:4" x14ac:dyDescent="0.25">
      <c r="A483" t="s">
        <v>1753</v>
      </c>
      <c r="B483">
        <v>0.25</v>
      </c>
      <c r="C483">
        <v>0.35</v>
      </c>
      <c r="D483" t="s">
        <v>2425</v>
      </c>
    </row>
    <row r="484" spans="1:4" x14ac:dyDescent="0.25">
      <c r="A484" t="s">
        <v>1773</v>
      </c>
      <c r="B484">
        <v>0.35</v>
      </c>
      <c r="C484">
        <v>0.35</v>
      </c>
      <c r="D484" t="s">
        <v>2425</v>
      </c>
    </row>
    <row r="485" spans="1:4" x14ac:dyDescent="0.25">
      <c r="A485" t="s">
        <v>1791</v>
      </c>
      <c r="B485">
        <v>0.45</v>
      </c>
      <c r="C485">
        <v>0.4</v>
      </c>
      <c r="D485" t="s">
        <v>2425</v>
      </c>
    </row>
    <row r="486" spans="1:4" x14ac:dyDescent="0.25">
      <c r="A486" t="s">
        <v>1810</v>
      </c>
      <c r="B486">
        <v>0.4</v>
      </c>
      <c r="C486">
        <v>0.4</v>
      </c>
      <c r="D486" t="s">
        <v>2425</v>
      </c>
    </row>
    <row r="487" spans="1:4" x14ac:dyDescent="0.25">
      <c r="A487" t="s">
        <v>1829</v>
      </c>
      <c r="B487">
        <v>0.4</v>
      </c>
      <c r="C487">
        <v>0.35</v>
      </c>
      <c r="D487" t="s">
        <v>2425</v>
      </c>
    </row>
    <row r="488" spans="1:4" x14ac:dyDescent="0.25">
      <c r="A488" t="s">
        <v>1848</v>
      </c>
      <c r="B488">
        <v>0.45</v>
      </c>
      <c r="C488">
        <v>0.4</v>
      </c>
      <c r="D488" t="s">
        <v>2425</v>
      </c>
    </row>
    <row r="489" spans="1:4" x14ac:dyDescent="0.25">
      <c r="A489" t="s">
        <v>1866</v>
      </c>
      <c r="B489">
        <v>0.35</v>
      </c>
      <c r="C489">
        <v>0.35</v>
      </c>
      <c r="D489" t="s">
        <v>2425</v>
      </c>
    </row>
    <row r="490" spans="1:4" x14ac:dyDescent="0.25">
      <c r="A490" t="s">
        <v>1884</v>
      </c>
      <c r="B490">
        <v>0.4</v>
      </c>
      <c r="C490">
        <v>0.4</v>
      </c>
      <c r="D490" t="s">
        <v>2425</v>
      </c>
    </row>
    <row r="491" spans="1:4" x14ac:dyDescent="0.25">
      <c r="A491" t="s">
        <v>1900</v>
      </c>
      <c r="B491">
        <v>0.35</v>
      </c>
      <c r="C491">
        <v>0.35</v>
      </c>
      <c r="D491" t="s">
        <v>2425</v>
      </c>
    </row>
    <row r="492" spans="1:4" x14ac:dyDescent="0.25">
      <c r="A492" t="s">
        <v>1916</v>
      </c>
      <c r="B492">
        <v>0.35</v>
      </c>
      <c r="C492">
        <v>0.3</v>
      </c>
      <c r="D492" t="s">
        <v>2425</v>
      </c>
    </row>
    <row r="493" spans="1:4" x14ac:dyDescent="0.25">
      <c r="A493" t="s">
        <v>1931</v>
      </c>
      <c r="B493">
        <v>0.35</v>
      </c>
      <c r="C493">
        <v>0.35</v>
      </c>
      <c r="D493" t="s">
        <v>2425</v>
      </c>
    </row>
    <row r="494" spans="1:4" x14ac:dyDescent="0.25">
      <c r="A494" t="s">
        <v>1945</v>
      </c>
      <c r="B494">
        <v>0.35</v>
      </c>
      <c r="C494">
        <v>0.35</v>
      </c>
      <c r="D494" t="s">
        <v>2425</v>
      </c>
    </row>
    <row r="495" spans="1:4" x14ac:dyDescent="0.25">
      <c r="A495" t="s">
        <v>1958</v>
      </c>
      <c r="B495">
        <v>0.25</v>
      </c>
      <c r="C495">
        <v>0.25</v>
      </c>
      <c r="D495" t="s">
        <v>2425</v>
      </c>
    </row>
    <row r="496" spans="1:4" x14ac:dyDescent="0.25">
      <c r="A496" t="s">
        <v>1971</v>
      </c>
      <c r="B496">
        <v>0.4</v>
      </c>
      <c r="C496">
        <v>0.4</v>
      </c>
      <c r="D496" t="s">
        <v>2425</v>
      </c>
    </row>
    <row r="497" spans="1:4" x14ac:dyDescent="0.25">
      <c r="A497" t="s">
        <v>1310</v>
      </c>
      <c r="B497">
        <v>0.1</v>
      </c>
      <c r="C497">
        <v>0.15</v>
      </c>
      <c r="D497" t="s">
        <v>2424</v>
      </c>
    </row>
    <row r="498" spans="1:4" x14ac:dyDescent="0.25">
      <c r="A498" t="s">
        <v>1342</v>
      </c>
      <c r="B498">
        <v>0.15</v>
      </c>
      <c r="C498">
        <v>0.15</v>
      </c>
      <c r="D498" t="s">
        <v>2424</v>
      </c>
    </row>
    <row r="499" spans="1:4" x14ac:dyDescent="0.25">
      <c r="A499" t="s">
        <v>1373</v>
      </c>
      <c r="B499">
        <v>0.15</v>
      </c>
      <c r="C499">
        <v>0.2</v>
      </c>
      <c r="D499" t="s">
        <v>2424</v>
      </c>
    </row>
    <row r="500" spans="1:4" x14ac:dyDescent="0.25">
      <c r="A500" t="s">
        <v>1404</v>
      </c>
      <c r="B500">
        <v>0.1</v>
      </c>
      <c r="C500">
        <v>0.2</v>
      </c>
      <c r="D500" t="s">
        <v>2424</v>
      </c>
    </row>
    <row r="501" spans="1:4" x14ac:dyDescent="0.25">
      <c r="A501" t="s">
        <v>1435</v>
      </c>
      <c r="B501">
        <v>0.1</v>
      </c>
      <c r="C501">
        <v>0.15</v>
      </c>
      <c r="D501" t="s">
        <v>2424</v>
      </c>
    </row>
    <row r="502" spans="1:4" x14ac:dyDescent="0.25">
      <c r="A502" t="s">
        <v>1463</v>
      </c>
      <c r="B502">
        <v>0.1</v>
      </c>
      <c r="C502">
        <v>0.15</v>
      </c>
      <c r="D502" t="s">
        <v>2424</v>
      </c>
    </row>
    <row r="503" spans="1:4" x14ac:dyDescent="0.25">
      <c r="A503" t="s">
        <v>1492</v>
      </c>
      <c r="B503">
        <v>0.1</v>
      </c>
      <c r="C503">
        <v>0.15</v>
      </c>
      <c r="D503" t="s">
        <v>2424</v>
      </c>
    </row>
    <row r="504" spans="1:4" x14ac:dyDescent="0.25">
      <c r="A504" t="s">
        <v>1518</v>
      </c>
      <c r="B504">
        <v>0.1</v>
      </c>
      <c r="C504">
        <v>0.15</v>
      </c>
      <c r="D504" t="s">
        <v>2424</v>
      </c>
    </row>
    <row r="505" spans="1:4" x14ac:dyDescent="0.25">
      <c r="A505" t="s">
        <v>1544</v>
      </c>
      <c r="B505">
        <v>0.1</v>
      </c>
      <c r="C505">
        <v>0.15</v>
      </c>
      <c r="D505" t="s">
        <v>2424</v>
      </c>
    </row>
    <row r="506" spans="1:4" x14ac:dyDescent="0.25">
      <c r="A506" t="s">
        <v>1571</v>
      </c>
      <c r="B506">
        <v>0.15</v>
      </c>
      <c r="C506">
        <v>0.2</v>
      </c>
      <c r="D506" t="s">
        <v>2424</v>
      </c>
    </row>
    <row r="507" spans="1:4" x14ac:dyDescent="0.25">
      <c r="A507" t="s">
        <v>1597</v>
      </c>
      <c r="B507">
        <v>0.1</v>
      </c>
      <c r="C507">
        <v>0.15</v>
      </c>
      <c r="D507" t="s">
        <v>2424</v>
      </c>
    </row>
    <row r="508" spans="1:4" x14ac:dyDescent="0.25">
      <c r="A508" t="s">
        <v>1622</v>
      </c>
      <c r="B508">
        <v>0.1</v>
      </c>
      <c r="C508">
        <v>0.2</v>
      </c>
      <c r="D508" t="s">
        <v>2424</v>
      </c>
    </row>
    <row r="509" spans="1:4" x14ac:dyDescent="0.25">
      <c r="A509" t="s">
        <v>1647</v>
      </c>
      <c r="B509">
        <v>0.1</v>
      </c>
      <c r="C509">
        <v>0.15</v>
      </c>
      <c r="D509" t="s">
        <v>2424</v>
      </c>
    </row>
    <row r="510" spans="1:4" x14ac:dyDescent="0.25">
      <c r="A510" t="s">
        <v>1669</v>
      </c>
      <c r="B510">
        <v>0.1</v>
      </c>
      <c r="C510">
        <v>0.15</v>
      </c>
      <c r="D510" t="s">
        <v>2424</v>
      </c>
    </row>
    <row r="511" spans="1:4" x14ac:dyDescent="0.25">
      <c r="A511" t="s">
        <v>1692</v>
      </c>
      <c r="B511">
        <v>0.15</v>
      </c>
      <c r="C511">
        <v>0.2</v>
      </c>
      <c r="D511" t="s">
        <v>2424</v>
      </c>
    </row>
    <row r="512" spans="1:4" x14ac:dyDescent="0.25">
      <c r="A512" t="s">
        <v>1714</v>
      </c>
      <c r="B512">
        <v>0.15</v>
      </c>
      <c r="C512">
        <v>0.2</v>
      </c>
      <c r="D512" t="s">
        <v>2424</v>
      </c>
    </row>
    <row r="513" spans="1:4" x14ac:dyDescent="0.25">
      <c r="A513" t="s">
        <v>1734</v>
      </c>
      <c r="B513">
        <v>0.15</v>
      </c>
      <c r="C513">
        <v>0.15</v>
      </c>
      <c r="D513" t="s">
        <v>2424</v>
      </c>
    </row>
    <row r="514" spans="1:4" x14ac:dyDescent="0.25">
      <c r="A514" t="s">
        <v>1754</v>
      </c>
      <c r="B514">
        <v>0.1</v>
      </c>
      <c r="C514">
        <v>0.2</v>
      </c>
      <c r="D514" t="s">
        <v>2424</v>
      </c>
    </row>
    <row r="515" spans="1:4" x14ac:dyDescent="0.25">
      <c r="A515" t="s">
        <v>1774</v>
      </c>
      <c r="B515">
        <v>0.15</v>
      </c>
      <c r="C515">
        <v>0.2</v>
      </c>
      <c r="D515" t="s">
        <v>2424</v>
      </c>
    </row>
    <row r="516" spans="1:4" x14ac:dyDescent="0.25">
      <c r="A516" t="s">
        <v>1792</v>
      </c>
      <c r="B516">
        <v>0.1</v>
      </c>
      <c r="C516">
        <v>0.15</v>
      </c>
      <c r="D516" t="s">
        <v>2424</v>
      </c>
    </row>
    <row r="517" spans="1:4" x14ac:dyDescent="0.25">
      <c r="A517" t="s">
        <v>1811</v>
      </c>
      <c r="B517">
        <v>0.15</v>
      </c>
      <c r="C517">
        <v>0.15</v>
      </c>
      <c r="D517" t="s">
        <v>2424</v>
      </c>
    </row>
    <row r="518" spans="1:4" x14ac:dyDescent="0.25">
      <c r="A518" t="s">
        <v>1830</v>
      </c>
      <c r="B518">
        <v>0.1</v>
      </c>
      <c r="C518">
        <v>0.15</v>
      </c>
      <c r="D518" t="s">
        <v>2424</v>
      </c>
    </row>
    <row r="519" spans="1:4" x14ac:dyDescent="0.25">
      <c r="A519" t="s">
        <v>1849</v>
      </c>
      <c r="B519">
        <v>0.1</v>
      </c>
      <c r="C519">
        <v>0.15</v>
      </c>
      <c r="D519" t="s">
        <v>2424</v>
      </c>
    </row>
    <row r="520" spans="1:4" x14ac:dyDescent="0.25">
      <c r="A520" t="s">
        <v>1867</v>
      </c>
      <c r="B520">
        <v>0.1</v>
      </c>
      <c r="C520">
        <v>0.15</v>
      </c>
      <c r="D520" t="s">
        <v>2424</v>
      </c>
    </row>
    <row r="521" spans="1:4" x14ac:dyDescent="0.25">
      <c r="A521" t="s">
        <v>1885</v>
      </c>
      <c r="B521">
        <v>0.1</v>
      </c>
      <c r="C521">
        <v>0.15</v>
      </c>
      <c r="D521" t="s">
        <v>2424</v>
      </c>
    </row>
    <row r="522" spans="1:4" x14ac:dyDescent="0.25">
      <c r="A522" t="s">
        <v>1901</v>
      </c>
      <c r="B522">
        <v>0.1</v>
      </c>
      <c r="C522">
        <v>0.15</v>
      </c>
      <c r="D522" t="s">
        <v>2424</v>
      </c>
    </row>
    <row r="523" spans="1:4" x14ac:dyDescent="0.25">
      <c r="A523" t="s">
        <v>1917</v>
      </c>
      <c r="B523">
        <v>0.2</v>
      </c>
      <c r="C523">
        <v>0.2</v>
      </c>
      <c r="D523" t="s">
        <v>2424</v>
      </c>
    </row>
    <row r="524" spans="1:4" x14ac:dyDescent="0.25">
      <c r="A524" t="s">
        <v>1932</v>
      </c>
      <c r="B524">
        <v>0.15</v>
      </c>
      <c r="C524">
        <v>0.2</v>
      </c>
      <c r="D524" t="s">
        <v>2424</v>
      </c>
    </row>
    <row r="525" spans="1:4" x14ac:dyDescent="0.25">
      <c r="A525" t="s">
        <v>1311</v>
      </c>
      <c r="B525">
        <v>0.2</v>
      </c>
      <c r="C525">
        <v>0.2</v>
      </c>
      <c r="D525" t="s">
        <v>2424</v>
      </c>
    </row>
    <row r="526" spans="1:4" x14ac:dyDescent="0.25">
      <c r="A526" t="s">
        <v>1343</v>
      </c>
      <c r="B526">
        <v>0.15</v>
      </c>
      <c r="C526">
        <v>0.2</v>
      </c>
      <c r="D526" t="s">
        <v>2424</v>
      </c>
    </row>
    <row r="527" spans="1:4" x14ac:dyDescent="0.25">
      <c r="A527" t="s">
        <v>1374</v>
      </c>
      <c r="B527">
        <v>0.15</v>
      </c>
      <c r="C527">
        <v>0.2</v>
      </c>
      <c r="D527" t="s">
        <v>2424</v>
      </c>
    </row>
    <row r="528" spans="1:4" x14ac:dyDescent="0.25">
      <c r="A528" t="s">
        <v>1405</v>
      </c>
      <c r="B528">
        <v>0.15</v>
      </c>
      <c r="C528">
        <v>0.2</v>
      </c>
      <c r="D528" t="s">
        <v>2424</v>
      </c>
    </row>
    <row r="529" spans="1:4" x14ac:dyDescent="0.25">
      <c r="A529" t="s">
        <v>1436</v>
      </c>
      <c r="B529">
        <v>0.2</v>
      </c>
      <c r="C529">
        <v>0.2</v>
      </c>
      <c r="D529" t="s">
        <v>2424</v>
      </c>
    </row>
    <row r="530" spans="1:4" x14ac:dyDescent="0.25">
      <c r="A530" t="s">
        <v>1464</v>
      </c>
      <c r="B530">
        <v>0.2</v>
      </c>
      <c r="C530">
        <v>0.2</v>
      </c>
      <c r="D530" t="s">
        <v>2424</v>
      </c>
    </row>
    <row r="531" spans="1:4" x14ac:dyDescent="0.25">
      <c r="A531" t="s">
        <v>1493</v>
      </c>
      <c r="B531">
        <v>0.2</v>
      </c>
      <c r="C531">
        <v>0.2</v>
      </c>
      <c r="D531" t="s">
        <v>2424</v>
      </c>
    </row>
    <row r="532" spans="1:4" x14ac:dyDescent="0.25">
      <c r="A532" t="s">
        <v>1519</v>
      </c>
      <c r="B532">
        <v>0.15</v>
      </c>
      <c r="C532">
        <v>0.2</v>
      </c>
      <c r="D532" t="s">
        <v>2424</v>
      </c>
    </row>
    <row r="533" spans="1:4" x14ac:dyDescent="0.25">
      <c r="A533" t="s">
        <v>1545</v>
      </c>
      <c r="B533">
        <v>0.15</v>
      </c>
      <c r="C533">
        <v>0.2</v>
      </c>
      <c r="D533" t="s">
        <v>2424</v>
      </c>
    </row>
    <row r="534" spans="1:4" x14ac:dyDescent="0.25">
      <c r="A534" t="s">
        <v>1572</v>
      </c>
      <c r="B534">
        <v>0.25</v>
      </c>
      <c r="C534">
        <v>0.25</v>
      </c>
      <c r="D534" t="s">
        <v>2425</v>
      </c>
    </row>
    <row r="535" spans="1:4" x14ac:dyDescent="0.25">
      <c r="A535" t="s">
        <v>1598</v>
      </c>
      <c r="B535">
        <v>0.15</v>
      </c>
      <c r="C535">
        <v>0.2</v>
      </c>
      <c r="D535" t="s">
        <v>2424</v>
      </c>
    </row>
    <row r="536" spans="1:4" x14ac:dyDescent="0.25">
      <c r="A536" t="s">
        <v>1623</v>
      </c>
      <c r="B536">
        <v>0.15</v>
      </c>
      <c r="C536">
        <v>0.2</v>
      </c>
      <c r="D536" t="s">
        <v>2424</v>
      </c>
    </row>
    <row r="537" spans="1:4" x14ac:dyDescent="0.25">
      <c r="A537" t="s">
        <v>1648</v>
      </c>
      <c r="B537">
        <v>0.15</v>
      </c>
      <c r="C537">
        <v>0.2</v>
      </c>
      <c r="D537" t="s">
        <v>2424</v>
      </c>
    </row>
    <row r="538" spans="1:4" x14ac:dyDescent="0.25">
      <c r="A538" t="s">
        <v>1670</v>
      </c>
      <c r="B538">
        <v>0.25</v>
      </c>
      <c r="C538">
        <v>0.25</v>
      </c>
      <c r="D538" t="s">
        <v>2425</v>
      </c>
    </row>
    <row r="539" spans="1:4" x14ac:dyDescent="0.25">
      <c r="A539" t="s">
        <v>1693</v>
      </c>
      <c r="B539">
        <v>0.15</v>
      </c>
      <c r="C539">
        <v>0.15</v>
      </c>
      <c r="D539" t="s">
        <v>2424</v>
      </c>
    </row>
    <row r="540" spans="1:4" x14ac:dyDescent="0.25">
      <c r="A540" t="s">
        <v>1715</v>
      </c>
      <c r="B540">
        <v>0.15</v>
      </c>
      <c r="C540">
        <v>0.2</v>
      </c>
      <c r="D540" t="s">
        <v>2424</v>
      </c>
    </row>
    <row r="541" spans="1:4" x14ac:dyDescent="0.25">
      <c r="A541" t="s">
        <v>1735</v>
      </c>
      <c r="B541">
        <v>0.15</v>
      </c>
      <c r="C541">
        <v>0.2</v>
      </c>
      <c r="D541" t="s">
        <v>2424</v>
      </c>
    </row>
    <row r="542" spans="1:4" x14ac:dyDescent="0.25">
      <c r="A542" t="s">
        <v>1755</v>
      </c>
      <c r="B542">
        <v>0.2</v>
      </c>
      <c r="C542">
        <v>0.25</v>
      </c>
      <c r="D542" t="s">
        <v>2425</v>
      </c>
    </row>
    <row r="543" spans="1:4" x14ac:dyDescent="0.25">
      <c r="A543" t="s">
        <v>1775</v>
      </c>
      <c r="B543">
        <v>0.2</v>
      </c>
      <c r="C543">
        <v>0.25</v>
      </c>
      <c r="D543" t="s">
        <v>2425</v>
      </c>
    </row>
    <row r="544" spans="1:4" x14ac:dyDescent="0.25">
      <c r="A544" t="s">
        <v>1793</v>
      </c>
      <c r="B544">
        <v>0.15</v>
      </c>
      <c r="C544">
        <v>0.2</v>
      </c>
      <c r="D544" t="s">
        <v>2424</v>
      </c>
    </row>
    <row r="545" spans="1:4" x14ac:dyDescent="0.25">
      <c r="A545" t="s">
        <v>1812</v>
      </c>
      <c r="B545">
        <v>0.15</v>
      </c>
      <c r="C545">
        <v>0.2</v>
      </c>
      <c r="D545" t="s">
        <v>2424</v>
      </c>
    </row>
    <row r="546" spans="1:4" x14ac:dyDescent="0.25">
      <c r="A546" t="s">
        <v>1831</v>
      </c>
      <c r="B546">
        <v>0.15</v>
      </c>
      <c r="C546">
        <v>0.2</v>
      </c>
      <c r="D546" t="s">
        <v>2424</v>
      </c>
    </row>
    <row r="547" spans="1:4" x14ac:dyDescent="0.25">
      <c r="A547" t="s">
        <v>1850</v>
      </c>
      <c r="B547">
        <v>0.15</v>
      </c>
      <c r="C547">
        <v>0.2</v>
      </c>
      <c r="D547" t="s">
        <v>2424</v>
      </c>
    </row>
    <row r="548" spans="1:4" x14ac:dyDescent="0.25">
      <c r="A548" t="s">
        <v>1868</v>
      </c>
      <c r="B548">
        <v>0.15</v>
      </c>
      <c r="C548">
        <v>0.2</v>
      </c>
      <c r="D548" t="s">
        <v>2424</v>
      </c>
    </row>
    <row r="549" spans="1:4" x14ac:dyDescent="0.25">
      <c r="A549" t="s">
        <v>1886</v>
      </c>
      <c r="B549">
        <v>0.15</v>
      </c>
      <c r="C549">
        <v>0.2</v>
      </c>
      <c r="D549" t="s">
        <v>2424</v>
      </c>
    </row>
    <row r="550" spans="1:4" x14ac:dyDescent="0.25">
      <c r="A550" t="s">
        <v>1902</v>
      </c>
      <c r="B550">
        <v>0.15</v>
      </c>
      <c r="C550">
        <v>0.2</v>
      </c>
      <c r="D550" t="s">
        <v>2424</v>
      </c>
    </row>
    <row r="551" spans="1:4" x14ac:dyDescent="0.25">
      <c r="A551" t="s">
        <v>1918</v>
      </c>
      <c r="B551">
        <v>0.15</v>
      </c>
      <c r="C551">
        <v>0.2</v>
      </c>
      <c r="D551" t="s">
        <v>2424</v>
      </c>
    </row>
    <row r="552" spans="1:4" x14ac:dyDescent="0.25">
      <c r="A552" t="s">
        <v>1933</v>
      </c>
      <c r="B552">
        <v>0.25</v>
      </c>
      <c r="C552">
        <v>0.25</v>
      </c>
      <c r="D552" t="s">
        <v>2425</v>
      </c>
    </row>
    <row r="553" spans="1:4" x14ac:dyDescent="0.25">
      <c r="A553" t="s">
        <v>1946</v>
      </c>
      <c r="B553">
        <v>0.25</v>
      </c>
      <c r="C553">
        <v>0.25</v>
      </c>
      <c r="D553" t="s">
        <v>2425</v>
      </c>
    </row>
    <row r="554" spans="1:4" x14ac:dyDescent="0.25">
      <c r="A554" t="s">
        <v>1959</v>
      </c>
      <c r="B554">
        <v>0.15</v>
      </c>
      <c r="C554">
        <v>0.2</v>
      </c>
      <c r="D554" t="s">
        <v>2424</v>
      </c>
    </row>
    <row r="555" spans="1:4" x14ac:dyDescent="0.25">
      <c r="A555" t="s">
        <v>1972</v>
      </c>
      <c r="B555">
        <v>0.15</v>
      </c>
      <c r="C555">
        <v>0.2</v>
      </c>
      <c r="D555" t="s">
        <v>2424</v>
      </c>
    </row>
    <row r="556" spans="1:4" x14ac:dyDescent="0.25">
      <c r="A556" t="s">
        <v>1983</v>
      </c>
      <c r="B556">
        <v>0.2</v>
      </c>
      <c r="C556">
        <v>0.2</v>
      </c>
      <c r="D556" t="s">
        <v>2424</v>
      </c>
    </row>
    <row r="557" spans="1:4" x14ac:dyDescent="0.25">
      <c r="A557" t="s">
        <v>1994</v>
      </c>
      <c r="B557">
        <v>0.3</v>
      </c>
      <c r="C557">
        <v>0.25</v>
      </c>
      <c r="D557" t="s">
        <v>2425</v>
      </c>
    </row>
    <row r="558" spans="1:4" x14ac:dyDescent="0.25">
      <c r="A558" t="s">
        <v>2005</v>
      </c>
      <c r="B558">
        <v>0.15</v>
      </c>
      <c r="C558">
        <v>0.2</v>
      </c>
      <c r="D558" t="s">
        <v>2424</v>
      </c>
    </row>
    <row r="559" spans="1:4" x14ac:dyDescent="0.25">
      <c r="A559" t="s">
        <v>2016</v>
      </c>
      <c r="B559">
        <v>0.2</v>
      </c>
      <c r="C559">
        <v>0.25</v>
      </c>
      <c r="D559" t="s">
        <v>2425</v>
      </c>
    </row>
    <row r="560" spans="1:4" x14ac:dyDescent="0.25">
      <c r="A560" t="s">
        <v>2026</v>
      </c>
      <c r="B560">
        <v>0.25</v>
      </c>
      <c r="C560">
        <v>0.25</v>
      </c>
      <c r="D560" t="s">
        <v>2425</v>
      </c>
    </row>
    <row r="561" spans="1:4" x14ac:dyDescent="0.25">
      <c r="A561" t="s">
        <v>2037</v>
      </c>
      <c r="B561">
        <v>0.2</v>
      </c>
      <c r="C561">
        <v>0.2</v>
      </c>
      <c r="D561" t="s">
        <v>2424</v>
      </c>
    </row>
    <row r="562" spans="1:4" x14ac:dyDescent="0.25">
      <c r="A562" t="s">
        <v>2048</v>
      </c>
      <c r="B562">
        <v>0.15</v>
      </c>
      <c r="C562">
        <v>0.2</v>
      </c>
      <c r="D562" t="s">
        <v>2424</v>
      </c>
    </row>
    <row r="563" spans="1:4" x14ac:dyDescent="0.25">
      <c r="A563" t="s">
        <v>2058</v>
      </c>
      <c r="B563">
        <v>0.1</v>
      </c>
      <c r="C563">
        <v>0.2</v>
      </c>
      <c r="D563" t="s">
        <v>2424</v>
      </c>
    </row>
    <row r="564" spans="1:4" x14ac:dyDescent="0.25">
      <c r="A564" t="s">
        <v>2068</v>
      </c>
      <c r="B564">
        <v>0.15</v>
      </c>
      <c r="C564">
        <v>0.2</v>
      </c>
      <c r="D564" t="s">
        <v>2424</v>
      </c>
    </row>
    <row r="565" spans="1:4" x14ac:dyDescent="0.25">
      <c r="A565" t="s">
        <v>2078</v>
      </c>
      <c r="B565">
        <v>0.15</v>
      </c>
      <c r="C565">
        <v>0.25</v>
      </c>
      <c r="D565" t="s">
        <v>2425</v>
      </c>
    </row>
    <row r="566" spans="1:4" x14ac:dyDescent="0.25">
      <c r="A566" t="s">
        <v>2086</v>
      </c>
      <c r="B566">
        <v>0.2</v>
      </c>
      <c r="C566">
        <v>0.2</v>
      </c>
      <c r="D566" t="s">
        <v>2424</v>
      </c>
    </row>
    <row r="567" spans="1:4" x14ac:dyDescent="0.25">
      <c r="A567" t="s">
        <v>2094</v>
      </c>
      <c r="B567">
        <v>0.15</v>
      </c>
      <c r="C567">
        <v>0.2</v>
      </c>
      <c r="D567" t="s">
        <v>2424</v>
      </c>
    </row>
    <row r="568" spans="1:4" x14ac:dyDescent="0.25">
      <c r="A568" t="s">
        <v>2101</v>
      </c>
      <c r="B568">
        <v>0.15</v>
      </c>
      <c r="C568">
        <v>0.2</v>
      </c>
      <c r="D568" t="s">
        <v>2424</v>
      </c>
    </row>
    <row r="569" spans="1:4" x14ac:dyDescent="0.25">
      <c r="A569" t="s">
        <v>2108</v>
      </c>
      <c r="B569">
        <v>0.3</v>
      </c>
      <c r="C569">
        <v>0.25</v>
      </c>
      <c r="D569" t="s">
        <v>2425</v>
      </c>
    </row>
    <row r="570" spans="1:4" x14ac:dyDescent="0.25">
      <c r="A570" t="s">
        <v>2114</v>
      </c>
      <c r="B570">
        <v>0.25</v>
      </c>
      <c r="C570">
        <v>0.25</v>
      </c>
      <c r="D570" t="s">
        <v>2425</v>
      </c>
    </row>
    <row r="571" spans="1:4" x14ac:dyDescent="0.25">
      <c r="A571" t="s">
        <v>2120</v>
      </c>
      <c r="B571">
        <v>0.2</v>
      </c>
      <c r="C571">
        <v>0.2</v>
      </c>
      <c r="D571" t="s">
        <v>2424</v>
      </c>
    </row>
    <row r="572" spans="1:4" x14ac:dyDescent="0.25">
      <c r="A572" t="s">
        <v>2126</v>
      </c>
      <c r="B572">
        <v>0.2</v>
      </c>
      <c r="C572">
        <v>0.25</v>
      </c>
      <c r="D572" t="s">
        <v>2425</v>
      </c>
    </row>
    <row r="573" spans="1:4" x14ac:dyDescent="0.25">
      <c r="A573" t="s">
        <v>2131</v>
      </c>
      <c r="B573">
        <v>0.15</v>
      </c>
      <c r="C573">
        <v>0.25</v>
      </c>
      <c r="D573" t="s">
        <v>2425</v>
      </c>
    </row>
    <row r="574" spans="1:4" x14ac:dyDescent="0.25">
      <c r="A574" t="s">
        <v>2136</v>
      </c>
      <c r="B574">
        <v>0.15</v>
      </c>
      <c r="C574">
        <v>0.2</v>
      </c>
      <c r="D574" t="s">
        <v>2424</v>
      </c>
    </row>
    <row r="575" spans="1:4" x14ac:dyDescent="0.25">
      <c r="A575" t="s">
        <v>2141</v>
      </c>
      <c r="B575">
        <v>0.15</v>
      </c>
      <c r="C575">
        <v>0.2</v>
      </c>
      <c r="D575" t="s">
        <v>2424</v>
      </c>
    </row>
    <row r="576" spans="1:4" x14ac:dyDescent="0.25">
      <c r="A576" t="s">
        <v>2146</v>
      </c>
      <c r="B576">
        <v>0.15</v>
      </c>
      <c r="C576">
        <v>0.2</v>
      </c>
      <c r="D576" t="s">
        <v>2424</v>
      </c>
    </row>
    <row r="577" spans="1:4" x14ac:dyDescent="0.25">
      <c r="A577" t="s">
        <v>2426</v>
      </c>
      <c r="B577">
        <v>0.15</v>
      </c>
      <c r="C577">
        <v>0.2</v>
      </c>
      <c r="D577" t="s">
        <v>2424</v>
      </c>
    </row>
    <row r="578" spans="1:4" x14ac:dyDescent="0.25">
      <c r="A578" t="s">
        <v>2156</v>
      </c>
      <c r="B578">
        <v>0.15</v>
      </c>
      <c r="C578">
        <v>0.2</v>
      </c>
      <c r="D578" t="s">
        <v>2424</v>
      </c>
    </row>
    <row r="579" spans="1:4" x14ac:dyDescent="0.25">
      <c r="A579" t="s">
        <v>2161</v>
      </c>
      <c r="B579">
        <v>0.2</v>
      </c>
      <c r="C579">
        <v>0.25</v>
      </c>
      <c r="D579" t="s">
        <v>2425</v>
      </c>
    </row>
    <row r="580" spans="1:4" x14ac:dyDescent="0.25">
      <c r="A580" t="s">
        <v>2166</v>
      </c>
      <c r="B580">
        <v>0.15</v>
      </c>
      <c r="C580">
        <v>0.2</v>
      </c>
      <c r="D580" t="s">
        <v>2424</v>
      </c>
    </row>
    <row r="581" spans="1:4" x14ac:dyDescent="0.25">
      <c r="A581" t="s">
        <v>2171</v>
      </c>
      <c r="B581">
        <v>0.2</v>
      </c>
      <c r="C581">
        <v>0.25</v>
      </c>
      <c r="D581" t="s">
        <v>2425</v>
      </c>
    </row>
    <row r="582" spans="1:4" x14ac:dyDescent="0.25">
      <c r="A582" t="s">
        <v>2176</v>
      </c>
      <c r="B582">
        <v>0.35</v>
      </c>
      <c r="C582">
        <v>0.25</v>
      </c>
      <c r="D582" t="s">
        <v>2425</v>
      </c>
    </row>
    <row r="583" spans="1:4" x14ac:dyDescent="0.25">
      <c r="A583" t="s">
        <v>2181</v>
      </c>
      <c r="B583">
        <v>0.15</v>
      </c>
      <c r="C583">
        <v>0.2</v>
      </c>
      <c r="D583" t="s">
        <v>2424</v>
      </c>
    </row>
    <row r="584" spans="1:4" x14ac:dyDescent="0.25">
      <c r="A584" t="s">
        <v>2186</v>
      </c>
      <c r="B584">
        <v>0.2</v>
      </c>
      <c r="C584">
        <v>0.2</v>
      </c>
      <c r="D584" t="s">
        <v>2424</v>
      </c>
    </row>
    <row r="585" spans="1:4" x14ac:dyDescent="0.25">
      <c r="A585" t="s">
        <v>2191</v>
      </c>
      <c r="B585">
        <v>0.15</v>
      </c>
      <c r="C585">
        <v>0.2</v>
      </c>
      <c r="D585" t="s">
        <v>2424</v>
      </c>
    </row>
    <row r="586" spans="1:4" x14ac:dyDescent="0.25">
      <c r="A586" t="s">
        <v>2196</v>
      </c>
      <c r="B586">
        <v>0.2</v>
      </c>
      <c r="C586">
        <v>0.2</v>
      </c>
      <c r="D586" t="s">
        <v>2424</v>
      </c>
    </row>
    <row r="587" spans="1:4" x14ac:dyDescent="0.25">
      <c r="A587" t="s">
        <v>2201</v>
      </c>
      <c r="B587">
        <v>0.15</v>
      </c>
      <c r="C587">
        <v>0.2</v>
      </c>
      <c r="D587" t="s">
        <v>2424</v>
      </c>
    </row>
    <row r="588" spans="1:4" x14ac:dyDescent="0.25">
      <c r="A588" t="s">
        <v>2206</v>
      </c>
      <c r="B588">
        <v>0.15</v>
      </c>
      <c r="C588">
        <v>0.2</v>
      </c>
      <c r="D588" t="s">
        <v>2424</v>
      </c>
    </row>
    <row r="589" spans="1:4" x14ac:dyDescent="0.25">
      <c r="A589" t="s">
        <v>2210</v>
      </c>
      <c r="B589">
        <v>0.15</v>
      </c>
      <c r="C589">
        <v>0.2</v>
      </c>
      <c r="D589" t="s">
        <v>2424</v>
      </c>
    </row>
    <row r="590" spans="1:4" x14ac:dyDescent="0.25">
      <c r="A590" t="s">
        <v>2214</v>
      </c>
      <c r="B590">
        <v>0.15</v>
      </c>
      <c r="C590">
        <v>0.15</v>
      </c>
      <c r="D590" t="s">
        <v>2424</v>
      </c>
    </row>
    <row r="591" spans="1:4" x14ac:dyDescent="0.25">
      <c r="A591" t="s">
        <v>2218</v>
      </c>
      <c r="B591">
        <v>0.2</v>
      </c>
      <c r="C591">
        <v>0.2</v>
      </c>
      <c r="D591" t="s">
        <v>2424</v>
      </c>
    </row>
    <row r="592" spans="1:4" x14ac:dyDescent="0.25">
      <c r="A592" t="s">
        <v>2222</v>
      </c>
      <c r="B592">
        <v>0.3</v>
      </c>
      <c r="C592">
        <v>0.25</v>
      </c>
      <c r="D592" t="s">
        <v>2425</v>
      </c>
    </row>
    <row r="593" spans="1:4" x14ac:dyDescent="0.25">
      <c r="A593" t="s">
        <v>2226</v>
      </c>
      <c r="B593">
        <v>0.2</v>
      </c>
      <c r="C593">
        <v>0.2</v>
      </c>
      <c r="D593" t="s">
        <v>2424</v>
      </c>
    </row>
    <row r="594" spans="1:4" x14ac:dyDescent="0.25">
      <c r="A594" t="s">
        <v>2230</v>
      </c>
      <c r="B594">
        <v>0.15</v>
      </c>
      <c r="C594">
        <v>0.2</v>
      </c>
      <c r="D594" t="s">
        <v>2424</v>
      </c>
    </row>
    <row r="595" spans="1:4" x14ac:dyDescent="0.25">
      <c r="A595" t="s">
        <v>2234</v>
      </c>
      <c r="B595">
        <v>0.2</v>
      </c>
      <c r="C595">
        <v>0.2</v>
      </c>
      <c r="D595" t="s">
        <v>2424</v>
      </c>
    </row>
    <row r="596" spans="1:4" x14ac:dyDescent="0.25">
      <c r="A596" t="s">
        <v>2237</v>
      </c>
      <c r="B596">
        <v>0.15</v>
      </c>
      <c r="C596">
        <v>0.2</v>
      </c>
      <c r="D596" t="s">
        <v>2424</v>
      </c>
    </row>
    <row r="597" spans="1:4" x14ac:dyDescent="0.25">
      <c r="A597" t="s">
        <v>2241</v>
      </c>
      <c r="B597">
        <v>0.25</v>
      </c>
      <c r="C597">
        <v>0.25</v>
      </c>
      <c r="D597" t="s">
        <v>2425</v>
      </c>
    </row>
    <row r="598" spans="1:4" x14ac:dyDescent="0.25">
      <c r="A598" t="s">
        <v>2245</v>
      </c>
      <c r="B598">
        <v>0.15</v>
      </c>
      <c r="C598">
        <v>0.2</v>
      </c>
      <c r="D598" t="s">
        <v>2424</v>
      </c>
    </row>
    <row r="599" spans="1:4" x14ac:dyDescent="0.25">
      <c r="A599" t="s">
        <v>2249</v>
      </c>
      <c r="B599">
        <v>0.2</v>
      </c>
      <c r="C599">
        <v>0.2</v>
      </c>
      <c r="D599" t="s">
        <v>2424</v>
      </c>
    </row>
    <row r="600" spans="1:4" x14ac:dyDescent="0.25">
      <c r="A600" t="s">
        <v>2253</v>
      </c>
      <c r="B600">
        <v>0.15</v>
      </c>
      <c r="C600">
        <v>0.2</v>
      </c>
      <c r="D600" t="s">
        <v>2424</v>
      </c>
    </row>
    <row r="601" spans="1:4" x14ac:dyDescent="0.25">
      <c r="A601" t="s">
        <v>2257</v>
      </c>
      <c r="B601">
        <v>0.25</v>
      </c>
      <c r="C601">
        <v>0.2</v>
      </c>
      <c r="D601" t="s">
        <v>2425</v>
      </c>
    </row>
    <row r="602" spans="1:4" x14ac:dyDescent="0.25">
      <c r="A602" t="s">
        <v>2261</v>
      </c>
      <c r="B602">
        <v>0.15</v>
      </c>
      <c r="C602">
        <v>0.15</v>
      </c>
      <c r="D602" t="s">
        <v>2424</v>
      </c>
    </row>
    <row r="603" spans="1:4" x14ac:dyDescent="0.25">
      <c r="A603" t="s">
        <v>2265</v>
      </c>
      <c r="B603">
        <v>0.15</v>
      </c>
      <c r="C603">
        <v>0.2</v>
      </c>
      <c r="D603" t="s">
        <v>2424</v>
      </c>
    </row>
    <row r="604" spans="1:4" x14ac:dyDescent="0.25">
      <c r="A604" t="s">
        <v>2269</v>
      </c>
      <c r="B604">
        <v>0.2</v>
      </c>
      <c r="C604">
        <v>0.2</v>
      </c>
      <c r="D604" t="s">
        <v>2424</v>
      </c>
    </row>
    <row r="605" spans="1:4" x14ac:dyDescent="0.25">
      <c r="A605" t="s">
        <v>2273</v>
      </c>
      <c r="B605">
        <v>0.15</v>
      </c>
      <c r="C605">
        <v>0.2</v>
      </c>
      <c r="D605" t="s">
        <v>2424</v>
      </c>
    </row>
    <row r="606" spans="1:4" x14ac:dyDescent="0.25">
      <c r="A606" t="s">
        <v>2277</v>
      </c>
      <c r="B606">
        <v>0.15</v>
      </c>
      <c r="C606">
        <v>0.2</v>
      </c>
      <c r="D606" t="s">
        <v>2424</v>
      </c>
    </row>
    <row r="607" spans="1:4" x14ac:dyDescent="0.25">
      <c r="A607" t="s">
        <v>2281</v>
      </c>
      <c r="B607">
        <v>0.15</v>
      </c>
      <c r="C607">
        <v>0.2</v>
      </c>
      <c r="D607" t="s">
        <v>2424</v>
      </c>
    </row>
    <row r="608" spans="1:4" x14ac:dyDescent="0.25">
      <c r="A608" t="s">
        <v>2285</v>
      </c>
      <c r="B608">
        <v>0.2</v>
      </c>
      <c r="C608">
        <v>0.2</v>
      </c>
      <c r="D608" t="s">
        <v>2424</v>
      </c>
    </row>
    <row r="609" spans="1:4" x14ac:dyDescent="0.25">
      <c r="A609" t="s">
        <v>2289</v>
      </c>
      <c r="B609">
        <v>0.15</v>
      </c>
      <c r="C609">
        <v>0.15</v>
      </c>
      <c r="D609" t="s">
        <v>2424</v>
      </c>
    </row>
    <row r="610" spans="1:4" x14ac:dyDescent="0.25">
      <c r="A610" t="s">
        <v>2293</v>
      </c>
      <c r="B610">
        <v>0.15</v>
      </c>
      <c r="C610">
        <v>0.2</v>
      </c>
      <c r="D610" t="s">
        <v>2424</v>
      </c>
    </row>
    <row r="611" spans="1:4" x14ac:dyDescent="0.25">
      <c r="A611" t="s">
        <v>2297</v>
      </c>
      <c r="B611">
        <v>0.15</v>
      </c>
      <c r="C611">
        <v>0.2</v>
      </c>
      <c r="D611" t="s">
        <v>2424</v>
      </c>
    </row>
    <row r="612" spans="1:4" x14ac:dyDescent="0.25">
      <c r="A612" t="s">
        <v>2301</v>
      </c>
      <c r="B612">
        <v>0.15</v>
      </c>
      <c r="C612">
        <v>0.2</v>
      </c>
      <c r="D612" t="s">
        <v>2424</v>
      </c>
    </row>
    <row r="613" spans="1:4" x14ac:dyDescent="0.25">
      <c r="A613" t="s">
        <v>2304</v>
      </c>
      <c r="B613">
        <v>0.15</v>
      </c>
      <c r="C613">
        <v>0.2</v>
      </c>
      <c r="D613" t="s">
        <v>2424</v>
      </c>
    </row>
    <row r="614" spans="1:4" x14ac:dyDescent="0.25">
      <c r="A614" t="s">
        <v>2307</v>
      </c>
      <c r="B614">
        <v>0.15</v>
      </c>
      <c r="C614">
        <v>0.2</v>
      </c>
      <c r="D614" t="s">
        <v>2424</v>
      </c>
    </row>
    <row r="615" spans="1:4" x14ac:dyDescent="0.25">
      <c r="A615" t="s">
        <v>2310</v>
      </c>
      <c r="B615">
        <v>0.15</v>
      </c>
      <c r="C615">
        <v>0.2</v>
      </c>
      <c r="D615" t="s">
        <v>2424</v>
      </c>
    </row>
    <row r="616" spans="1:4" x14ac:dyDescent="0.25">
      <c r="A616" t="s">
        <v>2313</v>
      </c>
      <c r="B616">
        <v>0.15</v>
      </c>
      <c r="C616">
        <v>0.2</v>
      </c>
      <c r="D616" t="s">
        <v>2424</v>
      </c>
    </row>
    <row r="617" spans="1:4" x14ac:dyDescent="0.25">
      <c r="A617" t="s">
        <v>2316</v>
      </c>
      <c r="B617">
        <v>0.15</v>
      </c>
      <c r="C617">
        <v>0.2</v>
      </c>
      <c r="D617" t="s">
        <v>2424</v>
      </c>
    </row>
    <row r="618" spans="1:4" x14ac:dyDescent="0.25">
      <c r="A618" t="s">
        <v>2319</v>
      </c>
      <c r="B618">
        <v>0.15</v>
      </c>
      <c r="C618">
        <v>0.2</v>
      </c>
      <c r="D618" t="s">
        <v>2424</v>
      </c>
    </row>
    <row r="619" spans="1:4" x14ac:dyDescent="0.25">
      <c r="A619" t="s">
        <v>2322</v>
      </c>
      <c r="B619">
        <v>0.15</v>
      </c>
      <c r="C619">
        <v>0.2</v>
      </c>
      <c r="D619" t="s">
        <v>2424</v>
      </c>
    </row>
    <row r="620" spans="1:4" x14ac:dyDescent="0.25">
      <c r="A620" t="s">
        <v>2325</v>
      </c>
      <c r="B620">
        <v>0.15</v>
      </c>
      <c r="C620">
        <v>0.2</v>
      </c>
      <c r="D620" t="s">
        <v>2424</v>
      </c>
    </row>
    <row r="621" spans="1:4" x14ac:dyDescent="0.25">
      <c r="A621" t="s">
        <v>2328</v>
      </c>
      <c r="B621">
        <v>0.2</v>
      </c>
      <c r="C621">
        <v>0.2</v>
      </c>
      <c r="D621" t="s">
        <v>2424</v>
      </c>
    </row>
    <row r="622" spans="1:4" x14ac:dyDescent="0.25">
      <c r="A622" t="s">
        <v>2331</v>
      </c>
      <c r="B622">
        <v>0.2</v>
      </c>
      <c r="C622">
        <v>0.25</v>
      </c>
      <c r="D622" t="s">
        <v>2425</v>
      </c>
    </row>
    <row r="623" spans="1:4" x14ac:dyDescent="0.25">
      <c r="A623" t="s">
        <v>2334</v>
      </c>
      <c r="B623">
        <v>0.2</v>
      </c>
      <c r="C623">
        <v>0.2</v>
      </c>
      <c r="D623" t="s">
        <v>2424</v>
      </c>
    </row>
    <row r="624" spans="1:4" x14ac:dyDescent="0.25">
      <c r="A624" t="s">
        <v>2337</v>
      </c>
      <c r="B624">
        <v>0.15</v>
      </c>
      <c r="C624">
        <v>0.2</v>
      </c>
      <c r="D624" t="s">
        <v>2424</v>
      </c>
    </row>
    <row r="625" spans="1:4" x14ac:dyDescent="0.25">
      <c r="A625" t="s">
        <v>2340</v>
      </c>
      <c r="B625">
        <v>0.15</v>
      </c>
      <c r="C625">
        <v>0.15</v>
      </c>
      <c r="D625" t="s">
        <v>2424</v>
      </c>
    </row>
    <row r="626" spans="1:4" x14ac:dyDescent="0.25">
      <c r="A626" t="s">
        <v>2343</v>
      </c>
      <c r="B626">
        <v>0.25</v>
      </c>
      <c r="C626">
        <v>0.25</v>
      </c>
      <c r="D626" t="s">
        <v>2425</v>
      </c>
    </row>
    <row r="627" spans="1:4" x14ac:dyDescent="0.25">
      <c r="A627" t="s">
        <v>2346</v>
      </c>
      <c r="B627">
        <v>0.2</v>
      </c>
      <c r="C627">
        <v>0.25</v>
      </c>
      <c r="D627" t="s">
        <v>2425</v>
      </c>
    </row>
    <row r="628" spans="1:4" x14ac:dyDescent="0.25">
      <c r="A628" t="s">
        <v>2349</v>
      </c>
      <c r="B628">
        <v>0.15</v>
      </c>
      <c r="C628">
        <v>0.2</v>
      </c>
      <c r="D628" t="s">
        <v>2424</v>
      </c>
    </row>
    <row r="629" spans="1:4" x14ac:dyDescent="0.25">
      <c r="A629" t="s">
        <v>2352</v>
      </c>
      <c r="B629">
        <v>0.2</v>
      </c>
      <c r="C629">
        <v>0.25</v>
      </c>
      <c r="D629" t="s">
        <v>2425</v>
      </c>
    </row>
    <row r="630" spans="1:4" x14ac:dyDescent="0.25">
      <c r="A630" t="s">
        <v>2355</v>
      </c>
      <c r="B630">
        <v>0.15</v>
      </c>
      <c r="C630">
        <v>0.2</v>
      </c>
      <c r="D630" t="s">
        <v>2424</v>
      </c>
    </row>
    <row r="631" spans="1:4" x14ac:dyDescent="0.25">
      <c r="A631" t="s">
        <v>2358</v>
      </c>
      <c r="B631">
        <v>0.25</v>
      </c>
      <c r="C631">
        <v>0.2</v>
      </c>
      <c r="D631" t="s">
        <v>2425</v>
      </c>
    </row>
    <row r="632" spans="1:4" x14ac:dyDescent="0.25">
      <c r="A632" t="s">
        <v>2361</v>
      </c>
      <c r="B632">
        <v>0.15</v>
      </c>
      <c r="C632">
        <v>0.2</v>
      </c>
      <c r="D632" t="s">
        <v>2424</v>
      </c>
    </row>
    <row r="633" spans="1:4" x14ac:dyDescent="0.25">
      <c r="A633" t="s">
        <v>2364</v>
      </c>
      <c r="B633">
        <v>0.15</v>
      </c>
      <c r="C633">
        <v>0.2</v>
      </c>
      <c r="D633" t="s">
        <v>2424</v>
      </c>
    </row>
    <row r="634" spans="1:4" x14ac:dyDescent="0.25">
      <c r="A634" t="s">
        <v>2367</v>
      </c>
      <c r="B634">
        <v>0.15</v>
      </c>
      <c r="C634">
        <v>0.15</v>
      </c>
      <c r="D634" t="s">
        <v>2424</v>
      </c>
    </row>
    <row r="635" spans="1:4" x14ac:dyDescent="0.25">
      <c r="A635" t="s">
        <v>2370</v>
      </c>
      <c r="B635">
        <v>0.2</v>
      </c>
      <c r="C635">
        <v>0.2</v>
      </c>
      <c r="D635" t="s">
        <v>2424</v>
      </c>
    </row>
    <row r="636" spans="1:4" x14ac:dyDescent="0.25">
      <c r="A636" t="s">
        <v>2373</v>
      </c>
      <c r="B636">
        <v>0.15</v>
      </c>
      <c r="C636">
        <v>0.2</v>
      </c>
      <c r="D636" t="s">
        <v>2424</v>
      </c>
    </row>
    <row r="637" spans="1:4" x14ac:dyDescent="0.25">
      <c r="A637" t="s">
        <v>2376</v>
      </c>
      <c r="B637">
        <v>0.2</v>
      </c>
      <c r="C637">
        <v>0.2</v>
      </c>
      <c r="D637" t="s">
        <v>2424</v>
      </c>
    </row>
    <row r="638" spans="1:4" x14ac:dyDescent="0.25">
      <c r="A638" t="s">
        <v>2379</v>
      </c>
      <c r="B638">
        <v>0.15</v>
      </c>
      <c r="C638">
        <v>0.15</v>
      </c>
      <c r="D638" t="s">
        <v>2424</v>
      </c>
    </row>
    <row r="639" spans="1:4" x14ac:dyDescent="0.25">
      <c r="A639" t="s">
        <v>2382</v>
      </c>
      <c r="B639">
        <v>0.15</v>
      </c>
      <c r="C639">
        <v>0.2</v>
      </c>
      <c r="D639" t="s">
        <v>2424</v>
      </c>
    </row>
    <row r="640" spans="1:4" x14ac:dyDescent="0.25">
      <c r="A640" t="s">
        <v>2385</v>
      </c>
      <c r="B640">
        <v>0.15</v>
      </c>
      <c r="C640">
        <v>0.2</v>
      </c>
      <c r="D640" t="s">
        <v>2424</v>
      </c>
    </row>
    <row r="641" spans="1:4" x14ac:dyDescent="0.25">
      <c r="A641" t="s">
        <v>2416</v>
      </c>
      <c r="B641">
        <v>0.15</v>
      </c>
      <c r="C641">
        <v>0.2</v>
      </c>
      <c r="D641" t="s">
        <v>2424</v>
      </c>
    </row>
    <row r="642" spans="1:4" x14ac:dyDescent="0.25">
      <c r="A642" t="s">
        <v>1312</v>
      </c>
      <c r="B642">
        <v>0.05</v>
      </c>
      <c r="C642">
        <v>0.05</v>
      </c>
      <c r="D642" t="s">
        <v>2423</v>
      </c>
    </row>
    <row r="643" spans="1:4" x14ac:dyDescent="0.25">
      <c r="A643" t="s">
        <v>1344</v>
      </c>
      <c r="B643">
        <v>0.05</v>
      </c>
      <c r="C643">
        <v>0.05</v>
      </c>
      <c r="D643" t="s">
        <v>2423</v>
      </c>
    </row>
    <row r="644" spans="1:4" x14ac:dyDescent="0.25">
      <c r="A644" t="s">
        <v>1375</v>
      </c>
      <c r="B644">
        <v>0.05</v>
      </c>
      <c r="C644">
        <v>0.05</v>
      </c>
      <c r="D644" t="s">
        <v>2423</v>
      </c>
    </row>
    <row r="645" spans="1:4" x14ac:dyDescent="0.25">
      <c r="A645" t="s">
        <v>1406</v>
      </c>
      <c r="B645">
        <v>0.05</v>
      </c>
      <c r="C645">
        <v>0.05</v>
      </c>
      <c r="D645" t="s">
        <v>2423</v>
      </c>
    </row>
    <row r="646" spans="1:4" x14ac:dyDescent="0.25">
      <c r="A646" t="s">
        <v>1437</v>
      </c>
      <c r="B646">
        <v>0.05</v>
      </c>
      <c r="C646">
        <v>0.05</v>
      </c>
      <c r="D646" t="s">
        <v>2423</v>
      </c>
    </row>
    <row r="647" spans="1:4" x14ac:dyDescent="0.25">
      <c r="A647" t="s">
        <v>1465</v>
      </c>
      <c r="B647">
        <v>0.05</v>
      </c>
      <c r="C647">
        <v>0.05</v>
      </c>
      <c r="D647" t="s">
        <v>2423</v>
      </c>
    </row>
    <row r="648" spans="1:4" x14ac:dyDescent="0.25">
      <c r="A648" t="s">
        <v>1494</v>
      </c>
      <c r="B648">
        <v>0.05</v>
      </c>
      <c r="C648">
        <v>0.05</v>
      </c>
      <c r="D648" t="s">
        <v>2423</v>
      </c>
    </row>
    <row r="649" spans="1:4" x14ac:dyDescent="0.25">
      <c r="A649" t="s">
        <v>1520</v>
      </c>
      <c r="B649">
        <v>0.05</v>
      </c>
      <c r="C649">
        <v>0.05</v>
      </c>
      <c r="D649" t="s">
        <v>2423</v>
      </c>
    </row>
    <row r="650" spans="1:4" x14ac:dyDescent="0.25">
      <c r="A650" t="s">
        <v>1546</v>
      </c>
      <c r="B650">
        <v>0.05</v>
      </c>
      <c r="C650">
        <v>0.05</v>
      </c>
      <c r="D650" t="s">
        <v>2423</v>
      </c>
    </row>
    <row r="651" spans="1:4" x14ac:dyDescent="0.25">
      <c r="A651" t="s">
        <v>1313</v>
      </c>
      <c r="B651">
        <v>0.1</v>
      </c>
      <c r="C651">
        <v>0.15</v>
      </c>
      <c r="D651" t="s">
        <v>2424</v>
      </c>
    </row>
    <row r="652" spans="1:4" x14ac:dyDescent="0.25">
      <c r="A652" t="s">
        <v>1345</v>
      </c>
      <c r="B652">
        <v>0.1</v>
      </c>
      <c r="C652">
        <v>0.1</v>
      </c>
      <c r="D652" t="s">
        <v>2423</v>
      </c>
    </row>
    <row r="653" spans="1:4" x14ac:dyDescent="0.25">
      <c r="A653" t="s">
        <v>1376</v>
      </c>
      <c r="B653">
        <v>0.15</v>
      </c>
      <c r="C653">
        <v>0.1</v>
      </c>
      <c r="D653" t="s">
        <v>2424</v>
      </c>
    </row>
    <row r="654" spans="1:4" x14ac:dyDescent="0.25">
      <c r="A654" t="s">
        <v>1407</v>
      </c>
      <c r="B654">
        <v>0.15</v>
      </c>
      <c r="C654">
        <v>0.1</v>
      </c>
      <c r="D654" t="s">
        <v>2424</v>
      </c>
    </row>
    <row r="655" spans="1:4" x14ac:dyDescent="0.25">
      <c r="A655" t="s">
        <v>1438</v>
      </c>
      <c r="B655">
        <v>0.15</v>
      </c>
      <c r="C655">
        <v>0.1</v>
      </c>
      <c r="D655" t="s">
        <v>2424</v>
      </c>
    </row>
    <row r="656" spans="1:4" x14ac:dyDescent="0.25">
      <c r="A656" t="s">
        <v>1466</v>
      </c>
      <c r="B656">
        <v>0.1</v>
      </c>
      <c r="C656">
        <v>0.1</v>
      </c>
      <c r="D656" t="s">
        <v>2423</v>
      </c>
    </row>
    <row r="657" spans="1:4" x14ac:dyDescent="0.25">
      <c r="A657" t="s">
        <v>1495</v>
      </c>
      <c r="B657">
        <v>0.15</v>
      </c>
      <c r="C657">
        <v>0.1</v>
      </c>
      <c r="D657" t="s">
        <v>2424</v>
      </c>
    </row>
    <row r="658" spans="1:4" x14ac:dyDescent="0.25">
      <c r="A658" t="s">
        <v>1521</v>
      </c>
      <c r="B658">
        <v>0.15</v>
      </c>
      <c r="C658">
        <v>0.1</v>
      </c>
      <c r="D658" t="s">
        <v>2424</v>
      </c>
    </row>
    <row r="659" spans="1:4" x14ac:dyDescent="0.25">
      <c r="A659" t="s">
        <v>1547</v>
      </c>
      <c r="B659">
        <v>0.1</v>
      </c>
      <c r="C659">
        <v>0.1</v>
      </c>
      <c r="D659" t="s">
        <v>2423</v>
      </c>
    </row>
    <row r="660" spans="1:4" x14ac:dyDescent="0.25">
      <c r="A660" t="s">
        <v>1573</v>
      </c>
      <c r="B660">
        <v>0.1</v>
      </c>
      <c r="C660">
        <v>0.15</v>
      </c>
      <c r="D660" t="s">
        <v>2424</v>
      </c>
    </row>
    <row r="661" spans="1:4" x14ac:dyDescent="0.25">
      <c r="A661" t="s">
        <v>1599</v>
      </c>
      <c r="B661">
        <v>0.1</v>
      </c>
      <c r="C661">
        <v>0.15</v>
      </c>
      <c r="D661" t="s">
        <v>2424</v>
      </c>
    </row>
    <row r="662" spans="1:4" x14ac:dyDescent="0.25">
      <c r="A662" t="s">
        <v>1624</v>
      </c>
      <c r="B662">
        <v>0.15</v>
      </c>
      <c r="C662">
        <v>0.1</v>
      </c>
      <c r="D662" t="s">
        <v>2424</v>
      </c>
    </row>
    <row r="663" spans="1:4" x14ac:dyDescent="0.25">
      <c r="A663" t="s">
        <v>1649</v>
      </c>
      <c r="B663">
        <v>0.15</v>
      </c>
      <c r="C663">
        <v>0.15</v>
      </c>
      <c r="D663" t="s">
        <v>2424</v>
      </c>
    </row>
    <row r="664" spans="1:4" x14ac:dyDescent="0.25">
      <c r="A664" t="s">
        <v>1671</v>
      </c>
      <c r="B664">
        <v>0.1</v>
      </c>
      <c r="C664">
        <v>0.1</v>
      </c>
      <c r="D664" t="s">
        <v>2423</v>
      </c>
    </row>
    <row r="665" spans="1:4" x14ac:dyDescent="0.25">
      <c r="A665" t="s">
        <v>1694</v>
      </c>
      <c r="B665">
        <v>0.1</v>
      </c>
      <c r="C665">
        <v>0.1</v>
      </c>
      <c r="D665" t="s">
        <v>2423</v>
      </c>
    </row>
    <row r="666" spans="1:4" x14ac:dyDescent="0.25">
      <c r="A666" t="s">
        <v>1314</v>
      </c>
      <c r="B666">
        <v>0.05</v>
      </c>
      <c r="C666">
        <v>0.05</v>
      </c>
      <c r="D666" t="s">
        <v>2423</v>
      </c>
    </row>
    <row r="667" spans="1:4" x14ac:dyDescent="0.25">
      <c r="A667" t="s">
        <v>2427</v>
      </c>
      <c r="B667">
        <v>0.05</v>
      </c>
      <c r="C667">
        <v>0.05</v>
      </c>
      <c r="D667" t="s">
        <v>2423</v>
      </c>
    </row>
    <row r="668" spans="1:4" x14ac:dyDescent="0.25">
      <c r="A668" t="s">
        <v>1377</v>
      </c>
      <c r="B668">
        <v>0.05</v>
      </c>
      <c r="C668">
        <v>0.05</v>
      </c>
      <c r="D668" t="s">
        <v>2423</v>
      </c>
    </row>
    <row r="669" spans="1:4" x14ac:dyDescent="0.25">
      <c r="A669" t="s">
        <v>1408</v>
      </c>
      <c r="B669">
        <v>0.05</v>
      </c>
      <c r="C669">
        <v>0.05</v>
      </c>
      <c r="D669" t="s">
        <v>2423</v>
      </c>
    </row>
    <row r="670" spans="1:4" x14ac:dyDescent="0.25">
      <c r="A670" t="s">
        <v>1315</v>
      </c>
      <c r="B670">
        <v>0.25</v>
      </c>
      <c r="C670">
        <v>0.25</v>
      </c>
      <c r="D670" t="s">
        <v>2425</v>
      </c>
    </row>
    <row r="671" spans="1:4" x14ac:dyDescent="0.25">
      <c r="A671" t="s">
        <v>1347</v>
      </c>
      <c r="B671">
        <v>0.3</v>
      </c>
      <c r="C671">
        <v>0.15</v>
      </c>
      <c r="D671" t="s">
        <v>2425</v>
      </c>
    </row>
    <row r="672" spans="1:4" x14ac:dyDescent="0.25">
      <c r="A672" t="s">
        <v>1378</v>
      </c>
      <c r="B672">
        <v>0.3</v>
      </c>
      <c r="C672">
        <v>0.15</v>
      </c>
      <c r="D672" t="s">
        <v>2425</v>
      </c>
    </row>
    <row r="673" spans="1:4" x14ac:dyDescent="0.25">
      <c r="A673" t="s">
        <v>1409</v>
      </c>
      <c r="B673">
        <v>0.25</v>
      </c>
      <c r="C673">
        <v>0.25</v>
      </c>
      <c r="D673" t="s">
        <v>2425</v>
      </c>
    </row>
    <row r="674" spans="1:4" x14ac:dyDescent="0.25">
      <c r="A674" t="s">
        <v>1439</v>
      </c>
      <c r="B674">
        <v>0.3</v>
      </c>
      <c r="C674">
        <v>0.2</v>
      </c>
      <c r="D674" t="s">
        <v>2425</v>
      </c>
    </row>
    <row r="675" spans="1:4" x14ac:dyDescent="0.25">
      <c r="A675" t="s">
        <v>1467</v>
      </c>
      <c r="B675">
        <v>0.3</v>
      </c>
      <c r="C675">
        <v>0.15</v>
      </c>
      <c r="D675" t="s">
        <v>2425</v>
      </c>
    </row>
    <row r="676" spans="1:4" x14ac:dyDescent="0.25">
      <c r="A676" t="s">
        <v>1496</v>
      </c>
      <c r="B676">
        <v>0.3</v>
      </c>
      <c r="C676">
        <v>0.25</v>
      </c>
      <c r="D676" t="s">
        <v>2425</v>
      </c>
    </row>
    <row r="677" spans="1:4" x14ac:dyDescent="0.25">
      <c r="A677" t="s">
        <v>1522</v>
      </c>
      <c r="B677">
        <v>0.3</v>
      </c>
      <c r="C677">
        <v>0.2</v>
      </c>
      <c r="D677" t="s">
        <v>2425</v>
      </c>
    </row>
    <row r="678" spans="1:4" x14ac:dyDescent="0.25">
      <c r="A678" t="s">
        <v>1548</v>
      </c>
      <c r="B678">
        <v>0.3</v>
      </c>
      <c r="C678">
        <v>0.25</v>
      </c>
      <c r="D678" t="s">
        <v>2425</v>
      </c>
    </row>
    <row r="679" spans="1:4" x14ac:dyDescent="0.25">
      <c r="A679" t="s">
        <v>1574</v>
      </c>
      <c r="B679">
        <v>0.3</v>
      </c>
      <c r="C679">
        <v>0.15</v>
      </c>
      <c r="D679" t="s">
        <v>2425</v>
      </c>
    </row>
    <row r="680" spans="1:4" x14ac:dyDescent="0.25">
      <c r="A680" t="s">
        <v>1600</v>
      </c>
      <c r="B680">
        <v>0.3</v>
      </c>
      <c r="C680">
        <v>0.15</v>
      </c>
      <c r="D680" t="s">
        <v>2425</v>
      </c>
    </row>
    <row r="681" spans="1:4" x14ac:dyDescent="0.25">
      <c r="A681" t="s">
        <v>1625</v>
      </c>
      <c r="B681">
        <v>0.3</v>
      </c>
      <c r="C681">
        <v>0.15</v>
      </c>
      <c r="D681" t="s">
        <v>2425</v>
      </c>
    </row>
    <row r="682" spans="1:4" x14ac:dyDescent="0.25">
      <c r="A682" t="s">
        <v>1650</v>
      </c>
      <c r="B682">
        <v>0.3</v>
      </c>
      <c r="C682">
        <v>0.15</v>
      </c>
      <c r="D682" t="s">
        <v>2425</v>
      </c>
    </row>
    <row r="683" spans="1:4" x14ac:dyDescent="0.25">
      <c r="A683" t="s">
        <v>1672</v>
      </c>
      <c r="B683">
        <v>0.3</v>
      </c>
      <c r="C683">
        <v>0.2</v>
      </c>
      <c r="D683" t="s">
        <v>2425</v>
      </c>
    </row>
    <row r="684" spans="1:4" x14ac:dyDescent="0.25">
      <c r="A684" t="s">
        <v>1695</v>
      </c>
      <c r="B684">
        <v>0.25</v>
      </c>
      <c r="C684">
        <v>0.2</v>
      </c>
      <c r="D684" t="s">
        <v>2425</v>
      </c>
    </row>
    <row r="685" spans="1:4" x14ac:dyDescent="0.25">
      <c r="A685" t="s">
        <v>1716</v>
      </c>
      <c r="B685">
        <v>0.25</v>
      </c>
      <c r="C685">
        <v>0.2</v>
      </c>
      <c r="D685" t="s">
        <v>2425</v>
      </c>
    </row>
    <row r="686" spans="1:4" x14ac:dyDescent="0.25">
      <c r="A686" t="s">
        <v>1736</v>
      </c>
      <c r="B686">
        <v>0.25</v>
      </c>
      <c r="C686">
        <v>0.15</v>
      </c>
      <c r="D686" t="s">
        <v>2425</v>
      </c>
    </row>
    <row r="687" spans="1:4" x14ac:dyDescent="0.25">
      <c r="A687" t="s">
        <v>1756</v>
      </c>
      <c r="B687">
        <v>0.25</v>
      </c>
      <c r="C687">
        <v>0.15</v>
      </c>
      <c r="D687" t="s">
        <v>2425</v>
      </c>
    </row>
    <row r="688" spans="1:4" x14ac:dyDescent="0.25">
      <c r="A688" t="s">
        <v>1776</v>
      </c>
      <c r="B688">
        <v>0.25</v>
      </c>
      <c r="C688">
        <v>0.2</v>
      </c>
      <c r="D688" t="s">
        <v>2425</v>
      </c>
    </row>
    <row r="689" spans="1:4" x14ac:dyDescent="0.25">
      <c r="A689" t="s">
        <v>1794</v>
      </c>
      <c r="B689">
        <v>0.3</v>
      </c>
      <c r="C689">
        <v>0.15</v>
      </c>
      <c r="D689" t="s">
        <v>2425</v>
      </c>
    </row>
    <row r="690" spans="1:4" x14ac:dyDescent="0.25">
      <c r="A690" t="s">
        <v>1813</v>
      </c>
      <c r="B690">
        <v>0.25</v>
      </c>
      <c r="C690">
        <v>0.2</v>
      </c>
      <c r="D690" t="s">
        <v>2425</v>
      </c>
    </row>
    <row r="691" spans="1:4" x14ac:dyDescent="0.25">
      <c r="A691" t="s">
        <v>1832</v>
      </c>
      <c r="B691">
        <v>0.25</v>
      </c>
      <c r="C691">
        <v>0.25</v>
      </c>
      <c r="D691" t="s">
        <v>2425</v>
      </c>
    </row>
    <row r="692" spans="1:4" x14ac:dyDescent="0.25">
      <c r="A692" t="s">
        <v>1851</v>
      </c>
      <c r="B692">
        <v>0.3</v>
      </c>
      <c r="C692">
        <v>0.2</v>
      </c>
      <c r="D692" t="s">
        <v>2425</v>
      </c>
    </row>
    <row r="693" spans="1:4" x14ac:dyDescent="0.25">
      <c r="A693" t="s">
        <v>1869</v>
      </c>
      <c r="B693">
        <v>0.3</v>
      </c>
      <c r="C693">
        <v>0.15</v>
      </c>
      <c r="D693" t="s">
        <v>2425</v>
      </c>
    </row>
    <row r="694" spans="1:4" x14ac:dyDescent="0.25">
      <c r="A694" t="s">
        <v>1887</v>
      </c>
      <c r="B694">
        <v>0.3</v>
      </c>
      <c r="C694">
        <v>0.15</v>
      </c>
      <c r="D694" t="s">
        <v>2425</v>
      </c>
    </row>
    <row r="695" spans="1:4" x14ac:dyDescent="0.25">
      <c r="A695" t="s">
        <v>1903</v>
      </c>
      <c r="B695">
        <v>0.3</v>
      </c>
      <c r="C695">
        <v>0.2</v>
      </c>
      <c r="D695" t="s">
        <v>2425</v>
      </c>
    </row>
    <row r="696" spans="1:4" x14ac:dyDescent="0.25">
      <c r="A696" t="s">
        <v>1919</v>
      </c>
      <c r="B696">
        <v>0.25</v>
      </c>
      <c r="C696">
        <v>0.2</v>
      </c>
      <c r="D696" t="s">
        <v>2425</v>
      </c>
    </row>
    <row r="697" spans="1:4" x14ac:dyDescent="0.25">
      <c r="A697" t="s">
        <v>1934</v>
      </c>
      <c r="B697">
        <v>0.25</v>
      </c>
      <c r="C697">
        <v>0.2</v>
      </c>
      <c r="D697" t="s">
        <v>2425</v>
      </c>
    </row>
    <row r="698" spans="1:4" x14ac:dyDescent="0.25">
      <c r="A698" t="s">
        <v>1947</v>
      </c>
      <c r="B698">
        <v>0.25</v>
      </c>
      <c r="C698">
        <v>0.2</v>
      </c>
      <c r="D698" t="s">
        <v>2425</v>
      </c>
    </row>
    <row r="699" spans="1:4" x14ac:dyDescent="0.25">
      <c r="A699" t="s">
        <v>1960</v>
      </c>
      <c r="B699">
        <v>0.3</v>
      </c>
      <c r="C699">
        <v>0.15</v>
      </c>
      <c r="D699" t="s">
        <v>2425</v>
      </c>
    </row>
    <row r="700" spans="1:4" x14ac:dyDescent="0.25">
      <c r="A700" t="s">
        <v>1973</v>
      </c>
      <c r="B700">
        <v>0.3</v>
      </c>
      <c r="C700">
        <v>0.15</v>
      </c>
      <c r="D700" t="s">
        <v>2425</v>
      </c>
    </row>
    <row r="701" spans="1:4" x14ac:dyDescent="0.25">
      <c r="A701" t="s">
        <v>1984</v>
      </c>
      <c r="B701">
        <v>0.3</v>
      </c>
      <c r="C701">
        <v>0.25</v>
      </c>
      <c r="D701" t="s">
        <v>2425</v>
      </c>
    </row>
    <row r="702" spans="1:4" x14ac:dyDescent="0.25">
      <c r="A702" t="s">
        <v>1995</v>
      </c>
      <c r="B702">
        <v>0.25</v>
      </c>
      <c r="C702">
        <v>0.2</v>
      </c>
      <c r="D702" t="s">
        <v>2425</v>
      </c>
    </row>
    <row r="703" spans="1:4" x14ac:dyDescent="0.25">
      <c r="A703" t="s">
        <v>2006</v>
      </c>
      <c r="B703">
        <v>0.25</v>
      </c>
      <c r="C703">
        <v>0.2</v>
      </c>
      <c r="D703" t="s">
        <v>2425</v>
      </c>
    </row>
    <row r="704" spans="1:4" x14ac:dyDescent="0.25">
      <c r="A704" t="s">
        <v>2017</v>
      </c>
      <c r="B704">
        <v>0.3</v>
      </c>
      <c r="C704">
        <v>0.15</v>
      </c>
      <c r="D704" t="s">
        <v>2425</v>
      </c>
    </row>
    <row r="705" spans="1:4" x14ac:dyDescent="0.25">
      <c r="A705" t="s">
        <v>2027</v>
      </c>
      <c r="B705">
        <v>0.25</v>
      </c>
      <c r="C705">
        <v>0.25</v>
      </c>
      <c r="D705" t="s">
        <v>2425</v>
      </c>
    </row>
    <row r="706" spans="1:4" x14ac:dyDescent="0.25">
      <c r="A706" t="s">
        <v>2038</v>
      </c>
      <c r="B706">
        <v>0.25</v>
      </c>
      <c r="C706">
        <v>0.3</v>
      </c>
      <c r="D706" t="s">
        <v>2425</v>
      </c>
    </row>
    <row r="707" spans="1:4" x14ac:dyDescent="0.25">
      <c r="A707" t="s">
        <v>1316</v>
      </c>
      <c r="B707">
        <v>0.15</v>
      </c>
      <c r="C707">
        <v>0.1</v>
      </c>
      <c r="D707" t="s">
        <v>2424</v>
      </c>
    </row>
    <row r="708" spans="1:4" x14ac:dyDescent="0.25">
      <c r="A708" t="s">
        <v>1348</v>
      </c>
      <c r="B708">
        <v>0.1</v>
      </c>
      <c r="C708">
        <v>0.1</v>
      </c>
      <c r="D708" t="s">
        <v>2423</v>
      </c>
    </row>
    <row r="709" spans="1:4" x14ac:dyDescent="0.25">
      <c r="A709" t="s">
        <v>1379</v>
      </c>
      <c r="B709">
        <v>0.1</v>
      </c>
      <c r="C709">
        <v>0.1</v>
      </c>
      <c r="D709" t="s">
        <v>2423</v>
      </c>
    </row>
    <row r="710" spans="1:4" x14ac:dyDescent="0.25">
      <c r="A710" t="s">
        <v>1410</v>
      </c>
      <c r="B710">
        <v>0.1</v>
      </c>
      <c r="C710">
        <v>0.1</v>
      </c>
      <c r="D710" t="s">
        <v>2423</v>
      </c>
    </row>
    <row r="711" spans="1:4" x14ac:dyDescent="0.25">
      <c r="A711" t="s">
        <v>1440</v>
      </c>
      <c r="B711">
        <v>0.1</v>
      </c>
      <c r="C711">
        <v>0.1</v>
      </c>
      <c r="D711" t="s">
        <v>2423</v>
      </c>
    </row>
    <row r="712" spans="1:4" x14ac:dyDescent="0.25">
      <c r="A712" t="s">
        <v>1468</v>
      </c>
      <c r="B712">
        <v>0.1</v>
      </c>
      <c r="C712">
        <v>0.1</v>
      </c>
      <c r="D712" t="s">
        <v>2423</v>
      </c>
    </row>
    <row r="713" spans="1:4" x14ac:dyDescent="0.25">
      <c r="A713" t="s">
        <v>1497</v>
      </c>
      <c r="B713">
        <v>0.1</v>
      </c>
      <c r="C713">
        <v>0.1</v>
      </c>
      <c r="D713" t="s">
        <v>2423</v>
      </c>
    </row>
    <row r="714" spans="1:4" x14ac:dyDescent="0.25">
      <c r="A714" t="s">
        <v>1523</v>
      </c>
      <c r="B714">
        <v>0.1</v>
      </c>
      <c r="C714">
        <v>0.1</v>
      </c>
      <c r="D714" t="s">
        <v>2423</v>
      </c>
    </row>
    <row r="715" spans="1:4" x14ac:dyDescent="0.25">
      <c r="A715" t="s">
        <v>1549</v>
      </c>
      <c r="B715">
        <v>0.1</v>
      </c>
      <c r="C715">
        <v>0.1</v>
      </c>
      <c r="D715" t="s">
        <v>2423</v>
      </c>
    </row>
    <row r="716" spans="1:4" x14ac:dyDescent="0.25">
      <c r="A716" t="s">
        <v>1575</v>
      </c>
      <c r="B716">
        <v>0.1</v>
      </c>
      <c r="C716">
        <v>0.1</v>
      </c>
      <c r="D716" t="s">
        <v>2423</v>
      </c>
    </row>
    <row r="717" spans="1:4" x14ac:dyDescent="0.25">
      <c r="A717" t="s">
        <v>1601</v>
      </c>
      <c r="B717">
        <v>0.1</v>
      </c>
      <c r="C717">
        <v>0.1</v>
      </c>
      <c r="D717" t="s">
        <v>2423</v>
      </c>
    </row>
    <row r="718" spans="1:4" x14ac:dyDescent="0.25">
      <c r="A718" t="s">
        <v>1626</v>
      </c>
      <c r="B718">
        <v>0.1</v>
      </c>
      <c r="C718">
        <v>0.1</v>
      </c>
      <c r="D718" t="s">
        <v>2423</v>
      </c>
    </row>
    <row r="719" spans="1:4" x14ac:dyDescent="0.25">
      <c r="A719" t="s">
        <v>1651</v>
      </c>
      <c r="B719">
        <v>0.1</v>
      </c>
      <c r="C719">
        <v>0.1</v>
      </c>
      <c r="D719" t="s">
        <v>2423</v>
      </c>
    </row>
    <row r="720" spans="1:4" x14ac:dyDescent="0.25">
      <c r="A720" t="s">
        <v>1673</v>
      </c>
      <c r="B720">
        <v>0.1</v>
      </c>
      <c r="C720">
        <v>0.1</v>
      </c>
      <c r="D720" t="s">
        <v>2423</v>
      </c>
    </row>
    <row r="721" spans="1:4" x14ac:dyDescent="0.25">
      <c r="A721" t="s">
        <v>1696</v>
      </c>
      <c r="B721">
        <v>0.1</v>
      </c>
      <c r="C721">
        <v>0.1</v>
      </c>
      <c r="D721" t="s">
        <v>2423</v>
      </c>
    </row>
    <row r="722" spans="1:4" x14ac:dyDescent="0.25">
      <c r="A722" t="s">
        <v>1717</v>
      </c>
      <c r="B722">
        <v>0.1</v>
      </c>
      <c r="C722">
        <v>0.1</v>
      </c>
      <c r="D722" t="s">
        <v>2423</v>
      </c>
    </row>
    <row r="723" spans="1:4" x14ac:dyDescent="0.25">
      <c r="A723" t="s">
        <v>1737</v>
      </c>
      <c r="B723">
        <v>0.1</v>
      </c>
      <c r="C723">
        <v>0.1</v>
      </c>
      <c r="D723" t="s">
        <v>2423</v>
      </c>
    </row>
    <row r="724" spans="1:4" x14ac:dyDescent="0.25">
      <c r="A724" t="s">
        <v>1757</v>
      </c>
      <c r="B724">
        <v>0.1</v>
      </c>
      <c r="C724">
        <v>0.1</v>
      </c>
      <c r="D724" t="s">
        <v>2423</v>
      </c>
    </row>
    <row r="725" spans="1:4" x14ac:dyDescent="0.25">
      <c r="A725" t="s">
        <v>1777</v>
      </c>
      <c r="B725">
        <v>0.1</v>
      </c>
      <c r="C725">
        <v>0.1</v>
      </c>
      <c r="D725" t="s">
        <v>2423</v>
      </c>
    </row>
    <row r="726" spans="1:4" x14ac:dyDescent="0.25">
      <c r="A726" t="s">
        <v>1795</v>
      </c>
      <c r="B726">
        <v>0.1</v>
      </c>
      <c r="C726">
        <v>0.1</v>
      </c>
      <c r="D726" t="s">
        <v>2423</v>
      </c>
    </row>
    <row r="727" spans="1:4" x14ac:dyDescent="0.25">
      <c r="A727" t="s">
        <v>1814</v>
      </c>
      <c r="B727">
        <v>0.1</v>
      </c>
      <c r="C727">
        <v>0.1</v>
      </c>
      <c r="D727" t="s">
        <v>2423</v>
      </c>
    </row>
    <row r="728" spans="1:4" x14ac:dyDescent="0.25">
      <c r="A728" t="s">
        <v>1833</v>
      </c>
      <c r="B728">
        <v>0.1</v>
      </c>
      <c r="C728">
        <v>0.1</v>
      </c>
      <c r="D728" t="s">
        <v>2423</v>
      </c>
    </row>
    <row r="729" spans="1:4" x14ac:dyDescent="0.25">
      <c r="A729" t="s">
        <v>1852</v>
      </c>
      <c r="B729">
        <v>0.1</v>
      </c>
      <c r="C729">
        <v>0.1</v>
      </c>
      <c r="D729" t="s">
        <v>2423</v>
      </c>
    </row>
    <row r="730" spans="1:4" x14ac:dyDescent="0.25">
      <c r="A730" t="s">
        <v>1870</v>
      </c>
      <c r="B730">
        <v>0.1</v>
      </c>
      <c r="C730">
        <v>0.1</v>
      </c>
      <c r="D730" t="s">
        <v>2423</v>
      </c>
    </row>
    <row r="731" spans="1:4" x14ac:dyDescent="0.25">
      <c r="A731" t="s">
        <v>1888</v>
      </c>
      <c r="B731">
        <v>0.1</v>
      </c>
      <c r="C731">
        <v>0.1</v>
      </c>
      <c r="D731" t="s">
        <v>2423</v>
      </c>
    </row>
    <row r="732" spans="1:4" x14ac:dyDescent="0.25">
      <c r="A732" t="s">
        <v>1904</v>
      </c>
      <c r="B732">
        <v>0.1</v>
      </c>
      <c r="C732">
        <v>0.1</v>
      </c>
      <c r="D732" t="s">
        <v>2423</v>
      </c>
    </row>
    <row r="733" spans="1:4" x14ac:dyDescent="0.25">
      <c r="A733" t="s">
        <v>1920</v>
      </c>
      <c r="B733">
        <v>0.1</v>
      </c>
      <c r="C733">
        <v>0.1</v>
      </c>
      <c r="D733" t="s">
        <v>2423</v>
      </c>
    </row>
    <row r="734" spans="1:4" x14ac:dyDescent="0.25">
      <c r="A734" t="s">
        <v>1935</v>
      </c>
      <c r="B734">
        <v>0.1</v>
      </c>
      <c r="C734">
        <v>0.1</v>
      </c>
      <c r="D734" t="s">
        <v>2423</v>
      </c>
    </row>
    <row r="735" spans="1:4" x14ac:dyDescent="0.25">
      <c r="A735" t="s">
        <v>1948</v>
      </c>
      <c r="B735">
        <v>0.1</v>
      </c>
      <c r="C735">
        <v>0.1</v>
      </c>
      <c r="D735" t="s">
        <v>2423</v>
      </c>
    </row>
    <row r="736" spans="1:4" x14ac:dyDescent="0.25">
      <c r="A736" t="s">
        <v>1961</v>
      </c>
      <c r="B736">
        <v>0.1</v>
      </c>
      <c r="C736">
        <v>0.1</v>
      </c>
      <c r="D736" t="s">
        <v>2423</v>
      </c>
    </row>
    <row r="737" spans="1:4" x14ac:dyDescent="0.25">
      <c r="A737" t="s">
        <v>1317</v>
      </c>
      <c r="B737">
        <v>0.35</v>
      </c>
      <c r="C737">
        <v>0.3</v>
      </c>
      <c r="D737" t="s">
        <v>2425</v>
      </c>
    </row>
    <row r="738" spans="1:4" x14ac:dyDescent="0.25">
      <c r="A738" t="s">
        <v>1349</v>
      </c>
      <c r="B738">
        <v>0.3</v>
      </c>
      <c r="C738">
        <v>0.3</v>
      </c>
      <c r="D738" t="s">
        <v>2425</v>
      </c>
    </row>
    <row r="739" spans="1:4" x14ac:dyDescent="0.25">
      <c r="A739" t="s">
        <v>1380</v>
      </c>
      <c r="B739">
        <v>0.25</v>
      </c>
      <c r="C739">
        <v>0.25</v>
      </c>
      <c r="D739" t="s">
        <v>2425</v>
      </c>
    </row>
    <row r="740" spans="1:4" x14ac:dyDescent="0.25">
      <c r="A740" t="s">
        <v>1411</v>
      </c>
      <c r="B740">
        <v>0.2</v>
      </c>
      <c r="C740">
        <v>0.2</v>
      </c>
      <c r="D740" t="s">
        <v>2424</v>
      </c>
    </row>
    <row r="741" spans="1:4" x14ac:dyDescent="0.25">
      <c r="A741" t="s">
        <v>1441</v>
      </c>
      <c r="B741">
        <v>0.2</v>
      </c>
      <c r="C741">
        <v>0.25</v>
      </c>
      <c r="D741" t="s">
        <v>2425</v>
      </c>
    </row>
    <row r="742" spans="1:4" x14ac:dyDescent="0.25">
      <c r="A742" t="s">
        <v>1469</v>
      </c>
      <c r="B742">
        <v>0.25</v>
      </c>
      <c r="C742">
        <v>0.25</v>
      </c>
      <c r="D742" t="s">
        <v>2425</v>
      </c>
    </row>
    <row r="743" spans="1:4" x14ac:dyDescent="0.25">
      <c r="A743" t="s">
        <v>1498</v>
      </c>
      <c r="B743">
        <v>0.3</v>
      </c>
      <c r="C743">
        <v>0.25</v>
      </c>
      <c r="D743" t="s">
        <v>2425</v>
      </c>
    </row>
    <row r="744" spans="1:4" x14ac:dyDescent="0.25">
      <c r="A744" t="s">
        <v>1524</v>
      </c>
      <c r="B744">
        <v>0.25</v>
      </c>
      <c r="C744">
        <v>0.25</v>
      </c>
      <c r="D744" t="s">
        <v>2425</v>
      </c>
    </row>
    <row r="745" spans="1:4" x14ac:dyDescent="0.25">
      <c r="A745" t="s">
        <v>1550</v>
      </c>
      <c r="B745">
        <v>0.25</v>
      </c>
      <c r="C745">
        <v>0.25</v>
      </c>
      <c r="D745" t="s">
        <v>2425</v>
      </c>
    </row>
    <row r="746" spans="1:4" x14ac:dyDescent="0.25">
      <c r="A746" t="s">
        <v>1576</v>
      </c>
      <c r="B746">
        <v>0.15</v>
      </c>
      <c r="C746">
        <v>0.2</v>
      </c>
      <c r="D746" t="s">
        <v>2424</v>
      </c>
    </row>
    <row r="747" spans="1:4" x14ac:dyDescent="0.25">
      <c r="A747" t="s">
        <v>1602</v>
      </c>
      <c r="B747">
        <v>0.2</v>
      </c>
      <c r="C747">
        <v>0.25</v>
      </c>
      <c r="D747" t="s">
        <v>2425</v>
      </c>
    </row>
    <row r="748" spans="1:4" x14ac:dyDescent="0.25">
      <c r="A748" t="s">
        <v>1627</v>
      </c>
      <c r="B748">
        <v>0.35</v>
      </c>
      <c r="C748">
        <v>0.25</v>
      </c>
      <c r="D748" t="s">
        <v>2425</v>
      </c>
    </row>
    <row r="749" spans="1:4" x14ac:dyDescent="0.25">
      <c r="A749" t="s">
        <v>1652</v>
      </c>
      <c r="B749">
        <v>0.05</v>
      </c>
      <c r="C749">
        <v>0.1</v>
      </c>
      <c r="D749" t="s">
        <v>2423</v>
      </c>
    </row>
    <row r="750" spans="1:4" x14ac:dyDescent="0.25">
      <c r="A750" t="s">
        <v>1674</v>
      </c>
      <c r="B750">
        <v>0.25</v>
      </c>
      <c r="C750">
        <v>0.25</v>
      </c>
      <c r="D750" t="s">
        <v>2425</v>
      </c>
    </row>
    <row r="751" spans="1:4" x14ac:dyDescent="0.25">
      <c r="A751" t="s">
        <v>1697</v>
      </c>
      <c r="B751">
        <v>0.3</v>
      </c>
      <c r="C751">
        <v>0.25</v>
      </c>
      <c r="D751" t="s">
        <v>2425</v>
      </c>
    </row>
    <row r="752" spans="1:4" x14ac:dyDescent="0.25">
      <c r="A752" t="s">
        <v>1718</v>
      </c>
      <c r="B752">
        <v>0.05</v>
      </c>
      <c r="C752">
        <v>0.05</v>
      </c>
      <c r="D752" t="s">
        <v>2423</v>
      </c>
    </row>
    <row r="753" spans="1:4" x14ac:dyDescent="0.25">
      <c r="A753" t="s">
        <v>1738</v>
      </c>
      <c r="B753">
        <v>0.2</v>
      </c>
      <c r="C753">
        <v>0.25</v>
      </c>
      <c r="D753" t="s">
        <v>2425</v>
      </c>
    </row>
    <row r="754" spans="1:4" x14ac:dyDescent="0.25">
      <c r="A754" t="s">
        <v>1758</v>
      </c>
      <c r="B754">
        <v>0.05</v>
      </c>
      <c r="C754">
        <v>0.05</v>
      </c>
      <c r="D754" t="s">
        <v>2423</v>
      </c>
    </row>
    <row r="755" spans="1:4" x14ac:dyDescent="0.25">
      <c r="A755" t="s">
        <v>1778</v>
      </c>
      <c r="B755">
        <v>0.05</v>
      </c>
      <c r="C755">
        <v>0.1</v>
      </c>
      <c r="D755" t="s">
        <v>2423</v>
      </c>
    </row>
    <row r="756" spans="1:4" x14ac:dyDescent="0.25">
      <c r="A756" t="s">
        <v>1796</v>
      </c>
      <c r="B756">
        <v>0.05</v>
      </c>
      <c r="C756">
        <v>0.15</v>
      </c>
      <c r="D756" t="s">
        <v>2424</v>
      </c>
    </row>
    <row r="757" spans="1:4" x14ac:dyDescent="0.25">
      <c r="A757" t="s">
        <v>1815</v>
      </c>
      <c r="B757">
        <v>0.05</v>
      </c>
      <c r="C757">
        <v>0.15</v>
      </c>
      <c r="D757" t="s">
        <v>2424</v>
      </c>
    </row>
    <row r="758" spans="1:4" x14ac:dyDescent="0.25">
      <c r="A758" t="s">
        <v>1834</v>
      </c>
      <c r="B758">
        <v>0.05</v>
      </c>
      <c r="C758">
        <v>0.1</v>
      </c>
      <c r="D758" t="s">
        <v>2423</v>
      </c>
    </row>
    <row r="759" spans="1:4" x14ac:dyDescent="0.25">
      <c r="A759" t="s">
        <v>1853</v>
      </c>
      <c r="B759">
        <v>0.3</v>
      </c>
      <c r="C759">
        <v>0.3</v>
      </c>
      <c r="D759" t="s">
        <v>2425</v>
      </c>
    </row>
    <row r="760" spans="1:4" x14ac:dyDescent="0.25">
      <c r="A760" t="s">
        <v>1871</v>
      </c>
      <c r="B760">
        <v>0.15</v>
      </c>
      <c r="C760">
        <v>0.2</v>
      </c>
      <c r="D760" t="s">
        <v>2424</v>
      </c>
    </row>
    <row r="761" spans="1:4" x14ac:dyDescent="0.25">
      <c r="A761" t="s">
        <v>1889</v>
      </c>
      <c r="B761">
        <v>0.15</v>
      </c>
      <c r="C761">
        <v>0.2</v>
      </c>
      <c r="D761" t="s">
        <v>2424</v>
      </c>
    </row>
    <row r="762" spans="1:4" x14ac:dyDescent="0.25">
      <c r="A762" t="s">
        <v>1905</v>
      </c>
      <c r="B762">
        <v>0.3</v>
      </c>
      <c r="C762">
        <v>0.25</v>
      </c>
      <c r="D762" t="s">
        <v>2425</v>
      </c>
    </row>
    <row r="763" spans="1:4" x14ac:dyDescent="0.25">
      <c r="A763" t="s">
        <v>1921</v>
      </c>
      <c r="B763">
        <v>0.35</v>
      </c>
      <c r="C763">
        <v>0.25</v>
      </c>
      <c r="D763" t="s">
        <v>2425</v>
      </c>
    </row>
    <row r="764" spans="1:4" x14ac:dyDescent="0.25">
      <c r="A764" t="s">
        <v>1936</v>
      </c>
      <c r="B764">
        <v>0.05</v>
      </c>
      <c r="C764">
        <v>0.15</v>
      </c>
      <c r="D764" t="s">
        <v>2424</v>
      </c>
    </row>
    <row r="765" spans="1:4" x14ac:dyDescent="0.25">
      <c r="A765" t="s">
        <v>1949</v>
      </c>
      <c r="B765">
        <v>0.05</v>
      </c>
      <c r="C765">
        <v>0.15</v>
      </c>
      <c r="D765" t="s">
        <v>2424</v>
      </c>
    </row>
    <row r="766" spans="1:4" x14ac:dyDescent="0.25">
      <c r="A766" t="s">
        <v>1318</v>
      </c>
      <c r="B766">
        <v>0.25</v>
      </c>
      <c r="C766">
        <v>0.25</v>
      </c>
      <c r="D766" t="s">
        <v>2425</v>
      </c>
    </row>
    <row r="767" spans="1:4" x14ac:dyDescent="0.25">
      <c r="A767" t="s">
        <v>1350</v>
      </c>
      <c r="B767">
        <v>0.25</v>
      </c>
      <c r="C767">
        <v>0.25</v>
      </c>
      <c r="D767" t="s">
        <v>2425</v>
      </c>
    </row>
    <row r="768" spans="1:4" x14ac:dyDescent="0.25">
      <c r="A768" t="s">
        <v>1381</v>
      </c>
      <c r="B768">
        <v>0.25</v>
      </c>
      <c r="C768">
        <v>0.25</v>
      </c>
      <c r="D768" t="s">
        <v>2425</v>
      </c>
    </row>
    <row r="769" spans="1:4" x14ac:dyDescent="0.25">
      <c r="A769" t="s">
        <v>1412</v>
      </c>
      <c r="B769">
        <v>0.25</v>
      </c>
      <c r="C769">
        <v>0.25</v>
      </c>
      <c r="D769" t="s">
        <v>2425</v>
      </c>
    </row>
    <row r="770" spans="1:4" x14ac:dyDescent="0.25">
      <c r="A770" t="s">
        <v>1442</v>
      </c>
      <c r="B770">
        <v>0.25</v>
      </c>
      <c r="C770">
        <v>0.25</v>
      </c>
      <c r="D770" t="s">
        <v>2425</v>
      </c>
    </row>
    <row r="771" spans="1:4" x14ac:dyDescent="0.25">
      <c r="A771" t="s">
        <v>1470</v>
      </c>
      <c r="B771">
        <v>0.35</v>
      </c>
      <c r="C771">
        <v>0.35</v>
      </c>
      <c r="D771" t="s">
        <v>2425</v>
      </c>
    </row>
    <row r="772" spans="1:4" x14ac:dyDescent="0.25">
      <c r="A772" t="s">
        <v>1499</v>
      </c>
      <c r="B772">
        <v>0.25</v>
      </c>
      <c r="C772">
        <v>0.25</v>
      </c>
      <c r="D772" t="s">
        <v>2425</v>
      </c>
    </row>
    <row r="773" spans="1:4" x14ac:dyDescent="0.25">
      <c r="A773" t="s">
        <v>1525</v>
      </c>
      <c r="B773">
        <v>0.25</v>
      </c>
      <c r="C773">
        <v>0.25</v>
      </c>
      <c r="D773" t="s">
        <v>2425</v>
      </c>
    </row>
    <row r="774" spans="1:4" x14ac:dyDescent="0.25">
      <c r="A774" t="s">
        <v>1551</v>
      </c>
      <c r="B774">
        <v>0.25</v>
      </c>
      <c r="C774">
        <v>0.25</v>
      </c>
      <c r="D774" t="s">
        <v>2425</v>
      </c>
    </row>
    <row r="775" spans="1:4" x14ac:dyDescent="0.25">
      <c r="A775" t="s">
        <v>1577</v>
      </c>
      <c r="B775">
        <v>0.25</v>
      </c>
      <c r="C775">
        <v>0.25</v>
      </c>
      <c r="D775" t="s">
        <v>2425</v>
      </c>
    </row>
    <row r="776" spans="1:4" x14ac:dyDescent="0.25">
      <c r="A776" t="s">
        <v>1603</v>
      </c>
      <c r="B776">
        <v>0.25</v>
      </c>
      <c r="C776">
        <v>0.25</v>
      </c>
      <c r="D776" t="s">
        <v>2425</v>
      </c>
    </row>
    <row r="777" spans="1:4" x14ac:dyDescent="0.25">
      <c r="A777" t="s">
        <v>1628</v>
      </c>
      <c r="B777">
        <v>0.25</v>
      </c>
      <c r="C777">
        <v>0.25</v>
      </c>
      <c r="D777" t="s">
        <v>2425</v>
      </c>
    </row>
    <row r="778" spans="1:4" x14ac:dyDescent="0.25">
      <c r="A778" t="s">
        <v>1281</v>
      </c>
      <c r="B778">
        <v>0.25</v>
      </c>
      <c r="C778">
        <v>0.25</v>
      </c>
      <c r="D778" t="s">
        <v>2425</v>
      </c>
    </row>
    <row r="779" spans="1:4" x14ac:dyDescent="0.25">
      <c r="A779" t="s">
        <v>1675</v>
      </c>
      <c r="B779">
        <v>0.25</v>
      </c>
      <c r="C779">
        <v>0.25</v>
      </c>
      <c r="D779" t="s">
        <v>2425</v>
      </c>
    </row>
    <row r="780" spans="1:4" x14ac:dyDescent="0.25">
      <c r="A780" t="s">
        <v>1698</v>
      </c>
      <c r="B780">
        <v>0.3</v>
      </c>
      <c r="C780">
        <v>0.25</v>
      </c>
      <c r="D780" t="s">
        <v>2425</v>
      </c>
    </row>
    <row r="781" spans="1:4" x14ac:dyDescent="0.25">
      <c r="A781" t="s">
        <v>1719</v>
      </c>
      <c r="B781">
        <v>0.3</v>
      </c>
      <c r="C781">
        <v>0.3</v>
      </c>
      <c r="D781" t="s">
        <v>2425</v>
      </c>
    </row>
    <row r="782" spans="1:4" x14ac:dyDescent="0.25">
      <c r="A782" t="s">
        <v>1739</v>
      </c>
      <c r="B782">
        <v>0.4</v>
      </c>
      <c r="C782">
        <v>0.35</v>
      </c>
      <c r="D782" t="s">
        <v>2425</v>
      </c>
    </row>
    <row r="783" spans="1:4" x14ac:dyDescent="0.25">
      <c r="A783" t="s">
        <v>1759</v>
      </c>
      <c r="B783">
        <v>0.25</v>
      </c>
      <c r="C783">
        <v>0.25</v>
      </c>
      <c r="D783" t="s">
        <v>2425</v>
      </c>
    </row>
    <row r="784" spans="1:4" x14ac:dyDescent="0.25">
      <c r="A784" t="s">
        <v>1779</v>
      </c>
      <c r="B784">
        <v>0.3</v>
      </c>
      <c r="C784">
        <v>0.3</v>
      </c>
      <c r="D784" t="s">
        <v>2425</v>
      </c>
    </row>
    <row r="785" spans="1:4" x14ac:dyDescent="0.25">
      <c r="A785" t="s">
        <v>1797</v>
      </c>
      <c r="B785">
        <v>0.25</v>
      </c>
      <c r="C785">
        <v>0.25</v>
      </c>
      <c r="D785" t="s">
        <v>2425</v>
      </c>
    </row>
    <row r="786" spans="1:4" x14ac:dyDescent="0.25">
      <c r="A786" t="s">
        <v>1816</v>
      </c>
      <c r="B786">
        <v>0.25</v>
      </c>
      <c r="C786">
        <v>0.25</v>
      </c>
      <c r="D786" t="s">
        <v>2425</v>
      </c>
    </row>
    <row r="787" spans="1:4" x14ac:dyDescent="0.25">
      <c r="A787" t="s">
        <v>1835</v>
      </c>
      <c r="B787">
        <v>0.5</v>
      </c>
      <c r="C787">
        <v>0.4</v>
      </c>
      <c r="D787" t="s">
        <v>2425</v>
      </c>
    </row>
    <row r="788" spans="1:4" x14ac:dyDescent="0.25">
      <c r="A788" t="s">
        <v>1854</v>
      </c>
      <c r="B788">
        <v>0.25</v>
      </c>
      <c r="C788">
        <v>0.25</v>
      </c>
      <c r="D788" t="s">
        <v>2425</v>
      </c>
    </row>
    <row r="789" spans="1:4" x14ac:dyDescent="0.25">
      <c r="A789" t="s">
        <v>1872</v>
      </c>
      <c r="B789">
        <v>0.25</v>
      </c>
      <c r="C789">
        <v>0.25</v>
      </c>
      <c r="D789" t="s">
        <v>2425</v>
      </c>
    </row>
    <row r="790" spans="1:4" x14ac:dyDescent="0.25">
      <c r="A790" t="s">
        <v>1890</v>
      </c>
      <c r="B790">
        <v>0.25</v>
      </c>
      <c r="C790">
        <v>0.25</v>
      </c>
      <c r="D790" t="s">
        <v>2425</v>
      </c>
    </row>
    <row r="791" spans="1:4" x14ac:dyDescent="0.25">
      <c r="A791" t="s">
        <v>1906</v>
      </c>
      <c r="B791">
        <v>0.25</v>
      </c>
      <c r="C791">
        <v>0.25</v>
      </c>
      <c r="D791" t="s">
        <v>2425</v>
      </c>
    </row>
    <row r="792" spans="1:4" x14ac:dyDescent="0.25">
      <c r="A792" t="s">
        <v>1922</v>
      </c>
      <c r="B792">
        <v>0.25</v>
      </c>
      <c r="C792">
        <v>0.25</v>
      </c>
      <c r="D792" t="s">
        <v>2425</v>
      </c>
    </row>
    <row r="793" spans="1:4" x14ac:dyDescent="0.25">
      <c r="A793" t="s">
        <v>1937</v>
      </c>
      <c r="B793">
        <v>0.25</v>
      </c>
      <c r="C793">
        <v>0.25</v>
      </c>
      <c r="D793" t="s">
        <v>2425</v>
      </c>
    </row>
    <row r="794" spans="1:4" x14ac:dyDescent="0.25">
      <c r="A794" t="s">
        <v>1234</v>
      </c>
      <c r="B794">
        <v>0.3</v>
      </c>
      <c r="C794">
        <v>0.25</v>
      </c>
      <c r="D794" t="s">
        <v>2425</v>
      </c>
    </row>
    <row r="795" spans="1:4" x14ac:dyDescent="0.25">
      <c r="A795" t="s">
        <v>1962</v>
      </c>
      <c r="B795">
        <v>0.25</v>
      </c>
      <c r="C795">
        <v>0.25</v>
      </c>
      <c r="D795" t="s">
        <v>2425</v>
      </c>
    </row>
    <row r="796" spans="1:4" x14ac:dyDescent="0.25">
      <c r="A796" t="s">
        <v>1974</v>
      </c>
      <c r="B796">
        <v>0.25</v>
      </c>
      <c r="C796">
        <v>0.25</v>
      </c>
      <c r="D796" t="s">
        <v>2425</v>
      </c>
    </row>
    <row r="797" spans="1:4" x14ac:dyDescent="0.25">
      <c r="A797" t="s">
        <v>1985</v>
      </c>
      <c r="B797">
        <v>0.3</v>
      </c>
      <c r="C797">
        <v>0.3</v>
      </c>
      <c r="D797" t="s">
        <v>2425</v>
      </c>
    </row>
    <row r="798" spans="1:4" x14ac:dyDescent="0.25">
      <c r="A798" t="s">
        <v>1996</v>
      </c>
      <c r="B798">
        <v>0.5</v>
      </c>
      <c r="C798">
        <v>0.4</v>
      </c>
      <c r="D798" t="s">
        <v>2425</v>
      </c>
    </row>
    <row r="799" spans="1:4" x14ac:dyDescent="0.25">
      <c r="A799" t="s">
        <v>2007</v>
      </c>
      <c r="B799">
        <v>0.25</v>
      </c>
      <c r="C799">
        <v>0.25</v>
      </c>
      <c r="D799" t="s">
        <v>2425</v>
      </c>
    </row>
    <row r="800" spans="1:4" x14ac:dyDescent="0.25">
      <c r="A800" t="s">
        <v>2018</v>
      </c>
      <c r="B800">
        <v>0.3</v>
      </c>
      <c r="C800">
        <v>0.25</v>
      </c>
      <c r="D800" t="s">
        <v>2425</v>
      </c>
    </row>
    <row r="801" spans="1:4" x14ac:dyDescent="0.25">
      <c r="A801" t="s">
        <v>2028</v>
      </c>
      <c r="B801">
        <v>0.25</v>
      </c>
      <c r="C801">
        <v>0.25</v>
      </c>
      <c r="D801" t="s">
        <v>2425</v>
      </c>
    </row>
    <row r="802" spans="1:4" x14ac:dyDescent="0.25">
      <c r="A802" t="s">
        <v>2039</v>
      </c>
      <c r="B802">
        <v>0.3</v>
      </c>
      <c r="C802">
        <v>0.3</v>
      </c>
      <c r="D802" t="s">
        <v>2425</v>
      </c>
    </row>
    <row r="803" spans="1:4" x14ac:dyDescent="0.25">
      <c r="A803" t="s">
        <v>2049</v>
      </c>
      <c r="B803">
        <v>0.4</v>
      </c>
      <c r="C803">
        <v>0.35</v>
      </c>
      <c r="D803" t="s">
        <v>2425</v>
      </c>
    </row>
    <row r="804" spans="1:4" x14ac:dyDescent="0.25">
      <c r="A804" t="s">
        <v>2059</v>
      </c>
      <c r="B804">
        <v>0.3</v>
      </c>
      <c r="C804">
        <v>0.25</v>
      </c>
      <c r="D804" t="s">
        <v>2425</v>
      </c>
    </row>
    <row r="805" spans="1:4" x14ac:dyDescent="0.25">
      <c r="A805" t="s">
        <v>2069</v>
      </c>
      <c r="B805">
        <v>0.5</v>
      </c>
      <c r="C805">
        <v>0.4</v>
      </c>
      <c r="D805" t="s">
        <v>2425</v>
      </c>
    </row>
    <row r="806" spans="1:4" x14ac:dyDescent="0.25">
      <c r="A806" t="s">
        <v>2079</v>
      </c>
      <c r="B806">
        <v>0.5</v>
      </c>
      <c r="C806">
        <v>0.4</v>
      </c>
      <c r="D806" t="s">
        <v>2425</v>
      </c>
    </row>
    <row r="807" spans="1:4" x14ac:dyDescent="0.25">
      <c r="A807" t="s">
        <v>2087</v>
      </c>
      <c r="B807">
        <v>0.25</v>
      </c>
      <c r="C807">
        <v>0.25</v>
      </c>
      <c r="D807" t="s">
        <v>2425</v>
      </c>
    </row>
    <row r="808" spans="1:4" x14ac:dyDescent="0.25">
      <c r="A808" t="s">
        <v>2095</v>
      </c>
      <c r="B808">
        <v>0.3</v>
      </c>
      <c r="C808">
        <v>0.3</v>
      </c>
      <c r="D808" t="s">
        <v>2425</v>
      </c>
    </row>
    <row r="809" spans="1:4" x14ac:dyDescent="0.25">
      <c r="A809" t="s">
        <v>2102</v>
      </c>
      <c r="B809">
        <v>0.25</v>
      </c>
      <c r="C809">
        <v>0.25</v>
      </c>
      <c r="D809" t="s">
        <v>2425</v>
      </c>
    </row>
    <row r="810" spans="1:4" x14ac:dyDescent="0.25">
      <c r="A810" t="s">
        <v>2109</v>
      </c>
      <c r="B810">
        <v>0.25</v>
      </c>
      <c r="C810">
        <v>0.25</v>
      </c>
      <c r="D810" t="s">
        <v>2425</v>
      </c>
    </row>
    <row r="811" spans="1:4" x14ac:dyDescent="0.25">
      <c r="A811" t="s">
        <v>2115</v>
      </c>
      <c r="B811">
        <v>0.25</v>
      </c>
      <c r="C811">
        <v>0.25</v>
      </c>
      <c r="D811" t="s">
        <v>2425</v>
      </c>
    </row>
    <row r="812" spans="1:4" x14ac:dyDescent="0.25">
      <c r="A812" t="s">
        <v>2121</v>
      </c>
      <c r="B812">
        <v>0.25</v>
      </c>
      <c r="C812">
        <v>0.25</v>
      </c>
      <c r="D812" t="s">
        <v>2425</v>
      </c>
    </row>
    <row r="813" spans="1:4" x14ac:dyDescent="0.25">
      <c r="A813" t="s">
        <v>2127</v>
      </c>
      <c r="B813">
        <v>0.35</v>
      </c>
      <c r="C813">
        <v>0.3</v>
      </c>
      <c r="D813" t="s">
        <v>2425</v>
      </c>
    </row>
    <row r="814" spans="1:4" x14ac:dyDescent="0.25">
      <c r="A814" t="s">
        <v>2132</v>
      </c>
      <c r="B814">
        <v>0.45</v>
      </c>
      <c r="C814">
        <v>0.4</v>
      </c>
      <c r="D814" t="s">
        <v>2425</v>
      </c>
    </row>
    <row r="815" spans="1:4" x14ac:dyDescent="0.25">
      <c r="A815" t="s">
        <v>2137</v>
      </c>
      <c r="B815">
        <v>0.3</v>
      </c>
      <c r="C815">
        <v>0.3</v>
      </c>
      <c r="D815" t="s">
        <v>2425</v>
      </c>
    </row>
    <row r="816" spans="1:4" x14ac:dyDescent="0.25">
      <c r="A816" t="s">
        <v>2142</v>
      </c>
      <c r="B816">
        <v>0.25</v>
      </c>
      <c r="C816">
        <v>0.25</v>
      </c>
      <c r="D816" t="s">
        <v>2425</v>
      </c>
    </row>
    <row r="817" spans="1:4" x14ac:dyDescent="0.25">
      <c r="A817" t="s">
        <v>2147</v>
      </c>
      <c r="B817">
        <v>0.25</v>
      </c>
      <c r="C817">
        <v>0.25</v>
      </c>
      <c r="D817" t="s">
        <v>2425</v>
      </c>
    </row>
    <row r="818" spans="1:4" x14ac:dyDescent="0.25">
      <c r="A818" t="s">
        <v>2152</v>
      </c>
      <c r="B818">
        <v>0.25</v>
      </c>
      <c r="C818">
        <v>0.25</v>
      </c>
      <c r="D818" t="s">
        <v>2425</v>
      </c>
    </row>
    <row r="819" spans="1:4" x14ac:dyDescent="0.25">
      <c r="A819" t="s">
        <v>2157</v>
      </c>
      <c r="B819">
        <v>0.25</v>
      </c>
      <c r="C819">
        <v>0.25</v>
      </c>
      <c r="D819" t="s">
        <v>2425</v>
      </c>
    </row>
    <row r="820" spans="1:4" x14ac:dyDescent="0.25">
      <c r="A820" t="s">
        <v>2162</v>
      </c>
      <c r="B820">
        <v>0.25</v>
      </c>
      <c r="C820">
        <v>0.25</v>
      </c>
      <c r="D820" t="s">
        <v>2425</v>
      </c>
    </row>
    <row r="821" spans="1:4" x14ac:dyDescent="0.25">
      <c r="A821" t="s">
        <v>2167</v>
      </c>
      <c r="B821">
        <v>0.45</v>
      </c>
      <c r="C821">
        <v>0.35</v>
      </c>
      <c r="D821" t="s">
        <v>2425</v>
      </c>
    </row>
    <row r="822" spans="1:4" x14ac:dyDescent="0.25">
      <c r="A822" t="s">
        <v>2172</v>
      </c>
      <c r="B822">
        <v>0.3</v>
      </c>
      <c r="C822">
        <v>0.25</v>
      </c>
      <c r="D822" t="s">
        <v>2425</v>
      </c>
    </row>
    <row r="823" spans="1:4" x14ac:dyDescent="0.25">
      <c r="A823" t="s">
        <v>2177</v>
      </c>
      <c r="B823">
        <v>0.25</v>
      </c>
      <c r="C823">
        <v>0.25</v>
      </c>
      <c r="D823" t="s">
        <v>2425</v>
      </c>
    </row>
    <row r="824" spans="1:4" x14ac:dyDescent="0.25">
      <c r="A824" t="s">
        <v>2182</v>
      </c>
      <c r="B824">
        <v>0.25</v>
      </c>
      <c r="C824">
        <v>0.25</v>
      </c>
      <c r="D824" t="s">
        <v>2425</v>
      </c>
    </row>
    <row r="825" spans="1:4" x14ac:dyDescent="0.25">
      <c r="A825" t="s">
        <v>2187</v>
      </c>
      <c r="B825">
        <v>0.25</v>
      </c>
      <c r="C825">
        <v>0.25</v>
      </c>
      <c r="D825" t="s">
        <v>2425</v>
      </c>
    </row>
    <row r="826" spans="1:4" x14ac:dyDescent="0.25">
      <c r="A826" t="s">
        <v>2192</v>
      </c>
      <c r="B826">
        <v>0.45</v>
      </c>
      <c r="C826">
        <v>0.4</v>
      </c>
      <c r="D826" t="s">
        <v>2425</v>
      </c>
    </row>
    <row r="827" spans="1:4" x14ac:dyDescent="0.25">
      <c r="A827" t="s">
        <v>2197</v>
      </c>
      <c r="B827">
        <v>0.25</v>
      </c>
      <c r="C827">
        <v>0.25</v>
      </c>
      <c r="D827" t="s">
        <v>2425</v>
      </c>
    </row>
    <row r="828" spans="1:4" x14ac:dyDescent="0.25">
      <c r="A828" t="s">
        <v>2202</v>
      </c>
      <c r="B828">
        <v>0.25</v>
      </c>
      <c r="C828">
        <v>0.25</v>
      </c>
      <c r="D828" t="s">
        <v>2425</v>
      </c>
    </row>
    <row r="829" spans="1:4" x14ac:dyDescent="0.25">
      <c r="A829" t="s">
        <v>1319</v>
      </c>
      <c r="B829">
        <v>0.35</v>
      </c>
      <c r="C829">
        <v>0.3</v>
      </c>
      <c r="D829" t="s">
        <v>2425</v>
      </c>
    </row>
    <row r="830" spans="1:4" x14ac:dyDescent="0.25">
      <c r="A830" t="s">
        <v>1351</v>
      </c>
      <c r="B830">
        <v>0.25</v>
      </c>
      <c r="C830">
        <v>0.2</v>
      </c>
      <c r="D830" t="s">
        <v>2425</v>
      </c>
    </row>
    <row r="831" spans="1:4" x14ac:dyDescent="0.25">
      <c r="A831" t="s">
        <v>1382</v>
      </c>
      <c r="B831">
        <v>0.3</v>
      </c>
      <c r="C831">
        <v>0.25</v>
      </c>
      <c r="D831" t="s">
        <v>2425</v>
      </c>
    </row>
    <row r="832" spans="1:4" x14ac:dyDescent="0.25">
      <c r="A832" t="s">
        <v>1413</v>
      </c>
      <c r="B832">
        <v>0.35</v>
      </c>
      <c r="C832">
        <v>0.25</v>
      </c>
      <c r="D832" t="s">
        <v>2425</v>
      </c>
    </row>
    <row r="833" spans="1:4" x14ac:dyDescent="0.25">
      <c r="A833" t="s">
        <v>1443</v>
      </c>
      <c r="B833">
        <v>0.3</v>
      </c>
      <c r="C833">
        <v>0.25</v>
      </c>
      <c r="D833" t="s">
        <v>2425</v>
      </c>
    </row>
    <row r="834" spans="1:4" x14ac:dyDescent="0.25">
      <c r="A834" t="s">
        <v>1471</v>
      </c>
      <c r="B834">
        <v>0.25</v>
      </c>
      <c r="C834">
        <v>0.25</v>
      </c>
      <c r="D834" t="s">
        <v>2425</v>
      </c>
    </row>
    <row r="835" spans="1:4" x14ac:dyDescent="0.25">
      <c r="A835" t="s">
        <v>1500</v>
      </c>
      <c r="B835">
        <v>0.3</v>
      </c>
      <c r="C835">
        <v>0.25</v>
      </c>
      <c r="D835" t="s">
        <v>2425</v>
      </c>
    </row>
    <row r="836" spans="1:4" x14ac:dyDescent="0.25">
      <c r="A836" t="s">
        <v>1526</v>
      </c>
      <c r="B836">
        <v>0.35</v>
      </c>
      <c r="C836">
        <v>0.3</v>
      </c>
      <c r="D836" t="s">
        <v>2425</v>
      </c>
    </row>
    <row r="837" spans="1:4" x14ac:dyDescent="0.25">
      <c r="A837" t="s">
        <v>1552</v>
      </c>
      <c r="B837">
        <v>0.3</v>
      </c>
      <c r="C837">
        <v>0.3</v>
      </c>
      <c r="D837" t="s">
        <v>2425</v>
      </c>
    </row>
    <row r="838" spans="1:4" x14ac:dyDescent="0.25">
      <c r="A838" t="s">
        <v>1578</v>
      </c>
      <c r="B838">
        <v>0.2</v>
      </c>
      <c r="C838">
        <v>0.15</v>
      </c>
      <c r="D838" t="s">
        <v>2424</v>
      </c>
    </row>
    <row r="839" spans="1:4" x14ac:dyDescent="0.25">
      <c r="A839" t="s">
        <v>1604</v>
      </c>
      <c r="B839">
        <v>0.3</v>
      </c>
      <c r="C839">
        <v>0.25</v>
      </c>
      <c r="D839" t="s">
        <v>2425</v>
      </c>
    </row>
    <row r="840" spans="1:4" x14ac:dyDescent="0.25">
      <c r="A840" t="s">
        <v>1629</v>
      </c>
      <c r="B840">
        <v>0.35</v>
      </c>
      <c r="C840">
        <v>0.25</v>
      </c>
      <c r="D840" t="s">
        <v>2425</v>
      </c>
    </row>
    <row r="841" spans="1:4" x14ac:dyDescent="0.25">
      <c r="A841" t="s">
        <v>1653</v>
      </c>
      <c r="B841">
        <v>0.15</v>
      </c>
      <c r="C841">
        <v>0.1</v>
      </c>
      <c r="D841" t="s">
        <v>2424</v>
      </c>
    </row>
    <row r="842" spans="1:4" x14ac:dyDescent="0.25">
      <c r="A842" t="s">
        <v>1676</v>
      </c>
      <c r="B842">
        <v>0.2</v>
      </c>
      <c r="C842">
        <v>0.15</v>
      </c>
      <c r="D842" t="s">
        <v>2424</v>
      </c>
    </row>
    <row r="843" spans="1:4" x14ac:dyDescent="0.25">
      <c r="A843" t="s">
        <v>1699</v>
      </c>
      <c r="B843">
        <v>0.35</v>
      </c>
      <c r="C843">
        <v>0.25</v>
      </c>
      <c r="D843" t="s">
        <v>2425</v>
      </c>
    </row>
    <row r="844" spans="1:4" x14ac:dyDescent="0.25">
      <c r="A844" t="s">
        <v>1720</v>
      </c>
      <c r="B844">
        <v>0.3</v>
      </c>
      <c r="C844">
        <v>0.25</v>
      </c>
      <c r="D844" t="s">
        <v>2425</v>
      </c>
    </row>
    <row r="845" spans="1:4" x14ac:dyDescent="0.25">
      <c r="A845" t="s">
        <v>1740</v>
      </c>
      <c r="B845">
        <v>0.25</v>
      </c>
      <c r="C845">
        <v>0.2</v>
      </c>
      <c r="D845" t="s">
        <v>2425</v>
      </c>
    </row>
    <row r="846" spans="1:4" x14ac:dyDescent="0.25">
      <c r="A846" t="s">
        <v>1760</v>
      </c>
      <c r="B846">
        <v>0.35</v>
      </c>
      <c r="C846">
        <v>0.3</v>
      </c>
      <c r="D846" t="s">
        <v>2425</v>
      </c>
    </row>
    <row r="847" spans="1:4" x14ac:dyDescent="0.25">
      <c r="A847" t="s">
        <v>1780</v>
      </c>
      <c r="B847">
        <v>0.2</v>
      </c>
      <c r="C847">
        <v>0.2</v>
      </c>
      <c r="D847" t="s">
        <v>2424</v>
      </c>
    </row>
    <row r="848" spans="1:4" x14ac:dyDescent="0.25">
      <c r="A848" t="s">
        <v>1798</v>
      </c>
      <c r="B848">
        <v>0.2</v>
      </c>
      <c r="C848">
        <v>0.15</v>
      </c>
      <c r="D848" t="s">
        <v>2424</v>
      </c>
    </row>
    <row r="849" spans="1:4" x14ac:dyDescent="0.25">
      <c r="A849" t="s">
        <v>1817</v>
      </c>
      <c r="B849">
        <v>0.35</v>
      </c>
      <c r="C849">
        <v>0.3</v>
      </c>
      <c r="D849" t="s">
        <v>2425</v>
      </c>
    </row>
    <row r="850" spans="1:4" x14ac:dyDescent="0.25">
      <c r="A850" t="s">
        <v>1836</v>
      </c>
      <c r="B850">
        <v>0.35</v>
      </c>
      <c r="C850">
        <v>0.3</v>
      </c>
      <c r="D850" t="s">
        <v>2425</v>
      </c>
    </row>
    <row r="851" spans="1:4" x14ac:dyDescent="0.25">
      <c r="A851" t="s">
        <v>1855</v>
      </c>
      <c r="B851">
        <v>0.3</v>
      </c>
      <c r="C851">
        <v>0.25</v>
      </c>
      <c r="D851" t="s">
        <v>2425</v>
      </c>
    </row>
    <row r="852" spans="1:4" x14ac:dyDescent="0.25">
      <c r="A852" t="s">
        <v>1873</v>
      </c>
      <c r="B852">
        <v>0.3</v>
      </c>
      <c r="C852">
        <v>0.25</v>
      </c>
      <c r="D852" t="s">
        <v>2425</v>
      </c>
    </row>
    <row r="853" spans="1:4" x14ac:dyDescent="0.25">
      <c r="A853" t="s">
        <v>1891</v>
      </c>
      <c r="B853">
        <v>0.2</v>
      </c>
      <c r="C853">
        <v>0.15</v>
      </c>
      <c r="D853" t="s">
        <v>2424</v>
      </c>
    </row>
    <row r="854" spans="1:4" x14ac:dyDescent="0.25">
      <c r="A854" t="s">
        <v>1907</v>
      </c>
      <c r="B854">
        <v>0.3</v>
      </c>
      <c r="C854">
        <v>0.25</v>
      </c>
      <c r="D854" t="s">
        <v>2425</v>
      </c>
    </row>
    <row r="855" spans="1:4" x14ac:dyDescent="0.25">
      <c r="A855" t="s">
        <v>1923</v>
      </c>
      <c r="B855">
        <v>0.35</v>
      </c>
      <c r="C855">
        <v>0.25</v>
      </c>
      <c r="D855" t="s">
        <v>2425</v>
      </c>
    </row>
    <row r="856" spans="1:4" x14ac:dyDescent="0.25">
      <c r="A856" t="s">
        <v>1560</v>
      </c>
      <c r="B856">
        <v>0.35</v>
      </c>
      <c r="C856">
        <v>0.25</v>
      </c>
      <c r="D856" t="s">
        <v>2425</v>
      </c>
    </row>
    <row r="857" spans="1:4" x14ac:dyDescent="0.25">
      <c r="A857" t="s">
        <v>1950</v>
      </c>
      <c r="B857">
        <v>0.35</v>
      </c>
      <c r="C857">
        <v>0.3</v>
      </c>
      <c r="D857" t="s">
        <v>2425</v>
      </c>
    </row>
    <row r="858" spans="1:4" x14ac:dyDescent="0.25">
      <c r="A858" t="s">
        <v>1963</v>
      </c>
      <c r="B858">
        <v>0.3</v>
      </c>
      <c r="C858">
        <v>0.25</v>
      </c>
      <c r="D858" t="s">
        <v>2425</v>
      </c>
    </row>
    <row r="859" spans="1:4" x14ac:dyDescent="0.25">
      <c r="A859" t="s">
        <v>1975</v>
      </c>
      <c r="B859">
        <v>0.2</v>
      </c>
      <c r="C859">
        <v>0.15</v>
      </c>
      <c r="D859" t="s">
        <v>2424</v>
      </c>
    </row>
    <row r="860" spans="1:4" x14ac:dyDescent="0.25">
      <c r="A860" t="s">
        <v>1986</v>
      </c>
      <c r="B860">
        <v>0.35</v>
      </c>
      <c r="C860">
        <v>0.3</v>
      </c>
      <c r="D860" t="s">
        <v>2425</v>
      </c>
    </row>
    <row r="861" spans="1:4" x14ac:dyDescent="0.25">
      <c r="A861" t="s">
        <v>1997</v>
      </c>
      <c r="B861">
        <v>0.3</v>
      </c>
      <c r="C861">
        <v>0.25</v>
      </c>
      <c r="D861" t="s">
        <v>2425</v>
      </c>
    </row>
    <row r="862" spans="1:4" x14ac:dyDescent="0.25">
      <c r="A862" t="s">
        <v>2008</v>
      </c>
      <c r="B862">
        <v>0.3</v>
      </c>
      <c r="C862">
        <v>0.25</v>
      </c>
      <c r="D862" t="s">
        <v>2425</v>
      </c>
    </row>
    <row r="863" spans="1:4" x14ac:dyDescent="0.25">
      <c r="A863" t="s">
        <v>2019</v>
      </c>
      <c r="B863">
        <v>0.25</v>
      </c>
      <c r="C863">
        <v>0.25</v>
      </c>
      <c r="D863" t="s">
        <v>2425</v>
      </c>
    </row>
    <row r="864" spans="1:4" x14ac:dyDescent="0.25">
      <c r="A864" t="s">
        <v>2029</v>
      </c>
      <c r="B864">
        <v>0.2</v>
      </c>
      <c r="C864">
        <v>0.15</v>
      </c>
      <c r="D864" t="s">
        <v>2424</v>
      </c>
    </row>
    <row r="865" spans="1:4" x14ac:dyDescent="0.25">
      <c r="A865" t="s">
        <v>2040</v>
      </c>
      <c r="B865">
        <v>0.2</v>
      </c>
      <c r="C865">
        <v>0.2</v>
      </c>
      <c r="D865" t="s">
        <v>2424</v>
      </c>
    </row>
    <row r="866" spans="1:4" x14ac:dyDescent="0.25">
      <c r="A866" t="s">
        <v>2050</v>
      </c>
      <c r="B866">
        <v>0.35</v>
      </c>
      <c r="C866">
        <v>0.3</v>
      </c>
      <c r="D866" t="s">
        <v>2425</v>
      </c>
    </row>
    <row r="867" spans="1:4" x14ac:dyDescent="0.25">
      <c r="A867" t="s">
        <v>2060</v>
      </c>
      <c r="B867">
        <v>0.3</v>
      </c>
      <c r="C867">
        <v>0.25</v>
      </c>
      <c r="D867" t="s">
        <v>2425</v>
      </c>
    </row>
    <row r="868" spans="1:4" x14ac:dyDescent="0.25">
      <c r="A868" t="s">
        <v>2070</v>
      </c>
      <c r="B868">
        <v>0.35</v>
      </c>
      <c r="C868">
        <v>0.3</v>
      </c>
      <c r="D868" t="s">
        <v>2425</v>
      </c>
    </row>
    <row r="869" spans="1:4" x14ac:dyDescent="0.25">
      <c r="A869" t="s">
        <v>1320</v>
      </c>
      <c r="B869">
        <v>0.3</v>
      </c>
      <c r="C869">
        <v>0.25</v>
      </c>
      <c r="D869" t="s">
        <v>2425</v>
      </c>
    </row>
    <row r="870" spans="1:4" x14ac:dyDescent="0.25">
      <c r="A870" t="s">
        <v>1352</v>
      </c>
      <c r="B870">
        <v>0.25</v>
      </c>
      <c r="C870">
        <v>0.25</v>
      </c>
      <c r="D870" t="s">
        <v>2425</v>
      </c>
    </row>
    <row r="871" spans="1:4" x14ac:dyDescent="0.25">
      <c r="A871" t="s">
        <v>1383</v>
      </c>
      <c r="B871">
        <v>0.3</v>
      </c>
      <c r="C871">
        <v>0.25</v>
      </c>
      <c r="D871" t="s">
        <v>2425</v>
      </c>
    </row>
    <row r="872" spans="1:4" x14ac:dyDescent="0.25">
      <c r="A872" t="s">
        <v>1414</v>
      </c>
      <c r="B872">
        <v>0.05</v>
      </c>
      <c r="C872">
        <v>0.15</v>
      </c>
      <c r="D872" t="s">
        <v>2424</v>
      </c>
    </row>
    <row r="873" spans="1:4" x14ac:dyDescent="0.25">
      <c r="A873" t="s">
        <v>1444</v>
      </c>
      <c r="B873">
        <v>0.15</v>
      </c>
      <c r="C873">
        <v>0.2</v>
      </c>
      <c r="D873" t="s">
        <v>2424</v>
      </c>
    </row>
    <row r="874" spans="1:4" x14ac:dyDescent="0.25">
      <c r="A874" t="s">
        <v>1472</v>
      </c>
      <c r="B874">
        <v>0.05</v>
      </c>
      <c r="C874">
        <v>0.15</v>
      </c>
      <c r="D874" t="s">
        <v>2424</v>
      </c>
    </row>
    <row r="875" spans="1:4" x14ac:dyDescent="0.25">
      <c r="A875" t="s">
        <v>1501</v>
      </c>
      <c r="B875">
        <v>0.05</v>
      </c>
      <c r="C875">
        <v>0.05</v>
      </c>
      <c r="D875" t="s">
        <v>2423</v>
      </c>
    </row>
    <row r="876" spans="1:4" x14ac:dyDescent="0.25">
      <c r="A876" t="s">
        <v>1527</v>
      </c>
      <c r="B876">
        <v>0.3</v>
      </c>
      <c r="C876">
        <v>0.25</v>
      </c>
      <c r="D876" t="s">
        <v>2425</v>
      </c>
    </row>
    <row r="877" spans="1:4" x14ac:dyDescent="0.25">
      <c r="A877" t="s">
        <v>1553</v>
      </c>
      <c r="B877">
        <v>0.15</v>
      </c>
      <c r="C877">
        <v>0.2</v>
      </c>
      <c r="D877" t="s">
        <v>2424</v>
      </c>
    </row>
    <row r="878" spans="1:4" x14ac:dyDescent="0.25">
      <c r="A878" t="s">
        <v>1579</v>
      </c>
      <c r="B878">
        <v>0.3</v>
      </c>
      <c r="C878">
        <v>0.25</v>
      </c>
      <c r="D878" t="s">
        <v>2425</v>
      </c>
    </row>
    <row r="879" spans="1:4" x14ac:dyDescent="0.25">
      <c r="A879" t="s">
        <v>1605</v>
      </c>
      <c r="B879">
        <v>0.25</v>
      </c>
      <c r="C879">
        <v>0.25</v>
      </c>
      <c r="D879" t="s">
        <v>2425</v>
      </c>
    </row>
    <row r="880" spans="1:4" x14ac:dyDescent="0.25">
      <c r="A880" t="s">
        <v>1630</v>
      </c>
      <c r="B880">
        <v>0.15</v>
      </c>
      <c r="C880">
        <v>0.2</v>
      </c>
      <c r="D880" t="s">
        <v>2424</v>
      </c>
    </row>
    <row r="881" spans="1:4" x14ac:dyDescent="0.25">
      <c r="A881" t="s">
        <v>1654</v>
      </c>
      <c r="B881">
        <v>0.3</v>
      </c>
      <c r="C881">
        <v>0.25</v>
      </c>
      <c r="D881" t="s">
        <v>2425</v>
      </c>
    </row>
    <row r="882" spans="1:4" x14ac:dyDescent="0.25">
      <c r="A882" t="s">
        <v>1321</v>
      </c>
      <c r="B882">
        <v>0.25</v>
      </c>
      <c r="C882">
        <v>0.25</v>
      </c>
      <c r="D882" t="s">
        <v>2425</v>
      </c>
    </row>
    <row r="883" spans="1:4" x14ac:dyDescent="0.25">
      <c r="A883" t="s">
        <v>1353</v>
      </c>
      <c r="B883">
        <v>0.25</v>
      </c>
      <c r="C883">
        <v>0.2</v>
      </c>
      <c r="D883" t="s">
        <v>2425</v>
      </c>
    </row>
    <row r="884" spans="1:4" x14ac:dyDescent="0.25">
      <c r="A884" t="s">
        <v>1384</v>
      </c>
      <c r="B884">
        <v>0.25</v>
      </c>
      <c r="C884">
        <v>0.25</v>
      </c>
      <c r="D884" t="s">
        <v>2425</v>
      </c>
    </row>
    <row r="885" spans="1:4" x14ac:dyDescent="0.25">
      <c r="A885" t="s">
        <v>1415</v>
      </c>
      <c r="B885">
        <v>0.25</v>
      </c>
      <c r="C885">
        <v>0.25</v>
      </c>
      <c r="D885" t="s">
        <v>2425</v>
      </c>
    </row>
    <row r="886" spans="1:4" x14ac:dyDescent="0.25">
      <c r="A886" t="s">
        <v>1445</v>
      </c>
      <c r="B886">
        <v>0.25</v>
      </c>
      <c r="C886">
        <v>0.2</v>
      </c>
      <c r="D886" t="s">
        <v>2425</v>
      </c>
    </row>
    <row r="887" spans="1:4" x14ac:dyDescent="0.25">
      <c r="A887" t="s">
        <v>1473</v>
      </c>
      <c r="B887">
        <v>0.25</v>
      </c>
      <c r="C887">
        <v>0.25</v>
      </c>
      <c r="D887" t="s">
        <v>2425</v>
      </c>
    </row>
    <row r="888" spans="1:4" x14ac:dyDescent="0.25">
      <c r="A888" t="s">
        <v>1502</v>
      </c>
      <c r="B888">
        <v>0.25</v>
      </c>
      <c r="C888">
        <v>0.2</v>
      </c>
      <c r="D888" t="s">
        <v>2425</v>
      </c>
    </row>
    <row r="889" spans="1:4" x14ac:dyDescent="0.25">
      <c r="A889" t="s">
        <v>1528</v>
      </c>
      <c r="B889">
        <v>0.25</v>
      </c>
      <c r="C889">
        <v>0.25</v>
      </c>
      <c r="D889" t="s">
        <v>2425</v>
      </c>
    </row>
    <row r="890" spans="1:4" x14ac:dyDescent="0.25">
      <c r="A890" t="s">
        <v>1554</v>
      </c>
      <c r="B890">
        <v>0.25</v>
      </c>
      <c r="C890">
        <v>0.25</v>
      </c>
      <c r="D890" t="s">
        <v>2425</v>
      </c>
    </row>
    <row r="891" spans="1:4" x14ac:dyDescent="0.25">
      <c r="A891" t="s">
        <v>1580</v>
      </c>
      <c r="B891">
        <v>0.25</v>
      </c>
      <c r="C891">
        <v>0.2</v>
      </c>
      <c r="D891" t="s">
        <v>2425</v>
      </c>
    </row>
    <row r="892" spans="1:4" x14ac:dyDescent="0.25">
      <c r="A892" t="s">
        <v>1606</v>
      </c>
      <c r="B892">
        <v>0.25</v>
      </c>
      <c r="C892">
        <v>0.25</v>
      </c>
      <c r="D892" t="s">
        <v>2425</v>
      </c>
    </row>
    <row r="893" spans="1:4" x14ac:dyDescent="0.25">
      <c r="A893" t="s">
        <v>1631</v>
      </c>
      <c r="B893">
        <v>0.25</v>
      </c>
      <c r="C893">
        <v>0.25</v>
      </c>
      <c r="D893" t="s">
        <v>2425</v>
      </c>
    </row>
    <row r="894" spans="1:4" x14ac:dyDescent="0.25">
      <c r="A894" t="s">
        <v>1322</v>
      </c>
      <c r="B894">
        <v>0.25</v>
      </c>
      <c r="C894">
        <v>0.25</v>
      </c>
      <c r="D894" t="s">
        <v>2425</v>
      </c>
    </row>
    <row r="895" spans="1:4" x14ac:dyDescent="0.25">
      <c r="A895" t="s">
        <v>1354</v>
      </c>
      <c r="B895">
        <v>0.3</v>
      </c>
      <c r="C895">
        <v>0.3</v>
      </c>
      <c r="D895" t="s">
        <v>2425</v>
      </c>
    </row>
    <row r="896" spans="1:4" x14ac:dyDescent="0.25">
      <c r="A896" t="s">
        <v>1385</v>
      </c>
      <c r="B896">
        <v>0.25</v>
      </c>
      <c r="C896">
        <v>0.3</v>
      </c>
      <c r="D896" t="s">
        <v>2425</v>
      </c>
    </row>
    <row r="897" spans="1:4" x14ac:dyDescent="0.25">
      <c r="A897" t="s">
        <v>1416</v>
      </c>
      <c r="B897">
        <v>0.25</v>
      </c>
      <c r="C897">
        <v>0.3</v>
      </c>
      <c r="D897" t="s">
        <v>2425</v>
      </c>
    </row>
    <row r="898" spans="1:4" x14ac:dyDescent="0.25">
      <c r="A898" t="s">
        <v>1446</v>
      </c>
      <c r="B898">
        <v>0.25</v>
      </c>
      <c r="C898">
        <v>0.25</v>
      </c>
      <c r="D898" t="s">
        <v>2425</v>
      </c>
    </row>
    <row r="899" spans="1:4" x14ac:dyDescent="0.25">
      <c r="A899" t="s">
        <v>1474</v>
      </c>
      <c r="B899">
        <v>0.25</v>
      </c>
      <c r="C899">
        <v>0.3</v>
      </c>
      <c r="D899" t="s">
        <v>2425</v>
      </c>
    </row>
    <row r="900" spans="1:4" x14ac:dyDescent="0.25">
      <c r="A900" t="s">
        <v>1503</v>
      </c>
      <c r="B900">
        <v>0.3</v>
      </c>
      <c r="C900">
        <v>0.3</v>
      </c>
      <c r="D900" t="s">
        <v>2425</v>
      </c>
    </row>
    <row r="901" spans="1:4" x14ac:dyDescent="0.25">
      <c r="A901" t="s">
        <v>1529</v>
      </c>
      <c r="B901">
        <v>0.25</v>
      </c>
      <c r="C901">
        <v>0.3</v>
      </c>
      <c r="D901" t="s">
        <v>2425</v>
      </c>
    </row>
    <row r="902" spans="1:4" x14ac:dyDescent="0.25">
      <c r="A902" t="s">
        <v>1555</v>
      </c>
      <c r="B902">
        <v>0.25</v>
      </c>
      <c r="C902">
        <v>0.25</v>
      </c>
      <c r="D902" t="s">
        <v>2425</v>
      </c>
    </row>
    <row r="903" spans="1:4" x14ac:dyDescent="0.25">
      <c r="A903" t="s">
        <v>1581</v>
      </c>
      <c r="B903">
        <v>0.3</v>
      </c>
      <c r="C903">
        <v>0.3</v>
      </c>
      <c r="D903" t="s">
        <v>2425</v>
      </c>
    </row>
    <row r="904" spans="1:4" x14ac:dyDescent="0.25">
      <c r="A904" t="s">
        <v>1607</v>
      </c>
      <c r="B904">
        <v>0.3</v>
      </c>
      <c r="C904">
        <v>0.3</v>
      </c>
      <c r="D904" t="s">
        <v>2425</v>
      </c>
    </row>
    <row r="905" spans="1:4" x14ac:dyDescent="0.25">
      <c r="A905" t="s">
        <v>1632</v>
      </c>
      <c r="B905">
        <v>0.25</v>
      </c>
      <c r="C905">
        <v>0.3</v>
      </c>
      <c r="D905" t="s">
        <v>2425</v>
      </c>
    </row>
    <row r="906" spans="1:4" x14ac:dyDescent="0.25">
      <c r="A906" t="s">
        <v>1655</v>
      </c>
      <c r="B906">
        <v>0.25</v>
      </c>
      <c r="C906">
        <v>0.25</v>
      </c>
      <c r="D906" t="s">
        <v>2425</v>
      </c>
    </row>
    <row r="907" spans="1:4" x14ac:dyDescent="0.25">
      <c r="A907" t="s">
        <v>1677</v>
      </c>
      <c r="B907">
        <v>0.3</v>
      </c>
      <c r="C907">
        <v>0.3</v>
      </c>
      <c r="D907" t="s">
        <v>2425</v>
      </c>
    </row>
    <row r="908" spans="1:4" x14ac:dyDescent="0.25">
      <c r="A908" t="s">
        <v>1323</v>
      </c>
      <c r="B908">
        <v>0.25</v>
      </c>
      <c r="C908">
        <v>0.25</v>
      </c>
      <c r="D908" t="s">
        <v>2425</v>
      </c>
    </row>
    <row r="909" spans="1:4" x14ac:dyDescent="0.25">
      <c r="A909" t="s">
        <v>1355</v>
      </c>
      <c r="B909">
        <v>0.15</v>
      </c>
      <c r="C909">
        <v>0.2</v>
      </c>
      <c r="D909" t="s">
        <v>2424</v>
      </c>
    </row>
    <row r="910" spans="1:4" x14ac:dyDescent="0.25">
      <c r="A910" t="s">
        <v>1386</v>
      </c>
      <c r="B910">
        <v>0.15</v>
      </c>
      <c r="C910">
        <v>0.15</v>
      </c>
      <c r="D910" t="s">
        <v>2424</v>
      </c>
    </row>
    <row r="911" spans="1:4" x14ac:dyDescent="0.25">
      <c r="A911" t="s">
        <v>1417</v>
      </c>
      <c r="B911">
        <v>0.25</v>
      </c>
      <c r="C911">
        <v>0.25</v>
      </c>
      <c r="D911" t="s">
        <v>2425</v>
      </c>
    </row>
    <row r="912" spans="1:4" x14ac:dyDescent="0.25">
      <c r="A912" t="s">
        <v>1447</v>
      </c>
      <c r="B912">
        <v>0.15</v>
      </c>
      <c r="C912">
        <v>0.2</v>
      </c>
      <c r="D912" t="s">
        <v>2424</v>
      </c>
    </row>
    <row r="913" spans="1:4" x14ac:dyDescent="0.25">
      <c r="A913" t="s">
        <v>1475</v>
      </c>
      <c r="B913">
        <v>0.2</v>
      </c>
      <c r="C913">
        <v>0.25</v>
      </c>
      <c r="D913" t="s">
        <v>2425</v>
      </c>
    </row>
    <row r="914" spans="1:4" x14ac:dyDescent="0.25">
      <c r="A914" t="s">
        <v>1504</v>
      </c>
      <c r="B914">
        <v>0.15</v>
      </c>
      <c r="C914">
        <v>0.15</v>
      </c>
      <c r="D914" t="s">
        <v>2424</v>
      </c>
    </row>
    <row r="915" spans="1:4" x14ac:dyDescent="0.25">
      <c r="A915" t="s">
        <v>1530</v>
      </c>
      <c r="B915">
        <v>0.2</v>
      </c>
      <c r="C915">
        <v>0.2</v>
      </c>
      <c r="D915" t="s">
        <v>2424</v>
      </c>
    </row>
    <row r="916" spans="1:4" x14ac:dyDescent="0.25">
      <c r="A916" t="s">
        <v>1556</v>
      </c>
      <c r="B916">
        <v>0.15</v>
      </c>
      <c r="C916">
        <v>0.15</v>
      </c>
      <c r="D916" t="s">
        <v>2424</v>
      </c>
    </row>
    <row r="917" spans="1:4" x14ac:dyDescent="0.25">
      <c r="A917" t="s">
        <v>1582</v>
      </c>
      <c r="B917">
        <v>0.2</v>
      </c>
      <c r="C917">
        <v>0.2</v>
      </c>
      <c r="D917" t="s">
        <v>2424</v>
      </c>
    </row>
    <row r="918" spans="1:4" x14ac:dyDescent="0.25">
      <c r="A918" t="s">
        <v>1608</v>
      </c>
      <c r="B918">
        <v>0.25</v>
      </c>
      <c r="C918">
        <v>0.25</v>
      </c>
      <c r="D918" t="s">
        <v>2425</v>
      </c>
    </row>
    <row r="919" spans="1:4" x14ac:dyDescent="0.25">
      <c r="A919" t="s">
        <v>1633</v>
      </c>
      <c r="B919">
        <v>0.25</v>
      </c>
      <c r="C919">
        <v>0.25</v>
      </c>
      <c r="D919" t="s">
        <v>2425</v>
      </c>
    </row>
    <row r="920" spans="1:4" x14ac:dyDescent="0.25">
      <c r="A920" t="s">
        <v>1656</v>
      </c>
      <c r="B920">
        <v>0.25</v>
      </c>
      <c r="C920">
        <v>0.25</v>
      </c>
      <c r="D920" t="s">
        <v>2425</v>
      </c>
    </row>
    <row r="921" spans="1:4" x14ac:dyDescent="0.25">
      <c r="A921" t="s">
        <v>1678</v>
      </c>
      <c r="B921">
        <v>0.25</v>
      </c>
      <c r="C921">
        <v>0.25</v>
      </c>
      <c r="D921" t="s">
        <v>2425</v>
      </c>
    </row>
    <row r="922" spans="1:4" x14ac:dyDescent="0.25">
      <c r="A922" t="s">
        <v>1700</v>
      </c>
      <c r="B922">
        <v>0.25</v>
      </c>
      <c r="C922">
        <v>0.25</v>
      </c>
      <c r="D922" t="s">
        <v>2425</v>
      </c>
    </row>
    <row r="923" spans="1:4" x14ac:dyDescent="0.25">
      <c r="A923" t="s">
        <v>1721</v>
      </c>
      <c r="B923">
        <v>0.2</v>
      </c>
      <c r="C923">
        <v>0.25</v>
      </c>
      <c r="D923" t="s">
        <v>2425</v>
      </c>
    </row>
    <row r="924" spans="1:4" x14ac:dyDescent="0.25">
      <c r="A924" t="s">
        <v>1741</v>
      </c>
      <c r="B924">
        <v>0.25</v>
      </c>
      <c r="C924">
        <v>0.25</v>
      </c>
      <c r="D924" t="s">
        <v>2425</v>
      </c>
    </row>
    <row r="925" spans="1:4" x14ac:dyDescent="0.25">
      <c r="A925" t="s">
        <v>1761</v>
      </c>
      <c r="B925">
        <v>0.15</v>
      </c>
      <c r="C925">
        <v>0.2</v>
      </c>
      <c r="D925" t="s">
        <v>2424</v>
      </c>
    </row>
    <row r="926" spans="1:4" x14ac:dyDescent="0.25">
      <c r="A926" t="s">
        <v>1781</v>
      </c>
      <c r="B926">
        <v>0.15</v>
      </c>
      <c r="C926">
        <v>0.2</v>
      </c>
      <c r="D926" t="s">
        <v>2424</v>
      </c>
    </row>
    <row r="927" spans="1:4" x14ac:dyDescent="0.25">
      <c r="A927" t="s">
        <v>1799</v>
      </c>
      <c r="B927">
        <v>0.15</v>
      </c>
      <c r="C927">
        <v>0.15</v>
      </c>
      <c r="D927" t="s">
        <v>2424</v>
      </c>
    </row>
    <row r="928" spans="1:4" x14ac:dyDescent="0.25">
      <c r="A928" t="s">
        <v>1818</v>
      </c>
      <c r="B928">
        <v>0.25</v>
      </c>
      <c r="C928">
        <v>0.25</v>
      </c>
      <c r="D928" t="s">
        <v>2425</v>
      </c>
    </row>
    <row r="929" spans="1:4" x14ac:dyDescent="0.25">
      <c r="A929" t="s">
        <v>1837</v>
      </c>
      <c r="B929">
        <v>0.2</v>
      </c>
      <c r="C929">
        <v>0.2</v>
      </c>
      <c r="D929" t="s">
        <v>2424</v>
      </c>
    </row>
    <row r="930" spans="1:4" x14ac:dyDescent="0.25">
      <c r="A930" t="s">
        <v>1856</v>
      </c>
      <c r="B930">
        <v>0.15</v>
      </c>
      <c r="C930">
        <v>0.2</v>
      </c>
      <c r="D930" t="s">
        <v>2424</v>
      </c>
    </row>
    <row r="931" spans="1:4" x14ac:dyDescent="0.25">
      <c r="A931" t="s">
        <v>1874</v>
      </c>
      <c r="B931">
        <v>0.2</v>
      </c>
      <c r="C931">
        <v>0.25</v>
      </c>
      <c r="D931" t="s">
        <v>2425</v>
      </c>
    </row>
    <row r="932" spans="1:4" x14ac:dyDescent="0.25">
      <c r="A932" t="s">
        <v>1892</v>
      </c>
      <c r="B932">
        <v>0.2</v>
      </c>
      <c r="C932">
        <v>0.25</v>
      </c>
      <c r="D932" t="s">
        <v>2425</v>
      </c>
    </row>
    <row r="933" spans="1:4" x14ac:dyDescent="0.25">
      <c r="A933" t="s">
        <v>1908</v>
      </c>
      <c r="B933">
        <v>0.15</v>
      </c>
      <c r="C933">
        <v>0.15</v>
      </c>
      <c r="D933" t="s">
        <v>2424</v>
      </c>
    </row>
    <row r="934" spans="1:4" x14ac:dyDescent="0.25">
      <c r="A934" t="s">
        <v>1924</v>
      </c>
      <c r="B934">
        <v>0.15</v>
      </c>
      <c r="C934">
        <v>0.15</v>
      </c>
      <c r="D934" t="s">
        <v>2424</v>
      </c>
    </row>
    <row r="935" spans="1:4" x14ac:dyDescent="0.25">
      <c r="A935" t="s">
        <v>1938</v>
      </c>
      <c r="B935">
        <v>0.15</v>
      </c>
      <c r="C935">
        <v>0.2</v>
      </c>
      <c r="D935" t="s">
        <v>2424</v>
      </c>
    </row>
    <row r="936" spans="1:4" x14ac:dyDescent="0.25">
      <c r="A936" t="s">
        <v>1951</v>
      </c>
      <c r="B936">
        <v>0.15</v>
      </c>
      <c r="C936">
        <v>0.15</v>
      </c>
      <c r="D936" t="s">
        <v>2424</v>
      </c>
    </row>
    <row r="937" spans="1:4" x14ac:dyDescent="0.25">
      <c r="A937" t="s">
        <v>1964</v>
      </c>
      <c r="B937">
        <v>0.25</v>
      </c>
      <c r="C937">
        <v>0.25</v>
      </c>
      <c r="D937" t="s">
        <v>2425</v>
      </c>
    </row>
    <row r="938" spans="1:4" x14ac:dyDescent="0.25">
      <c r="A938" t="s">
        <v>1976</v>
      </c>
      <c r="B938">
        <v>0.2</v>
      </c>
      <c r="C938">
        <v>0.25</v>
      </c>
      <c r="D938" t="s">
        <v>2425</v>
      </c>
    </row>
    <row r="939" spans="1:4" x14ac:dyDescent="0.25">
      <c r="A939" t="s">
        <v>1987</v>
      </c>
      <c r="B939">
        <v>0.25</v>
      </c>
      <c r="C939">
        <v>0.25</v>
      </c>
      <c r="D939" t="s">
        <v>2425</v>
      </c>
    </row>
    <row r="940" spans="1:4" x14ac:dyDescent="0.25">
      <c r="A940" t="s">
        <v>1998</v>
      </c>
      <c r="B940">
        <v>0.25</v>
      </c>
      <c r="C940">
        <v>0.25</v>
      </c>
      <c r="D940" t="s">
        <v>2425</v>
      </c>
    </row>
    <row r="941" spans="1:4" x14ac:dyDescent="0.25">
      <c r="A941" t="s">
        <v>2009</v>
      </c>
      <c r="B941">
        <v>0.15</v>
      </c>
      <c r="C941">
        <v>0.2</v>
      </c>
      <c r="D941" t="s">
        <v>2424</v>
      </c>
    </row>
    <row r="942" spans="1:4" x14ac:dyDescent="0.25">
      <c r="A942" t="s">
        <v>2020</v>
      </c>
      <c r="B942">
        <v>0.2</v>
      </c>
      <c r="C942">
        <v>0.2</v>
      </c>
      <c r="D942" t="s">
        <v>2424</v>
      </c>
    </row>
    <row r="943" spans="1:4" x14ac:dyDescent="0.25">
      <c r="A943" t="s">
        <v>2030</v>
      </c>
      <c r="B943">
        <v>0.15</v>
      </c>
      <c r="C943">
        <v>0.2</v>
      </c>
      <c r="D943" t="s">
        <v>2424</v>
      </c>
    </row>
    <row r="944" spans="1:4" x14ac:dyDescent="0.25">
      <c r="A944" t="s">
        <v>2041</v>
      </c>
      <c r="B944">
        <v>0.2</v>
      </c>
      <c r="C944">
        <v>0.25</v>
      </c>
      <c r="D944" t="s">
        <v>2425</v>
      </c>
    </row>
    <row r="945" spans="1:4" x14ac:dyDescent="0.25">
      <c r="A945" t="s">
        <v>2051</v>
      </c>
      <c r="B945">
        <v>0.25</v>
      </c>
      <c r="C945">
        <v>0.25</v>
      </c>
      <c r="D945" t="s">
        <v>2425</v>
      </c>
    </row>
    <row r="946" spans="1:4" x14ac:dyDescent="0.25">
      <c r="A946" t="s">
        <v>2061</v>
      </c>
      <c r="B946">
        <v>0.15</v>
      </c>
      <c r="C946">
        <v>0.2</v>
      </c>
      <c r="D946" t="s">
        <v>2424</v>
      </c>
    </row>
    <row r="947" spans="1:4" x14ac:dyDescent="0.25">
      <c r="A947" t="s">
        <v>2071</v>
      </c>
      <c r="B947">
        <v>0.15</v>
      </c>
      <c r="C947">
        <v>0.2</v>
      </c>
      <c r="D947" t="s">
        <v>2424</v>
      </c>
    </row>
    <row r="948" spans="1:4" x14ac:dyDescent="0.25">
      <c r="A948" t="s">
        <v>2080</v>
      </c>
      <c r="B948">
        <v>0.15</v>
      </c>
      <c r="C948">
        <v>0.15</v>
      </c>
      <c r="D948" t="s">
        <v>2424</v>
      </c>
    </row>
    <row r="949" spans="1:4" x14ac:dyDescent="0.25">
      <c r="A949" t="s">
        <v>2088</v>
      </c>
      <c r="B949">
        <v>0.15</v>
      </c>
      <c r="C949">
        <v>0.2</v>
      </c>
      <c r="D949" t="s">
        <v>2424</v>
      </c>
    </row>
    <row r="950" spans="1:4" x14ac:dyDescent="0.25">
      <c r="A950" t="s">
        <v>2096</v>
      </c>
      <c r="B950">
        <v>0.15</v>
      </c>
      <c r="C950">
        <v>0.15</v>
      </c>
      <c r="D950" t="s">
        <v>2424</v>
      </c>
    </row>
    <row r="951" spans="1:4" x14ac:dyDescent="0.25">
      <c r="A951" t="s">
        <v>2103</v>
      </c>
      <c r="B951">
        <v>0.2</v>
      </c>
      <c r="C951">
        <v>0.25</v>
      </c>
      <c r="D951" t="s">
        <v>2425</v>
      </c>
    </row>
    <row r="952" spans="1:4" x14ac:dyDescent="0.25">
      <c r="A952" t="s">
        <v>2110</v>
      </c>
      <c r="B952">
        <v>0.15</v>
      </c>
      <c r="C952">
        <v>0.15</v>
      </c>
      <c r="D952" t="s">
        <v>2424</v>
      </c>
    </row>
    <row r="953" spans="1:4" x14ac:dyDescent="0.25">
      <c r="A953" t="s">
        <v>2116</v>
      </c>
      <c r="B953">
        <v>0.15</v>
      </c>
      <c r="C953">
        <v>0.15</v>
      </c>
      <c r="D953" t="s">
        <v>2424</v>
      </c>
    </row>
    <row r="954" spans="1:4" x14ac:dyDescent="0.25">
      <c r="A954" t="s">
        <v>2122</v>
      </c>
      <c r="B954">
        <v>0.15</v>
      </c>
      <c r="C954">
        <v>0.15</v>
      </c>
      <c r="D954" t="s">
        <v>2424</v>
      </c>
    </row>
    <row r="955" spans="1:4" x14ac:dyDescent="0.25">
      <c r="A955" t="s">
        <v>2128</v>
      </c>
      <c r="B955">
        <v>0.25</v>
      </c>
      <c r="C955">
        <v>0.2</v>
      </c>
      <c r="D955" t="s">
        <v>2425</v>
      </c>
    </row>
    <row r="956" spans="1:4" x14ac:dyDescent="0.25">
      <c r="A956" t="s">
        <v>2133</v>
      </c>
      <c r="B956">
        <v>0.2</v>
      </c>
      <c r="C956">
        <v>0.25</v>
      </c>
      <c r="D956" t="s">
        <v>2425</v>
      </c>
    </row>
    <row r="957" spans="1:4" x14ac:dyDescent="0.25">
      <c r="A957" t="s">
        <v>2138</v>
      </c>
      <c r="B957">
        <v>0.25</v>
      </c>
      <c r="C957">
        <v>0.25</v>
      </c>
      <c r="D957" t="s">
        <v>2425</v>
      </c>
    </row>
    <row r="958" spans="1:4" x14ac:dyDescent="0.25">
      <c r="A958" t="s">
        <v>2143</v>
      </c>
      <c r="B958">
        <v>0.25</v>
      </c>
      <c r="C958">
        <v>0.25</v>
      </c>
      <c r="D958" t="s">
        <v>2425</v>
      </c>
    </row>
    <row r="959" spans="1:4" x14ac:dyDescent="0.25">
      <c r="A959" t="s">
        <v>2148</v>
      </c>
      <c r="B959">
        <v>0.25</v>
      </c>
      <c r="C959">
        <v>0.25</v>
      </c>
      <c r="D959" t="s">
        <v>2425</v>
      </c>
    </row>
    <row r="960" spans="1:4" x14ac:dyDescent="0.25">
      <c r="A960" t="s">
        <v>2153</v>
      </c>
      <c r="B960">
        <v>0.25</v>
      </c>
      <c r="C960">
        <v>0.25</v>
      </c>
      <c r="D960" t="s">
        <v>2425</v>
      </c>
    </row>
    <row r="961" spans="1:4" x14ac:dyDescent="0.25">
      <c r="A961" t="s">
        <v>2158</v>
      </c>
      <c r="B961">
        <v>0.25</v>
      </c>
      <c r="C961">
        <v>0.25</v>
      </c>
      <c r="D961" t="s">
        <v>2425</v>
      </c>
    </row>
    <row r="962" spans="1:4" x14ac:dyDescent="0.25">
      <c r="A962" t="s">
        <v>2163</v>
      </c>
      <c r="B962">
        <v>0.2</v>
      </c>
      <c r="C962">
        <v>0.25</v>
      </c>
      <c r="D962" t="s">
        <v>2425</v>
      </c>
    </row>
    <row r="963" spans="1:4" x14ac:dyDescent="0.25">
      <c r="A963" t="s">
        <v>2168</v>
      </c>
      <c r="B963">
        <v>0.2</v>
      </c>
      <c r="C963">
        <v>0.2</v>
      </c>
      <c r="D963" t="s">
        <v>2424</v>
      </c>
    </row>
    <row r="964" spans="1:4" x14ac:dyDescent="0.25">
      <c r="A964" t="s">
        <v>2173</v>
      </c>
      <c r="B964">
        <v>0.25</v>
      </c>
      <c r="C964">
        <v>0.25</v>
      </c>
      <c r="D964" t="s">
        <v>2425</v>
      </c>
    </row>
    <row r="965" spans="1:4" x14ac:dyDescent="0.25">
      <c r="A965" t="s">
        <v>2178</v>
      </c>
      <c r="B965">
        <v>0.15</v>
      </c>
      <c r="C965">
        <v>0.2</v>
      </c>
      <c r="D965" t="s">
        <v>2424</v>
      </c>
    </row>
    <row r="966" spans="1:4" x14ac:dyDescent="0.25">
      <c r="A966" t="s">
        <v>2183</v>
      </c>
      <c r="B966">
        <v>0.15</v>
      </c>
      <c r="C966">
        <v>0.2</v>
      </c>
      <c r="D966" t="s">
        <v>2424</v>
      </c>
    </row>
    <row r="967" spans="1:4" x14ac:dyDescent="0.25">
      <c r="A967" t="s">
        <v>2188</v>
      </c>
      <c r="B967">
        <v>0.2</v>
      </c>
      <c r="C967">
        <v>0.25</v>
      </c>
      <c r="D967" t="s">
        <v>2425</v>
      </c>
    </row>
    <row r="968" spans="1:4" x14ac:dyDescent="0.25">
      <c r="A968" t="s">
        <v>2193</v>
      </c>
      <c r="B968">
        <v>0.25</v>
      </c>
      <c r="C968">
        <v>0.25</v>
      </c>
      <c r="D968" t="s">
        <v>2425</v>
      </c>
    </row>
    <row r="969" spans="1:4" x14ac:dyDescent="0.25">
      <c r="A969" t="s">
        <v>2198</v>
      </c>
      <c r="B969">
        <v>0.2</v>
      </c>
      <c r="C969">
        <v>0.25</v>
      </c>
      <c r="D969" t="s">
        <v>2425</v>
      </c>
    </row>
    <row r="970" spans="1:4" x14ac:dyDescent="0.25">
      <c r="A970" t="s">
        <v>2203</v>
      </c>
      <c r="B970">
        <v>0.15</v>
      </c>
      <c r="C970">
        <v>0.2</v>
      </c>
      <c r="D970" t="s">
        <v>2424</v>
      </c>
    </row>
    <row r="971" spans="1:4" x14ac:dyDescent="0.25">
      <c r="A971" t="s">
        <v>2207</v>
      </c>
      <c r="B971">
        <v>0.15</v>
      </c>
      <c r="C971">
        <v>0.15</v>
      </c>
      <c r="D971" t="s">
        <v>2424</v>
      </c>
    </row>
    <row r="972" spans="1:4" x14ac:dyDescent="0.25">
      <c r="A972" t="s">
        <v>2211</v>
      </c>
      <c r="B972">
        <v>0.15</v>
      </c>
      <c r="C972">
        <v>0.15</v>
      </c>
      <c r="D972" t="s">
        <v>2424</v>
      </c>
    </row>
    <row r="973" spans="1:4" x14ac:dyDescent="0.25">
      <c r="A973" t="s">
        <v>2215</v>
      </c>
      <c r="B973">
        <v>0.2</v>
      </c>
      <c r="C973">
        <v>0.2</v>
      </c>
      <c r="D973" t="s">
        <v>2424</v>
      </c>
    </row>
    <row r="974" spans="1:4" x14ac:dyDescent="0.25">
      <c r="A974" t="s">
        <v>2219</v>
      </c>
      <c r="B974">
        <v>0.2</v>
      </c>
      <c r="C974">
        <v>0.15</v>
      </c>
      <c r="D974" t="s">
        <v>2424</v>
      </c>
    </row>
    <row r="975" spans="1:4" x14ac:dyDescent="0.25">
      <c r="A975" t="s">
        <v>2223</v>
      </c>
      <c r="B975">
        <v>0.25</v>
      </c>
      <c r="C975">
        <v>0.25</v>
      </c>
      <c r="D975" t="s">
        <v>2425</v>
      </c>
    </row>
    <row r="976" spans="1:4" x14ac:dyDescent="0.25">
      <c r="A976" t="s">
        <v>2227</v>
      </c>
      <c r="B976">
        <v>0.15</v>
      </c>
      <c r="C976">
        <v>0.2</v>
      </c>
      <c r="D976" t="s">
        <v>2424</v>
      </c>
    </row>
    <row r="977" spans="1:4" x14ac:dyDescent="0.25">
      <c r="A977" t="s">
        <v>2231</v>
      </c>
      <c r="B977">
        <v>0.2</v>
      </c>
      <c r="C977">
        <v>0.25</v>
      </c>
      <c r="D977" t="s">
        <v>2425</v>
      </c>
    </row>
    <row r="978" spans="1:4" x14ac:dyDescent="0.25">
      <c r="A978" t="s">
        <v>2298</v>
      </c>
      <c r="B978">
        <v>0.25</v>
      </c>
      <c r="C978">
        <v>0.25</v>
      </c>
      <c r="D978" t="s">
        <v>2425</v>
      </c>
    </row>
    <row r="979" spans="1:4" x14ac:dyDescent="0.25">
      <c r="A979" t="s">
        <v>2235</v>
      </c>
      <c r="B979">
        <v>0.25</v>
      </c>
      <c r="C979">
        <v>0.25</v>
      </c>
      <c r="D979" t="s">
        <v>2425</v>
      </c>
    </row>
    <row r="980" spans="1:4" x14ac:dyDescent="0.25">
      <c r="A980" t="s">
        <v>2238</v>
      </c>
      <c r="B980">
        <v>0.25</v>
      </c>
      <c r="C980">
        <v>0.25</v>
      </c>
      <c r="D980" t="s">
        <v>2425</v>
      </c>
    </row>
    <row r="981" spans="1:4" x14ac:dyDescent="0.25">
      <c r="A981" t="s">
        <v>2242</v>
      </c>
      <c r="B981">
        <v>0.15</v>
      </c>
      <c r="C981">
        <v>0.15</v>
      </c>
      <c r="D981" t="s">
        <v>2424</v>
      </c>
    </row>
    <row r="982" spans="1:4" x14ac:dyDescent="0.25">
      <c r="A982" t="s">
        <v>2246</v>
      </c>
      <c r="B982">
        <v>0.25</v>
      </c>
      <c r="C982">
        <v>0.25</v>
      </c>
      <c r="D982" t="s">
        <v>2425</v>
      </c>
    </row>
    <row r="983" spans="1:4" x14ac:dyDescent="0.25">
      <c r="A983" t="s">
        <v>2250</v>
      </c>
      <c r="B983">
        <v>0.15</v>
      </c>
      <c r="C983">
        <v>0.15</v>
      </c>
      <c r="D983" t="s">
        <v>2424</v>
      </c>
    </row>
    <row r="984" spans="1:4" x14ac:dyDescent="0.25">
      <c r="A984" t="s">
        <v>2254</v>
      </c>
      <c r="B984">
        <v>0.15</v>
      </c>
      <c r="C984">
        <v>0.15</v>
      </c>
      <c r="D984" t="s">
        <v>2424</v>
      </c>
    </row>
    <row r="985" spans="1:4" x14ac:dyDescent="0.25">
      <c r="A985" t="s">
        <v>2258</v>
      </c>
      <c r="B985">
        <v>0.2</v>
      </c>
      <c r="C985">
        <v>0.2</v>
      </c>
      <c r="D985" t="s">
        <v>2424</v>
      </c>
    </row>
    <row r="986" spans="1:4" x14ac:dyDescent="0.25">
      <c r="A986" t="s">
        <v>2262</v>
      </c>
      <c r="B986">
        <v>0.15</v>
      </c>
      <c r="C986">
        <v>0.2</v>
      </c>
      <c r="D986" t="s">
        <v>2424</v>
      </c>
    </row>
    <row r="987" spans="1:4" x14ac:dyDescent="0.25">
      <c r="A987" t="s">
        <v>2266</v>
      </c>
      <c r="B987">
        <v>0.15</v>
      </c>
      <c r="C987">
        <v>0.15</v>
      </c>
      <c r="D987" t="s">
        <v>2424</v>
      </c>
    </row>
    <row r="988" spans="1:4" x14ac:dyDescent="0.25">
      <c r="A988" t="s">
        <v>2270</v>
      </c>
      <c r="B988">
        <v>0.25</v>
      </c>
      <c r="C988">
        <v>0.25</v>
      </c>
      <c r="D988" t="s">
        <v>2425</v>
      </c>
    </row>
    <row r="989" spans="1:4" x14ac:dyDescent="0.25">
      <c r="A989" t="s">
        <v>2274</v>
      </c>
      <c r="B989">
        <v>0.25</v>
      </c>
      <c r="C989">
        <v>0.25</v>
      </c>
      <c r="D989" t="s">
        <v>2425</v>
      </c>
    </row>
    <row r="990" spans="1:4" x14ac:dyDescent="0.25">
      <c r="A990" t="s">
        <v>2286</v>
      </c>
      <c r="B990">
        <v>0.2</v>
      </c>
      <c r="C990">
        <v>0.25</v>
      </c>
      <c r="D990" t="s">
        <v>2425</v>
      </c>
    </row>
    <row r="991" spans="1:4" x14ac:dyDescent="0.25">
      <c r="A991" t="s">
        <v>2290</v>
      </c>
      <c r="B991">
        <v>0.15</v>
      </c>
      <c r="C991">
        <v>0.15</v>
      </c>
      <c r="D991" t="s">
        <v>2424</v>
      </c>
    </row>
    <row r="992" spans="1:4" x14ac:dyDescent="0.25">
      <c r="A992" t="s">
        <v>2278</v>
      </c>
      <c r="B992">
        <v>0.2</v>
      </c>
      <c r="C992">
        <v>0.25</v>
      </c>
      <c r="D992" t="s">
        <v>2425</v>
      </c>
    </row>
    <row r="993" spans="1:4" x14ac:dyDescent="0.25">
      <c r="A993" t="s">
        <v>2282</v>
      </c>
      <c r="B993">
        <v>0.2</v>
      </c>
      <c r="C993">
        <v>0.2</v>
      </c>
      <c r="D993" t="s">
        <v>2424</v>
      </c>
    </row>
    <row r="994" spans="1:4" x14ac:dyDescent="0.25">
      <c r="A994" t="s">
        <v>2294</v>
      </c>
      <c r="B994">
        <v>0.25</v>
      </c>
      <c r="C994">
        <v>0.25</v>
      </c>
      <c r="D994" t="s">
        <v>2425</v>
      </c>
    </row>
    <row r="995" spans="1:4" x14ac:dyDescent="0.25">
      <c r="A995" t="s">
        <v>1324</v>
      </c>
      <c r="B995">
        <v>0.1</v>
      </c>
      <c r="C995">
        <v>0.15</v>
      </c>
      <c r="D995" t="s">
        <v>2424</v>
      </c>
    </row>
    <row r="996" spans="1:4" x14ac:dyDescent="0.25">
      <c r="A996" t="s">
        <v>2428</v>
      </c>
      <c r="B996">
        <v>0.1</v>
      </c>
      <c r="C996">
        <v>0.15</v>
      </c>
      <c r="D996" t="s">
        <v>2424</v>
      </c>
    </row>
    <row r="997" spans="1:4" x14ac:dyDescent="0.25">
      <c r="A997" t="s">
        <v>1387</v>
      </c>
      <c r="B997">
        <v>0.15</v>
      </c>
      <c r="C997">
        <v>0.15</v>
      </c>
      <c r="D997" t="s">
        <v>2424</v>
      </c>
    </row>
    <row r="998" spans="1:4" x14ac:dyDescent="0.25">
      <c r="A998" t="s">
        <v>1418</v>
      </c>
      <c r="B998">
        <v>0.1</v>
      </c>
      <c r="C998">
        <v>0.15</v>
      </c>
      <c r="D998" t="s">
        <v>2424</v>
      </c>
    </row>
    <row r="999" spans="1:4" x14ac:dyDescent="0.25">
      <c r="A999" t="s">
        <v>1448</v>
      </c>
      <c r="B999">
        <v>0.1</v>
      </c>
      <c r="C999">
        <v>0.15</v>
      </c>
      <c r="D999" t="s">
        <v>2424</v>
      </c>
    </row>
    <row r="1000" spans="1:4" x14ac:dyDescent="0.25">
      <c r="A1000" t="s">
        <v>1476</v>
      </c>
      <c r="B1000">
        <v>0.1</v>
      </c>
      <c r="C1000">
        <v>0.15</v>
      </c>
      <c r="D1000" t="s">
        <v>2424</v>
      </c>
    </row>
    <row r="1001" spans="1:4" x14ac:dyDescent="0.25">
      <c r="A1001" t="s">
        <v>1505</v>
      </c>
      <c r="B1001">
        <v>0.1</v>
      </c>
      <c r="C1001">
        <v>0.15</v>
      </c>
      <c r="D1001" t="s">
        <v>2424</v>
      </c>
    </row>
    <row r="1002" spans="1:4" x14ac:dyDescent="0.25">
      <c r="A1002" t="s">
        <v>1531</v>
      </c>
      <c r="B1002">
        <v>0.1</v>
      </c>
      <c r="C1002">
        <v>0.15</v>
      </c>
      <c r="D1002" t="s">
        <v>2424</v>
      </c>
    </row>
    <row r="1003" spans="1:4" x14ac:dyDescent="0.25">
      <c r="A1003" t="s">
        <v>1557</v>
      </c>
      <c r="B1003">
        <v>0.15</v>
      </c>
      <c r="C1003">
        <v>0.15</v>
      </c>
      <c r="D1003" t="s">
        <v>2424</v>
      </c>
    </row>
    <row r="1004" spans="1:4" x14ac:dyDescent="0.25">
      <c r="A1004" t="s">
        <v>1583</v>
      </c>
      <c r="B1004">
        <v>0.15</v>
      </c>
      <c r="C1004">
        <v>0.15</v>
      </c>
      <c r="D1004" t="s">
        <v>2424</v>
      </c>
    </row>
    <row r="1005" spans="1:4" x14ac:dyDescent="0.25">
      <c r="A1005" t="s">
        <v>1609</v>
      </c>
      <c r="B1005">
        <v>0.1</v>
      </c>
      <c r="C1005">
        <v>0.15</v>
      </c>
      <c r="D1005" t="s">
        <v>2424</v>
      </c>
    </row>
    <row r="1006" spans="1:4" x14ac:dyDescent="0.25">
      <c r="A1006" t="s">
        <v>1634</v>
      </c>
      <c r="B1006">
        <v>0.15</v>
      </c>
      <c r="C1006">
        <v>0.15</v>
      </c>
      <c r="D1006" t="s">
        <v>2424</v>
      </c>
    </row>
    <row r="1007" spans="1:4" x14ac:dyDescent="0.25">
      <c r="A1007" t="s">
        <v>1657</v>
      </c>
      <c r="B1007">
        <v>0.1</v>
      </c>
      <c r="C1007">
        <v>0.15</v>
      </c>
      <c r="D1007" t="s">
        <v>2424</v>
      </c>
    </row>
    <row r="1008" spans="1:4" x14ac:dyDescent="0.25">
      <c r="A1008" t="s">
        <v>1679</v>
      </c>
      <c r="B1008">
        <v>0.1</v>
      </c>
      <c r="C1008">
        <v>0.15</v>
      </c>
      <c r="D1008" t="s">
        <v>2424</v>
      </c>
    </row>
    <row r="1009" spans="1:4" x14ac:dyDescent="0.25">
      <c r="A1009" t="s">
        <v>1701</v>
      </c>
      <c r="B1009">
        <v>0.1</v>
      </c>
      <c r="C1009">
        <v>0.15</v>
      </c>
      <c r="D1009" t="s">
        <v>2424</v>
      </c>
    </row>
    <row r="1010" spans="1:4" x14ac:dyDescent="0.25">
      <c r="A1010" t="s">
        <v>1722</v>
      </c>
      <c r="B1010">
        <v>0.1</v>
      </c>
      <c r="C1010">
        <v>0.15</v>
      </c>
      <c r="D1010" t="s">
        <v>2424</v>
      </c>
    </row>
    <row r="1011" spans="1:4" x14ac:dyDescent="0.25">
      <c r="A1011" t="s">
        <v>1742</v>
      </c>
      <c r="B1011">
        <v>0.1</v>
      </c>
      <c r="C1011">
        <v>0.15</v>
      </c>
      <c r="D1011" t="s">
        <v>2424</v>
      </c>
    </row>
    <row r="1012" spans="1:4" x14ac:dyDescent="0.25">
      <c r="A1012" t="s">
        <v>1762</v>
      </c>
      <c r="B1012">
        <v>0.1</v>
      </c>
      <c r="C1012">
        <v>0.15</v>
      </c>
      <c r="D1012" t="s">
        <v>2424</v>
      </c>
    </row>
    <row r="1013" spans="1:4" x14ac:dyDescent="0.25">
      <c r="A1013" t="s">
        <v>1782</v>
      </c>
      <c r="B1013">
        <v>0.15</v>
      </c>
      <c r="C1013">
        <v>0.15</v>
      </c>
      <c r="D1013" t="s">
        <v>2424</v>
      </c>
    </row>
    <row r="1014" spans="1:4" x14ac:dyDescent="0.25">
      <c r="A1014" t="s">
        <v>1800</v>
      </c>
      <c r="B1014">
        <v>0.1</v>
      </c>
      <c r="C1014">
        <v>0.15</v>
      </c>
      <c r="D1014" t="s">
        <v>2424</v>
      </c>
    </row>
    <row r="1015" spans="1:4" x14ac:dyDescent="0.25">
      <c r="A1015" t="s">
        <v>1819</v>
      </c>
      <c r="B1015">
        <v>0.1</v>
      </c>
      <c r="C1015">
        <v>0.15</v>
      </c>
      <c r="D1015" t="s">
        <v>2424</v>
      </c>
    </row>
    <row r="1016" spans="1:4" x14ac:dyDescent="0.25">
      <c r="A1016" t="s">
        <v>1838</v>
      </c>
      <c r="B1016">
        <v>0.1</v>
      </c>
      <c r="C1016">
        <v>0.15</v>
      </c>
      <c r="D1016" t="s">
        <v>2424</v>
      </c>
    </row>
    <row r="1017" spans="1:4" x14ac:dyDescent="0.25">
      <c r="A1017" t="s">
        <v>1857</v>
      </c>
      <c r="B1017">
        <v>0.1</v>
      </c>
      <c r="C1017">
        <v>0.15</v>
      </c>
      <c r="D1017" t="s">
        <v>2424</v>
      </c>
    </row>
    <row r="1018" spans="1:4" x14ac:dyDescent="0.25">
      <c r="A1018" t="s">
        <v>1875</v>
      </c>
      <c r="B1018">
        <v>0.1</v>
      </c>
      <c r="C1018">
        <v>0.15</v>
      </c>
      <c r="D1018" t="s">
        <v>2424</v>
      </c>
    </row>
    <row r="1019" spans="1:4" x14ac:dyDescent="0.25">
      <c r="A1019" t="s">
        <v>1893</v>
      </c>
      <c r="B1019">
        <v>0.1</v>
      </c>
      <c r="C1019">
        <v>0.15</v>
      </c>
      <c r="D1019" t="s">
        <v>2424</v>
      </c>
    </row>
    <row r="1020" spans="1:4" x14ac:dyDescent="0.25">
      <c r="A1020" t="s">
        <v>1325</v>
      </c>
      <c r="B1020">
        <v>0.2</v>
      </c>
      <c r="C1020">
        <v>0.2</v>
      </c>
      <c r="D1020" t="s">
        <v>2424</v>
      </c>
    </row>
    <row r="1021" spans="1:4" x14ac:dyDescent="0.25">
      <c r="A1021" t="s">
        <v>1357</v>
      </c>
      <c r="B1021">
        <v>0.25</v>
      </c>
      <c r="C1021">
        <v>0.25</v>
      </c>
      <c r="D1021" t="s">
        <v>2425</v>
      </c>
    </row>
    <row r="1022" spans="1:4" x14ac:dyDescent="0.25">
      <c r="A1022" t="s">
        <v>1388</v>
      </c>
      <c r="B1022">
        <v>0.2</v>
      </c>
      <c r="C1022">
        <v>0.2</v>
      </c>
      <c r="D1022" t="s">
        <v>2424</v>
      </c>
    </row>
    <row r="1023" spans="1:4" x14ac:dyDescent="0.25">
      <c r="A1023" t="s">
        <v>1419</v>
      </c>
      <c r="B1023">
        <v>0.2</v>
      </c>
      <c r="C1023">
        <v>0.2</v>
      </c>
      <c r="D1023" t="s">
        <v>2424</v>
      </c>
    </row>
    <row r="1024" spans="1:4" x14ac:dyDescent="0.25">
      <c r="A1024" t="s">
        <v>1449</v>
      </c>
      <c r="B1024">
        <v>0.2</v>
      </c>
      <c r="C1024">
        <v>0.2</v>
      </c>
      <c r="D1024" t="s">
        <v>2424</v>
      </c>
    </row>
    <row r="1025" spans="1:4" x14ac:dyDescent="0.25">
      <c r="A1025" t="s">
        <v>1477</v>
      </c>
      <c r="B1025">
        <v>0.2</v>
      </c>
      <c r="C1025">
        <v>0.2</v>
      </c>
      <c r="D1025" t="s">
        <v>2424</v>
      </c>
    </row>
    <row r="1026" spans="1:4" x14ac:dyDescent="0.25">
      <c r="A1026" t="s">
        <v>1506</v>
      </c>
      <c r="B1026">
        <v>0.25</v>
      </c>
      <c r="C1026">
        <v>0.2</v>
      </c>
      <c r="D1026" t="s">
        <v>2425</v>
      </c>
    </row>
    <row r="1027" spans="1:4" x14ac:dyDescent="0.25">
      <c r="A1027" t="s">
        <v>1532</v>
      </c>
      <c r="B1027">
        <v>0.2</v>
      </c>
      <c r="C1027">
        <v>0.2</v>
      </c>
      <c r="D1027" t="s">
        <v>2424</v>
      </c>
    </row>
    <row r="1028" spans="1:4" x14ac:dyDescent="0.25">
      <c r="A1028" t="s">
        <v>1558</v>
      </c>
      <c r="B1028">
        <v>0.25</v>
      </c>
      <c r="C1028">
        <v>0.2</v>
      </c>
      <c r="D1028" t="s">
        <v>2425</v>
      </c>
    </row>
    <row r="1029" spans="1:4" x14ac:dyDescent="0.25">
      <c r="A1029" t="s">
        <v>1584</v>
      </c>
      <c r="B1029">
        <v>0.2</v>
      </c>
      <c r="C1029">
        <v>0.2</v>
      </c>
      <c r="D1029" t="s">
        <v>2424</v>
      </c>
    </row>
    <row r="1030" spans="1:4" x14ac:dyDescent="0.25">
      <c r="A1030" t="s">
        <v>1610</v>
      </c>
      <c r="B1030">
        <v>0.25</v>
      </c>
      <c r="C1030">
        <v>0.2</v>
      </c>
      <c r="D1030" t="s">
        <v>2425</v>
      </c>
    </row>
    <row r="1031" spans="1:4" x14ac:dyDescent="0.25">
      <c r="A1031" t="s">
        <v>1635</v>
      </c>
      <c r="B1031">
        <v>0.2</v>
      </c>
      <c r="C1031">
        <v>0.2</v>
      </c>
      <c r="D1031" t="s">
        <v>2424</v>
      </c>
    </row>
    <row r="1032" spans="1:4" x14ac:dyDescent="0.25">
      <c r="A1032" t="s">
        <v>1658</v>
      </c>
      <c r="B1032">
        <v>0.25</v>
      </c>
      <c r="C1032">
        <v>0.2</v>
      </c>
      <c r="D1032" t="s">
        <v>2425</v>
      </c>
    </row>
    <row r="1033" spans="1:4" x14ac:dyDescent="0.25">
      <c r="A1033" t="s">
        <v>1680</v>
      </c>
      <c r="B1033">
        <v>0.25</v>
      </c>
      <c r="C1033">
        <v>0.2</v>
      </c>
      <c r="D1033" t="s">
        <v>2425</v>
      </c>
    </row>
    <row r="1034" spans="1:4" x14ac:dyDescent="0.25">
      <c r="A1034" t="s">
        <v>1702</v>
      </c>
      <c r="B1034">
        <v>0.25</v>
      </c>
      <c r="C1034">
        <v>0.25</v>
      </c>
      <c r="D1034" t="s">
        <v>2425</v>
      </c>
    </row>
    <row r="1035" spans="1:4" x14ac:dyDescent="0.25">
      <c r="A1035" t="s">
        <v>1723</v>
      </c>
      <c r="B1035">
        <v>0.25</v>
      </c>
      <c r="C1035">
        <v>0.2</v>
      </c>
      <c r="D1035" t="s">
        <v>2425</v>
      </c>
    </row>
    <row r="1036" spans="1:4" x14ac:dyDescent="0.25">
      <c r="A1036" t="s">
        <v>1743</v>
      </c>
      <c r="B1036">
        <v>0.2</v>
      </c>
      <c r="C1036">
        <v>0.2</v>
      </c>
      <c r="D1036" t="s">
        <v>2424</v>
      </c>
    </row>
    <row r="1037" spans="1:4" x14ac:dyDescent="0.25">
      <c r="A1037" t="s">
        <v>1763</v>
      </c>
      <c r="B1037">
        <v>0.2</v>
      </c>
      <c r="C1037">
        <v>0.2</v>
      </c>
      <c r="D1037" t="s">
        <v>2424</v>
      </c>
    </row>
    <row r="1038" spans="1:4" x14ac:dyDescent="0.25">
      <c r="A1038" t="s">
        <v>1783</v>
      </c>
      <c r="B1038">
        <v>0.2</v>
      </c>
      <c r="C1038">
        <v>0.2</v>
      </c>
      <c r="D1038" t="s">
        <v>2424</v>
      </c>
    </row>
    <row r="1039" spans="1:4" x14ac:dyDescent="0.25">
      <c r="A1039" t="s">
        <v>1801</v>
      </c>
      <c r="B1039">
        <v>0.25</v>
      </c>
      <c r="C1039">
        <v>0.2</v>
      </c>
      <c r="D1039" t="s">
        <v>2425</v>
      </c>
    </row>
    <row r="1040" spans="1:4" x14ac:dyDescent="0.25">
      <c r="A1040" t="s">
        <v>1820</v>
      </c>
      <c r="B1040">
        <v>0.2</v>
      </c>
      <c r="C1040">
        <v>0.2</v>
      </c>
      <c r="D1040" t="s">
        <v>2424</v>
      </c>
    </row>
    <row r="1041" spans="1:4" x14ac:dyDescent="0.25">
      <c r="A1041" t="s">
        <v>1839</v>
      </c>
      <c r="B1041">
        <v>0.2</v>
      </c>
      <c r="C1041">
        <v>0.2</v>
      </c>
      <c r="D1041" t="s">
        <v>2424</v>
      </c>
    </row>
    <row r="1042" spans="1:4" x14ac:dyDescent="0.25">
      <c r="A1042" t="s">
        <v>1858</v>
      </c>
      <c r="B1042">
        <v>0.2</v>
      </c>
      <c r="C1042">
        <v>0.2</v>
      </c>
      <c r="D1042" t="s">
        <v>2424</v>
      </c>
    </row>
    <row r="1043" spans="1:4" x14ac:dyDescent="0.25">
      <c r="A1043" t="s">
        <v>1876</v>
      </c>
      <c r="B1043">
        <v>0.2</v>
      </c>
      <c r="C1043">
        <v>0.2</v>
      </c>
      <c r="D1043" t="s">
        <v>2424</v>
      </c>
    </row>
    <row r="1044" spans="1:4" x14ac:dyDescent="0.25">
      <c r="A1044" t="s">
        <v>1894</v>
      </c>
      <c r="B1044">
        <v>0.2</v>
      </c>
      <c r="C1044">
        <v>0.2</v>
      </c>
      <c r="D1044" t="s">
        <v>2424</v>
      </c>
    </row>
    <row r="1045" spans="1:4" x14ac:dyDescent="0.25">
      <c r="A1045" t="s">
        <v>1909</v>
      </c>
      <c r="B1045">
        <v>0.2</v>
      </c>
      <c r="C1045">
        <v>0.2</v>
      </c>
      <c r="D1045" t="s">
        <v>2424</v>
      </c>
    </row>
    <row r="1046" spans="1:4" x14ac:dyDescent="0.25">
      <c r="A1046" t="s">
        <v>1925</v>
      </c>
      <c r="B1046">
        <v>0.2</v>
      </c>
      <c r="C1046">
        <v>0.2</v>
      </c>
      <c r="D1046" t="s">
        <v>2424</v>
      </c>
    </row>
    <row r="1047" spans="1:4" x14ac:dyDescent="0.25">
      <c r="A1047" t="s">
        <v>1939</v>
      </c>
      <c r="B1047">
        <v>0.2</v>
      </c>
      <c r="C1047">
        <v>0.2</v>
      </c>
      <c r="D1047" t="s">
        <v>2424</v>
      </c>
    </row>
    <row r="1048" spans="1:4" x14ac:dyDescent="0.25">
      <c r="A1048" t="s">
        <v>1952</v>
      </c>
      <c r="B1048">
        <v>0.25</v>
      </c>
      <c r="C1048">
        <v>0.25</v>
      </c>
      <c r="D1048" t="s">
        <v>2425</v>
      </c>
    </row>
    <row r="1049" spans="1:4" x14ac:dyDescent="0.25">
      <c r="A1049" t="s">
        <v>1965</v>
      </c>
      <c r="B1049">
        <v>0.25</v>
      </c>
      <c r="C1049">
        <v>0.2</v>
      </c>
      <c r="D1049" t="s">
        <v>2425</v>
      </c>
    </row>
    <row r="1050" spans="1:4" x14ac:dyDescent="0.25">
      <c r="A1050" t="s">
        <v>1977</v>
      </c>
      <c r="B1050">
        <v>0.2</v>
      </c>
      <c r="C1050">
        <v>0.2</v>
      </c>
      <c r="D1050" t="s">
        <v>2424</v>
      </c>
    </row>
    <row r="1051" spans="1:4" x14ac:dyDescent="0.25">
      <c r="A1051" t="s">
        <v>1988</v>
      </c>
      <c r="B1051">
        <v>0.2</v>
      </c>
      <c r="C1051">
        <v>0.2</v>
      </c>
      <c r="D1051" t="s">
        <v>2424</v>
      </c>
    </row>
    <row r="1052" spans="1:4" x14ac:dyDescent="0.25">
      <c r="A1052" t="s">
        <v>1999</v>
      </c>
      <c r="B1052">
        <v>0.25</v>
      </c>
      <c r="C1052">
        <v>0.2</v>
      </c>
      <c r="D1052" t="s">
        <v>2425</v>
      </c>
    </row>
    <row r="1053" spans="1:4" x14ac:dyDescent="0.25">
      <c r="A1053" t="s">
        <v>2010</v>
      </c>
      <c r="B1053">
        <v>0.25</v>
      </c>
      <c r="C1053">
        <v>0.2</v>
      </c>
      <c r="D1053" t="s">
        <v>2425</v>
      </c>
    </row>
    <row r="1054" spans="1:4" x14ac:dyDescent="0.25">
      <c r="A1054" t="s">
        <v>2021</v>
      </c>
      <c r="B1054">
        <v>0.25</v>
      </c>
      <c r="C1054">
        <v>0.2</v>
      </c>
      <c r="D1054" t="s">
        <v>2425</v>
      </c>
    </row>
    <row r="1055" spans="1:4" x14ac:dyDescent="0.25">
      <c r="A1055" t="s">
        <v>2031</v>
      </c>
      <c r="B1055">
        <v>0.25</v>
      </c>
      <c r="C1055">
        <v>0.2</v>
      </c>
      <c r="D1055" t="s">
        <v>2425</v>
      </c>
    </row>
    <row r="1056" spans="1:4" x14ac:dyDescent="0.25">
      <c r="A1056" t="s">
        <v>2042</v>
      </c>
      <c r="B1056">
        <v>0.25</v>
      </c>
      <c r="C1056">
        <v>0.2</v>
      </c>
      <c r="D1056" t="s">
        <v>2425</v>
      </c>
    </row>
    <row r="1057" spans="1:6" x14ac:dyDescent="0.25">
      <c r="A1057" t="s">
        <v>2052</v>
      </c>
      <c r="B1057">
        <v>0.2</v>
      </c>
      <c r="C1057">
        <v>0.2</v>
      </c>
      <c r="D1057" t="s">
        <v>2424</v>
      </c>
    </row>
    <row r="1058" spans="1:6" x14ac:dyDescent="0.25">
      <c r="A1058" t="s">
        <v>2062</v>
      </c>
      <c r="B1058">
        <v>0.25</v>
      </c>
      <c r="C1058">
        <v>0.2</v>
      </c>
      <c r="D1058" t="s">
        <v>2425</v>
      </c>
    </row>
    <row r="1059" spans="1:6" x14ac:dyDescent="0.25">
      <c r="A1059" t="s">
        <v>2072</v>
      </c>
      <c r="B1059">
        <v>0.25</v>
      </c>
      <c r="C1059">
        <v>0.2</v>
      </c>
      <c r="D1059" t="s">
        <v>2425</v>
      </c>
    </row>
    <row r="1060" spans="1:6" x14ac:dyDescent="0.25">
      <c r="A1060" t="s">
        <v>2081</v>
      </c>
      <c r="B1060">
        <v>0.25</v>
      </c>
      <c r="C1060">
        <v>0.2</v>
      </c>
      <c r="D1060" t="s">
        <v>2425</v>
      </c>
    </row>
    <row r="1061" spans="1:6" x14ac:dyDescent="0.25">
      <c r="A1061" t="s">
        <v>2089</v>
      </c>
      <c r="B1061">
        <v>0.2</v>
      </c>
      <c r="C1061">
        <v>0.2</v>
      </c>
      <c r="D1061" t="s">
        <v>2424</v>
      </c>
    </row>
    <row r="1062" spans="1:6" x14ac:dyDescent="0.25">
      <c r="A1062" t="s">
        <v>2097</v>
      </c>
      <c r="B1062">
        <v>0.25</v>
      </c>
      <c r="C1062">
        <v>0.2</v>
      </c>
      <c r="D1062" t="s">
        <v>2425</v>
      </c>
    </row>
    <row r="1063" spans="1:6" x14ac:dyDescent="0.25">
      <c r="A1063" t="s">
        <v>2104</v>
      </c>
      <c r="B1063">
        <v>0.25</v>
      </c>
      <c r="C1063">
        <v>0.2</v>
      </c>
      <c r="D1063" t="s">
        <v>2425</v>
      </c>
    </row>
    <row r="1064" spans="1:6" x14ac:dyDescent="0.25">
      <c r="A1064" t="s">
        <v>2111</v>
      </c>
      <c r="B1064">
        <v>0.2</v>
      </c>
      <c r="C1064">
        <v>0.2</v>
      </c>
      <c r="D1064" t="s">
        <v>2424</v>
      </c>
    </row>
    <row r="1065" spans="1:6" x14ac:dyDescent="0.25">
      <c r="A1065" t="s">
        <v>2117</v>
      </c>
      <c r="B1065">
        <v>0.2</v>
      </c>
      <c r="C1065">
        <v>0.2</v>
      </c>
      <c r="D1065" t="s">
        <v>2424</v>
      </c>
    </row>
    <row r="1066" spans="1:6" x14ac:dyDescent="0.25">
      <c r="A1066" t="s">
        <v>2123</v>
      </c>
      <c r="B1066">
        <v>0.25</v>
      </c>
      <c r="C1066">
        <v>0.2</v>
      </c>
      <c r="D1066" t="s">
        <v>2425</v>
      </c>
    </row>
    <row r="1067" spans="1:6" x14ac:dyDescent="0.25">
      <c r="A1067" t="s">
        <v>1326</v>
      </c>
      <c r="B1067">
        <v>0.25</v>
      </c>
      <c r="C1067">
        <v>0.25</v>
      </c>
      <c r="D1067" t="s">
        <v>2425</v>
      </c>
      <c r="E1067">
        <v>0.15</v>
      </c>
      <c r="F1067">
        <v>0.09</v>
      </c>
    </row>
    <row r="1068" spans="1:6" x14ac:dyDescent="0.25">
      <c r="A1068" t="s">
        <v>1358</v>
      </c>
      <c r="B1068">
        <v>0.25</v>
      </c>
      <c r="C1068">
        <v>0.25</v>
      </c>
      <c r="D1068" t="s">
        <v>2425</v>
      </c>
    </row>
    <row r="1069" spans="1:6" x14ac:dyDescent="0.25">
      <c r="A1069" t="s">
        <v>1389</v>
      </c>
      <c r="B1069">
        <v>0.25</v>
      </c>
      <c r="C1069">
        <v>0.25</v>
      </c>
      <c r="D1069" t="s">
        <v>2425</v>
      </c>
    </row>
    <row r="1070" spans="1:6" x14ac:dyDescent="0.25">
      <c r="A1070" t="s">
        <v>1420</v>
      </c>
      <c r="B1070">
        <v>0.25</v>
      </c>
      <c r="C1070">
        <v>0.3</v>
      </c>
      <c r="D1070" t="s">
        <v>2425</v>
      </c>
    </row>
    <row r="1071" spans="1:6" x14ac:dyDescent="0.25">
      <c r="A1071" t="s">
        <v>1370</v>
      </c>
      <c r="B1071">
        <v>0.3</v>
      </c>
      <c r="C1071">
        <v>0.3</v>
      </c>
      <c r="D1071" t="s">
        <v>2425</v>
      </c>
    </row>
    <row r="1072" spans="1:6" x14ac:dyDescent="0.25">
      <c r="A1072" t="s">
        <v>1478</v>
      </c>
      <c r="B1072">
        <v>0.3</v>
      </c>
      <c r="C1072">
        <v>0.3</v>
      </c>
      <c r="D1072" t="s">
        <v>2425</v>
      </c>
    </row>
    <row r="1073" spans="1:4" x14ac:dyDescent="0.25">
      <c r="A1073" t="s">
        <v>1507</v>
      </c>
      <c r="B1073">
        <v>0.4</v>
      </c>
      <c r="C1073">
        <v>0.35</v>
      </c>
      <c r="D1073" t="s">
        <v>2425</v>
      </c>
    </row>
    <row r="1074" spans="1:4" x14ac:dyDescent="0.25">
      <c r="A1074" t="s">
        <v>1533</v>
      </c>
      <c r="B1074">
        <v>0.25</v>
      </c>
      <c r="C1074">
        <v>0.2</v>
      </c>
      <c r="D1074" t="s">
        <v>2425</v>
      </c>
    </row>
    <row r="1075" spans="1:4" x14ac:dyDescent="0.25">
      <c r="A1075" t="s">
        <v>1559</v>
      </c>
      <c r="B1075">
        <v>0.25</v>
      </c>
      <c r="C1075">
        <v>0.25</v>
      </c>
      <c r="D1075" t="s">
        <v>2425</v>
      </c>
    </row>
    <row r="1076" spans="1:4" x14ac:dyDescent="0.25">
      <c r="A1076" t="s">
        <v>1585</v>
      </c>
      <c r="B1076">
        <v>0.25</v>
      </c>
      <c r="C1076">
        <v>0.2</v>
      </c>
      <c r="D1076" t="s">
        <v>2425</v>
      </c>
    </row>
    <row r="1077" spans="1:4" x14ac:dyDescent="0.25">
      <c r="A1077" t="s">
        <v>1611</v>
      </c>
      <c r="B1077">
        <v>0.3</v>
      </c>
      <c r="C1077">
        <v>0.3</v>
      </c>
      <c r="D1077" t="s">
        <v>2425</v>
      </c>
    </row>
    <row r="1078" spans="1:4" x14ac:dyDescent="0.25">
      <c r="A1078" t="s">
        <v>1636</v>
      </c>
      <c r="B1078">
        <v>0.25</v>
      </c>
      <c r="C1078">
        <v>0.2</v>
      </c>
      <c r="D1078" t="s">
        <v>2425</v>
      </c>
    </row>
    <row r="1079" spans="1:4" x14ac:dyDescent="0.25">
      <c r="A1079" t="s">
        <v>1659</v>
      </c>
      <c r="B1079">
        <v>0.25</v>
      </c>
      <c r="C1079">
        <v>0.25</v>
      </c>
      <c r="D1079" t="s">
        <v>2425</v>
      </c>
    </row>
    <row r="1080" spans="1:4" x14ac:dyDescent="0.25">
      <c r="A1080" t="s">
        <v>1681</v>
      </c>
      <c r="B1080">
        <v>0.25</v>
      </c>
      <c r="C1080">
        <v>0.25</v>
      </c>
      <c r="D1080" t="s">
        <v>2425</v>
      </c>
    </row>
    <row r="1081" spans="1:4" x14ac:dyDescent="0.25">
      <c r="A1081" t="s">
        <v>1703</v>
      </c>
      <c r="B1081">
        <v>0.3</v>
      </c>
      <c r="C1081">
        <v>0.3</v>
      </c>
      <c r="D1081" t="s">
        <v>2425</v>
      </c>
    </row>
    <row r="1082" spans="1:4" x14ac:dyDescent="0.25">
      <c r="A1082" t="s">
        <v>1724</v>
      </c>
      <c r="B1082">
        <v>0.3</v>
      </c>
      <c r="C1082">
        <v>0.3</v>
      </c>
      <c r="D1082" t="s">
        <v>2425</v>
      </c>
    </row>
    <row r="1083" spans="1:4" x14ac:dyDescent="0.25">
      <c r="A1083" t="s">
        <v>1744</v>
      </c>
      <c r="B1083">
        <v>0.25</v>
      </c>
      <c r="C1083">
        <v>0.2</v>
      </c>
      <c r="D1083" t="s">
        <v>2425</v>
      </c>
    </row>
    <row r="1084" spans="1:4" x14ac:dyDescent="0.25">
      <c r="A1084" t="s">
        <v>1764</v>
      </c>
      <c r="B1084">
        <v>0.3</v>
      </c>
      <c r="C1084">
        <v>0.3</v>
      </c>
      <c r="D1084" t="s">
        <v>2425</v>
      </c>
    </row>
    <row r="1085" spans="1:4" x14ac:dyDescent="0.25">
      <c r="A1085" t="s">
        <v>1784</v>
      </c>
      <c r="B1085">
        <v>0.25</v>
      </c>
      <c r="C1085">
        <v>0.2</v>
      </c>
      <c r="D1085" t="s">
        <v>2425</v>
      </c>
    </row>
    <row r="1086" spans="1:4" x14ac:dyDescent="0.25">
      <c r="A1086" t="s">
        <v>1802</v>
      </c>
      <c r="B1086">
        <v>0.25</v>
      </c>
      <c r="C1086">
        <v>0.2</v>
      </c>
      <c r="D1086" t="s">
        <v>2425</v>
      </c>
    </row>
    <row r="1087" spans="1:4" x14ac:dyDescent="0.25">
      <c r="A1087" t="s">
        <v>1821</v>
      </c>
      <c r="B1087">
        <v>0.25</v>
      </c>
      <c r="C1087">
        <v>0.25</v>
      </c>
      <c r="D1087" t="s">
        <v>2425</v>
      </c>
    </row>
    <row r="1088" spans="1:4" x14ac:dyDescent="0.25">
      <c r="A1088" t="s">
        <v>1840</v>
      </c>
      <c r="B1088">
        <v>0.25</v>
      </c>
      <c r="C1088">
        <v>0.25</v>
      </c>
      <c r="D1088" t="s">
        <v>2425</v>
      </c>
    </row>
    <row r="1089" spans="1:4" x14ac:dyDescent="0.25">
      <c r="A1089" t="s">
        <v>1859</v>
      </c>
      <c r="B1089">
        <v>0.25</v>
      </c>
      <c r="C1089">
        <v>0.25</v>
      </c>
      <c r="D1089" t="s">
        <v>2425</v>
      </c>
    </row>
    <row r="1090" spans="1:4" x14ac:dyDescent="0.25">
      <c r="A1090" t="s">
        <v>1877</v>
      </c>
      <c r="B1090">
        <v>0.25</v>
      </c>
      <c r="C1090">
        <v>0.25</v>
      </c>
      <c r="D1090" t="s">
        <v>2425</v>
      </c>
    </row>
    <row r="1091" spans="1:4" x14ac:dyDescent="0.25">
      <c r="A1091" t="s">
        <v>1895</v>
      </c>
      <c r="B1091">
        <v>0.25</v>
      </c>
      <c r="C1091">
        <v>0.25</v>
      </c>
      <c r="D1091" t="s">
        <v>2425</v>
      </c>
    </row>
    <row r="1092" spans="1:4" x14ac:dyDescent="0.25">
      <c r="A1092" t="s">
        <v>1910</v>
      </c>
      <c r="B1092">
        <v>0.25</v>
      </c>
      <c r="C1092">
        <v>0.25</v>
      </c>
      <c r="D1092" t="s">
        <v>2425</v>
      </c>
    </row>
    <row r="1093" spans="1:4" x14ac:dyDescent="0.25">
      <c r="A1093" t="s">
        <v>1926</v>
      </c>
      <c r="B1093">
        <v>0.25</v>
      </c>
      <c r="C1093">
        <v>0.2</v>
      </c>
      <c r="D1093" t="s">
        <v>2425</v>
      </c>
    </row>
    <row r="1094" spans="1:4" x14ac:dyDescent="0.25">
      <c r="A1094" t="s">
        <v>1940</v>
      </c>
      <c r="B1094">
        <v>0.25</v>
      </c>
      <c r="C1094">
        <v>0.2</v>
      </c>
      <c r="D1094" t="s">
        <v>2425</v>
      </c>
    </row>
    <row r="1095" spans="1:4" x14ac:dyDescent="0.25">
      <c r="A1095" t="s">
        <v>1953</v>
      </c>
      <c r="B1095">
        <v>0.25</v>
      </c>
      <c r="C1095">
        <v>0.25</v>
      </c>
      <c r="D1095" t="s">
        <v>2425</v>
      </c>
    </row>
    <row r="1096" spans="1:4" x14ac:dyDescent="0.25">
      <c r="A1096" t="s">
        <v>1966</v>
      </c>
      <c r="B1096">
        <v>0.25</v>
      </c>
      <c r="C1096">
        <v>0.25</v>
      </c>
      <c r="D1096" t="s">
        <v>2425</v>
      </c>
    </row>
    <row r="1097" spans="1:4" x14ac:dyDescent="0.25">
      <c r="A1097" t="s">
        <v>1978</v>
      </c>
      <c r="B1097">
        <v>0.25</v>
      </c>
      <c r="C1097">
        <v>0.25</v>
      </c>
      <c r="D1097" t="s">
        <v>2425</v>
      </c>
    </row>
    <row r="1098" spans="1:4" x14ac:dyDescent="0.25">
      <c r="A1098" t="s">
        <v>1989</v>
      </c>
      <c r="B1098">
        <v>0.25</v>
      </c>
      <c r="C1098">
        <v>0.25</v>
      </c>
      <c r="D1098" t="s">
        <v>2425</v>
      </c>
    </row>
    <row r="1099" spans="1:4" x14ac:dyDescent="0.25">
      <c r="A1099" t="s">
        <v>2000</v>
      </c>
      <c r="B1099">
        <v>0.25</v>
      </c>
      <c r="C1099">
        <v>0.2</v>
      </c>
      <c r="D1099" t="s">
        <v>2425</v>
      </c>
    </row>
    <row r="1100" spans="1:4" x14ac:dyDescent="0.25">
      <c r="A1100" t="s">
        <v>2011</v>
      </c>
      <c r="B1100">
        <v>0.25</v>
      </c>
      <c r="C1100">
        <v>0.25</v>
      </c>
      <c r="D1100" t="s">
        <v>2425</v>
      </c>
    </row>
    <row r="1101" spans="1:4" x14ac:dyDescent="0.25">
      <c r="A1101" t="s">
        <v>2022</v>
      </c>
      <c r="B1101">
        <v>0.25</v>
      </c>
      <c r="C1101">
        <v>0.25</v>
      </c>
      <c r="D1101" t="s">
        <v>2425</v>
      </c>
    </row>
    <row r="1102" spans="1:4" x14ac:dyDescent="0.25">
      <c r="A1102" t="s">
        <v>2032</v>
      </c>
      <c r="B1102">
        <v>0.25</v>
      </c>
      <c r="C1102">
        <v>0.2</v>
      </c>
      <c r="D1102" t="s">
        <v>2425</v>
      </c>
    </row>
    <row r="1103" spans="1:4" x14ac:dyDescent="0.25">
      <c r="A1103" t="s">
        <v>2043</v>
      </c>
      <c r="B1103">
        <v>0.25</v>
      </c>
      <c r="C1103">
        <v>0.25</v>
      </c>
      <c r="D1103" t="s">
        <v>2425</v>
      </c>
    </row>
    <row r="1104" spans="1:4" x14ac:dyDescent="0.25">
      <c r="A1104" t="s">
        <v>2053</v>
      </c>
      <c r="B1104">
        <v>0.3</v>
      </c>
      <c r="C1104">
        <v>0.3</v>
      </c>
      <c r="D1104" t="s">
        <v>2425</v>
      </c>
    </row>
    <row r="1105" spans="1:4" x14ac:dyDescent="0.25">
      <c r="A1105" t="s">
        <v>2063</v>
      </c>
      <c r="B1105">
        <v>0.25</v>
      </c>
      <c r="C1105">
        <v>0.25</v>
      </c>
      <c r="D1105" t="s">
        <v>2425</v>
      </c>
    </row>
    <row r="1106" spans="1:4" x14ac:dyDescent="0.25">
      <c r="A1106" t="s">
        <v>2073</v>
      </c>
      <c r="B1106">
        <v>0.25</v>
      </c>
      <c r="C1106">
        <v>0.25</v>
      </c>
      <c r="D1106" t="s">
        <v>2425</v>
      </c>
    </row>
    <row r="1107" spans="1:4" x14ac:dyDescent="0.25">
      <c r="A1107" t="s">
        <v>2082</v>
      </c>
      <c r="B1107">
        <v>0.25</v>
      </c>
      <c r="C1107">
        <v>0.25</v>
      </c>
      <c r="D1107" t="s">
        <v>2425</v>
      </c>
    </row>
    <row r="1108" spans="1:4" x14ac:dyDescent="0.25">
      <c r="A1108" t="s">
        <v>2090</v>
      </c>
      <c r="B1108">
        <v>0.25</v>
      </c>
      <c r="C1108">
        <v>0.25</v>
      </c>
      <c r="D1108" t="s">
        <v>2425</v>
      </c>
    </row>
    <row r="1109" spans="1:4" x14ac:dyDescent="0.25">
      <c r="A1109" t="s">
        <v>1327</v>
      </c>
      <c r="B1109">
        <v>0.05</v>
      </c>
      <c r="C1109">
        <v>0.05</v>
      </c>
      <c r="D1109" t="s">
        <v>2423</v>
      </c>
    </row>
    <row r="1110" spans="1:4" x14ac:dyDescent="0.25">
      <c r="A1110" t="s">
        <v>1359</v>
      </c>
      <c r="B1110">
        <v>0.05</v>
      </c>
      <c r="C1110">
        <v>0.05</v>
      </c>
      <c r="D1110" t="s">
        <v>2423</v>
      </c>
    </row>
    <row r="1111" spans="1:4" x14ac:dyDescent="0.25">
      <c r="A1111" t="s">
        <v>1390</v>
      </c>
      <c r="B1111">
        <v>0.05</v>
      </c>
      <c r="C1111">
        <v>0.05</v>
      </c>
      <c r="D1111" t="s">
        <v>2423</v>
      </c>
    </row>
    <row r="1112" spans="1:4" x14ac:dyDescent="0.25">
      <c r="A1112" t="s">
        <v>1421</v>
      </c>
      <c r="B1112">
        <v>0.05</v>
      </c>
      <c r="C1112">
        <v>0.05</v>
      </c>
      <c r="D1112" t="s">
        <v>2423</v>
      </c>
    </row>
    <row r="1113" spans="1:4" x14ac:dyDescent="0.25">
      <c r="A1113" t="s">
        <v>1450</v>
      </c>
      <c r="B1113">
        <v>0.05</v>
      </c>
      <c r="C1113">
        <v>0.05</v>
      </c>
      <c r="D1113" t="s">
        <v>2423</v>
      </c>
    </row>
    <row r="1114" spans="1:4" x14ac:dyDescent="0.25">
      <c r="A1114" t="s">
        <v>1479</v>
      </c>
      <c r="B1114">
        <v>0.05</v>
      </c>
      <c r="C1114">
        <v>0.05</v>
      </c>
      <c r="D1114" t="s">
        <v>2423</v>
      </c>
    </row>
    <row r="1115" spans="1:4" x14ac:dyDescent="0.25">
      <c r="A1115" t="s">
        <v>1328</v>
      </c>
      <c r="B1115">
        <v>0.05</v>
      </c>
      <c r="C1115">
        <v>0.05</v>
      </c>
      <c r="D1115" t="s">
        <v>2423</v>
      </c>
    </row>
    <row r="1116" spans="1:4" x14ac:dyDescent="0.25">
      <c r="A1116" t="s">
        <v>1360</v>
      </c>
      <c r="B1116">
        <v>0.05</v>
      </c>
      <c r="C1116">
        <v>0.05</v>
      </c>
      <c r="D1116" t="s">
        <v>2423</v>
      </c>
    </row>
    <row r="1117" spans="1:4" x14ac:dyDescent="0.25">
      <c r="A1117" t="s">
        <v>1391</v>
      </c>
      <c r="B1117">
        <v>0.05</v>
      </c>
      <c r="C1117">
        <v>0.05</v>
      </c>
      <c r="D1117" t="s">
        <v>2423</v>
      </c>
    </row>
    <row r="1118" spans="1:4" x14ac:dyDescent="0.25">
      <c r="A1118" t="s">
        <v>1422</v>
      </c>
      <c r="B1118">
        <v>0.05</v>
      </c>
      <c r="C1118">
        <v>0.05</v>
      </c>
      <c r="D1118" t="s">
        <v>2423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65</vt:i4>
      </vt:variant>
    </vt:vector>
  </HeadingPairs>
  <TitlesOfParts>
    <vt:vector size="86" baseType="lpstr">
      <vt:lpstr>LISTA GENERAL DE CHEQUEO</vt:lpstr>
      <vt:lpstr>espectro</vt:lpstr>
      <vt:lpstr>Irregularidades</vt:lpstr>
      <vt:lpstr>Columnas</vt:lpstr>
      <vt:lpstr>Vigas</vt:lpstr>
      <vt:lpstr>Riostras</vt:lpstr>
      <vt:lpstr>Conexiones a corte y momento</vt:lpstr>
      <vt:lpstr>Conexiones a cortante</vt:lpstr>
      <vt:lpstr>coef sismicos</vt:lpstr>
      <vt:lpstr>Fa</vt:lpstr>
      <vt:lpstr>Fv</vt:lpstr>
      <vt:lpstr>municipios espectro</vt:lpstr>
      <vt:lpstr>Tabla Perfiles tubular</vt:lpstr>
      <vt:lpstr>Tabla Perfiles laminados</vt:lpstr>
      <vt:lpstr>Datos genéricos irregularidades</vt:lpstr>
      <vt:lpstr>Datos genericos columnas</vt:lpstr>
      <vt:lpstr>Datos genericos vigas</vt:lpstr>
      <vt:lpstr>Datos genericos riostras</vt:lpstr>
      <vt:lpstr>Datos genericos RIOSTRAS AXIAL</vt:lpstr>
      <vt:lpstr>Riostras Fcr</vt:lpstr>
      <vt:lpstr>Datos genericos conexiones</vt:lpstr>
      <vt:lpstr>Amazonas</vt:lpstr>
      <vt:lpstr>Antioquia</vt:lpstr>
      <vt:lpstr>Arauca</vt:lpstr>
      <vt:lpstr>Columnas!Área_de_impresión</vt:lpstr>
      <vt:lpstr>'Conexiones a cortante'!Área_de_impresión</vt:lpstr>
      <vt:lpstr>'Conexiones a corte y momento'!Área_de_impresión</vt:lpstr>
      <vt:lpstr>espectro!Área_de_impresión</vt:lpstr>
      <vt:lpstr>Irregularidades!Área_de_impresión</vt:lpstr>
      <vt:lpstr>'LISTA GENERAL DE CHEQUEO'!Área_de_impresión</vt:lpstr>
      <vt:lpstr>Riostras!Área_de_impresión</vt:lpstr>
      <vt:lpstr>'Riostras Fcr'!Área_de_impresión</vt:lpstr>
      <vt:lpstr>Vigas!Área_de_impresión</vt:lpstr>
      <vt:lpstr>Atlántico</vt:lpstr>
      <vt:lpstr>Bogotá</vt:lpstr>
      <vt:lpstr>Bolivar</vt:lpstr>
      <vt:lpstr>Boyacá</vt:lpstr>
      <vt:lpstr>C_</vt:lpstr>
      <vt:lpstr>Caldas</vt:lpstr>
      <vt:lpstr>Caquetá</vt:lpstr>
      <vt:lpstr>Casanare</vt:lpstr>
      <vt:lpstr>Cauca</vt:lpstr>
      <vt:lpstr>Cesar</vt:lpstr>
      <vt:lpstr>Chocó</vt:lpstr>
      <vt:lpstr>Córdoba</vt:lpstr>
      <vt:lpstr>CR_</vt:lpstr>
      <vt:lpstr>Cundinamarca</vt:lpstr>
      <vt:lpstr>Dep</vt:lpstr>
      <vt:lpstr>Departamentos</vt:lpstr>
      <vt:lpstr>F.CONEXION</vt:lpstr>
      <vt:lpstr>Guainía</vt:lpstr>
      <vt:lpstr>Guajira</vt:lpstr>
      <vt:lpstr>Guaviare</vt:lpstr>
      <vt:lpstr>HP</vt:lpstr>
      <vt:lpstr>Huila</vt:lpstr>
      <vt:lpstr>IPB</vt:lpstr>
      <vt:lpstr>IPBI</vt:lpstr>
      <vt:lpstr>IPBV</vt:lpstr>
      <vt:lpstr>IPE</vt:lpstr>
      <vt:lpstr>IPN</vt:lpstr>
      <vt:lpstr>LAMINADO</vt:lpstr>
      <vt:lpstr>M</vt:lpstr>
      <vt:lpstr>Magdalena</vt:lpstr>
      <vt:lpstr>Meta</vt:lpstr>
      <vt:lpstr>Nariño</vt:lpstr>
      <vt:lpstr>Norte_de_Santander</vt:lpstr>
      <vt:lpstr>Putumayo</vt:lpstr>
      <vt:lpstr>Quindío</vt:lpstr>
      <vt:lpstr>Risaralda</vt:lpstr>
      <vt:lpstr>San_Andrés</vt:lpstr>
      <vt:lpstr>Santander</vt:lpstr>
      <vt:lpstr>Sucre</vt:lpstr>
      <vt:lpstr>T__CIRCULAR</vt:lpstr>
      <vt:lpstr>T__CUADRADO</vt:lpstr>
      <vt:lpstr>T__RECTANGULAR</vt:lpstr>
      <vt:lpstr>TIPO</vt:lpstr>
      <vt:lpstr>'LISTA GENERAL DE CHEQUEO'!Títulos_a_imprimir</vt:lpstr>
      <vt:lpstr>Tolima</vt:lpstr>
      <vt:lpstr>TUBULAR_CIRCULAR</vt:lpstr>
      <vt:lpstr>TUBULAR_CUADRADO</vt:lpstr>
      <vt:lpstr>TUBULAR_RECTANGULAR</vt:lpstr>
      <vt:lpstr>UPN</vt:lpstr>
      <vt:lpstr>Valle_del_Cauca</vt:lpstr>
      <vt:lpstr>Vaupés</vt:lpstr>
      <vt:lpstr>Vichada</vt:lpstr>
      <vt:lpstr>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AVauxiliar1</dc:creator>
  <cp:keywords/>
  <dc:description/>
  <cp:lastModifiedBy>Usuario</cp:lastModifiedBy>
  <cp:revision/>
  <cp:lastPrinted>2020-02-27T07:10:19Z</cp:lastPrinted>
  <dcterms:created xsi:type="dcterms:W3CDTF">2019-07-29T03:04:27Z</dcterms:created>
  <dcterms:modified xsi:type="dcterms:W3CDTF">2020-02-27T07:10:52Z</dcterms:modified>
  <cp:category/>
  <cp:contentStatus/>
</cp:coreProperties>
</file>