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auraximena\Desktop\"/>
    </mc:Choice>
  </mc:AlternateContent>
  <bookViews>
    <workbookView xWindow="0" yWindow="0" windowWidth="7690" windowHeight="7250" activeTab="2"/>
  </bookViews>
  <sheets>
    <sheet name="Caso a" sheetId="1" r:id="rId1"/>
    <sheet name="Caso b" sheetId="2" r:id="rId2"/>
    <sheet name="Caso c" sheetId="3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3" l="1"/>
  <c r="E25" i="3"/>
  <c r="D25" i="3"/>
  <c r="C25" i="3"/>
  <c r="D27" i="2"/>
  <c r="E27" i="2"/>
  <c r="F27" i="2"/>
  <c r="C27" i="2"/>
  <c r="F25" i="2"/>
  <c r="E25" i="2"/>
  <c r="C25" i="2"/>
  <c r="D25" i="2"/>
  <c r="D27" i="1"/>
  <c r="E27" i="1"/>
  <c r="F27" i="1"/>
  <c r="G27" i="1"/>
  <c r="H27" i="1"/>
  <c r="I27" i="1"/>
  <c r="J27" i="1"/>
  <c r="K27" i="1"/>
  <c r="L27" i="1"/>
  <c r="C27" i="1"/>
  <c r="F24" i="1"/>
  <c r="E24" i="1"/>
  <c r="D24" i="1"/>
  <c r="C24" i="1"/>
  <c r="B5" i="3" l="1"/>
  <c r="C4" i="3"/>
  <c r="D26" i="2"/>
  <c r="D32" i="2" s="1"/>
  <c r="G25" i="2"/>
  <c r="H25" i="2"/>
  <c r="H26" i="2" s="1"/>
  <c r="H32" i="2" s="1"/>
  <c r="I25" i="2"/>
  <c r="K25" i="2"/>
  <c r="L25" i="2"/>
  <c r="L26" i="2" s="1"/>
  <c r="L32" i="2" s="1"/>
  <c r="B5" i="2"/>
  <c r="C12" i="2" s="1"/>
  <c r="C4" i="2"/>
  <c r="B5" i="1"/>
  <c r="C4" i="1"/>
  <c r="K34" i="2" l="1"/>
  <c r="G34" i="2"/>
  <c r="H34" i="2"/>
  <c r="J34" i="2"/>
  <c r="F34" i="2"/>
  <c r="D34" i="2"/>
  <c r="C34" i="2"/>
  <c r="I34" i="2"/>
  <c r="E34" i="2"/>
  <c r="L34" i="2"/>
  <c r="J25" i="2"/>
  <c r="F26" i="2"/>
  <c r="F32" i="2" s="1"/>
  <c r="I25" i="3"/>
  <c r="I26" i="3" s="1"/>
  <c r="I32" i="3" s="1"/>
  <c r="C5" i="3"/>
  <c r="F26" i="3"/>
  <c r="F32" i="3" s="1"/>
  <c r="J25" i="3"/>
  <c r="J26" i="3" s="1"/>
  <c r="J32" i="3" s="1"/>
  <c r="J34" i="3"/>
  <c r="I34" i="3"/>
  <c r="E34" i="3"/>
  <c r="H34" i="3"/>
  <c r="D34" i="3"/>
  <c r="K34" i="3"/>
  <c r="G34" i="3"/>
  <c r="C34" i="3"/>
  <c r="F34" i="3"/>
  <c r="L34" i="3"/>
  <c r="H25" i="3"/>
  <c r="G25" i="3"/>
  <c r="G26" i="3" s="1"/>
  <c r="G32" i="3" s="1"/>
  <c r="K25" i="3"/>
  <c r="L25" i="3"/>
  <c r="E32" i="1"/>
  <c r="L32" i="1"/>
  <c r="H32" i="1"/>
  <c r="K32" i="1"/>
  <c r="G32" i="1"/>
  <c r="C32" i="1"/>
  <c r="J32" i="1"/>
  <c r="F32" i="1"/>
  <c r="D32" i="1"/>
  <c r="I32" i="1"/>
  <c r="L24" i="1"/>
  <c r="L25" i="1" s="1"/>
  <c r="L30" i="1" s="1"/>
  <c r="C11" i="1"/>
  <c r="C13" i="1" s="1"/>
  <c r="K24" i="1"/>
  <c r="K25" i="1" s="1"/>
  <c r="K30" i="1" s="1"/>
  <c r="G24" i="1"/>
  <c r="G25" i="1" s="1"/>
  <c r="G30" i="1" s="1"/>
  <c r="C7" i="3"/>
  <c r="B43" i="3" s="1"/>
  <c r="K26" i="3"/>
  <c r="K32" i="3" s="1"/>
  <c r="D26" i="3"/>
  <c r="D32" i="3" s="1"/>
  <c r="H26" i="3"/>
  <c r="H32" i="3" s="1"/>
  <c r="L26" i="3"/>
  <c r="L32" i="3" s="1"/>
  <c r="E26" i="3"/>
  <c r="E32" i="3" s="1"/>
  <c r="K26" i="2"/>
  <c r="K32" i="2" s="1"/>
  <c r="E26" i="2"/>
  <c r="E32" i="2" s="1"/>
  <c r="I26" i="2"/>
  <c r="I32" i="2" s="1"/>
  <c r="C5" i="2"/>
  <c r="J26" i="2"/>
  <c r="J32" i="2" s="1"/>
  <c r="C7" i="2"/>
  <c r="B43" i="2" s="1"/>
  <c r="G26" i="2"/>
  <c r="G32" i="2" s="1"/>
  <c r="E25" i="1"/>
  <c r="E30" i="1" s="1"/>
  <c r="I24" i="1"/>
  <c r="I25" i="1" s="1"/>
  <c r="I30" i="1" s="1"/>
  <c r="C5" i="1"/>
  <c r="C6" i="1" s="1"/>
  <c r="B41" i="1" s="1"/>
  <c r="F25" i="1"/>
  <c r="F30" i="1" s="1"/>
  <c r="J24" i="1"/>
  <c r="J25" i="1" s="1"/>
  <c r="J30" i="1" s="1"/>
  <c r="D25" i="1"/>
  <c r="D30" i="1" s="1"/>
  <c r="H24" i="1"/>
  <c r="H25" i="1" s="1"/>
  <c r="H30" i="1" s="1"/>
  <c r="D31" i="1" l="1"/>
  <c r="E31" i="1"/>
  <c r="C31" i="1"/>
  <c r="C33" i="1" s="1"/>
  <c r="E33" i="1"/>
  <c r="E34" i="1" s="1"/>
  <c r="E35" i="1" s="1"/>
  <c r="E36" i="1" s="1"/>
  <c r="E41" i="1" s="1"/>
  <c r="D33" i="1"/>
  <c r="C25" i="1"/>
  <c r="C30" i="1" s="1"/>
  <c r="J31" i="1"/>
  <c r="J33" i="1" s="1"/>
  <c r="H31" i="1"/>
  <c r="G31" i="1"/>
  <c r="G33" i="1" s="1"/>
  <c r="G34" i="1" s="1"/>
  <c r="G35" i="1" s="1"/>
  <c r="G36" i="1" s="1"/>
  <c r="G41" i="1" s="1"/>
  <c r="L31" i="1"/>
  <c r="L33" i="1" s="1"/>
  <c r="L34" i="1" s="1"/>
  <c r="L35" i="1" s="1"/>
  <c r="L36" i="1" s="1"/>
  <c r="L41" i="1" s="1"/>
  <c r="K31" i="1"/>
  <c r="K33" i="1" s="1"/>
  <c r="K34" i="1" s="1"/>
  <c r="K35" i="1" s="1"/>
  <c r="K36" i="1" s="1"/>
  <c r="K41" i="1" s="1"/>
  <c r="H33" i="1"/>
  <c r="H34" i="1" s="1"/>
  <c r="H35" i="1" s="1"/>
  <c r="H36" i="1" s="1"/>
  <c r="H41" i="1" s="1"/>
  <c r="F31" i="1"/>
  <c r="I31" i="1"/>
  <c r="I33" i="1"/>
  <c r="I34" i="1" s="1"/>
  <c r="I35" i="1" s="1"/>
  <c r="I36" i="1" s="1"/>
  <c r="I41" i="1" s="1"/>
  <c r="F33" i="1"/>
  <c r="F34" i="1" s="1"/>
  <c r="F35" i="1" s="1"/>
  <c r="F36" i="1" s="1"/>
  <c r="F41" i="1" s="1"/>
  <c r="C26" i="3"/>
  <c r="C32" i="3" s="1"/>
  <c r="C12" i="3"/>
  <c r="C14" i="3" s="1"/>
  <c r="C14" i="2"/>
  <c r="C26" i="2"/>
  <c r="C32" i="2" s="1"/>
  <c r="C19" i="1"/>
  <c r="C34" i="1" l="1"/>
  <c r="C35" i="1" s="1"/>
  <c r="C36" i="1" s="1"/>
  <c r="C41" i="1" s="1"/>
  <c r="D34" i="1"/>
  <c r="D35" i="1" s="1"/>
  <c r="D36" i="1" s="1"/>
  <c r="D41" i="1" s="1"/>
  <c r="J33" i="3"/>
  <c r="J35" i="3" s="1"/>
  <c r="F33" i="3"/>
  <c r="F35" i="3" s="1"/>
  <c r="C20" i="3"/>
  <c r="I33" i="3"/>
  <c r="I35" i="3" s="1"/>
  <c r="E33" i="3"/>
  <c r="E35" i="3" s="1"/>
  <c r="G33" i="3"/>
  <c r="G35" i="3" s="1"/>
  <c r="L33" i="3"/>
  <c r="L35" i="3" s="1"/>
  <c r="H33" i="3"/>
  <c r="H35" i="3" s="1"/>
  <c r="D33" i="3"/>
  <c r="D35" i="3" s="1"/>
  <c r="K33" i="3"/>
  <c r="K35" i="3" s="1"/>
  <c r="C33" i="3"/>
  <c r="C35" i="3" s="1"/>
  <c r="E33" i="2"/>
  <c r="E35" i="2" s="1"/>
  <c r="I33" i="2"/>
  <c r="I35" i="2" s="1"/>
  <c r="L33" i="2"/>
  <c r="L35" i="2" s="1"/>
  <c r="H33" i="2"/>
  <c r="H35" i="2" s="1"/>
  <c r="D33" i="2"/>
  <c r="D35" i="2" s="1"/>
  <c r="K33" i="2"/>
  <c r="K35" i="2" s="1"/>
  <c r="G33" i="2"/>
  <c r="G35" i="2" s="1"/>
  <c r="C33" i="2"/>
  <c r="C20" i="2"/>
  <c r="J33" i="2"/>
  <c r="J35" i="2" s="1"/>
  <c r="F33" i="2"/>
  <c r="F35" i="2" s="1"/>
  <c r="C35" i="2"/>
  <c r="J34" i="1"/>
  <c r="J35" i="1" s="1"/>
  <c r="J36" i="1" s="1"/>
  <c r="J41" i="1" s="1"/>
  <c r="C46" i="1" l="1"/>
  <c r="B46" i="1"/>
  <c r="C36" i="3"/>
  <c r="C37" i="3" s="1"/>
  <c r="C38" i="3" s="1"/>
  <c r="C43" i="3" s="1"/>
  <c r="G36" i="3"/>
  <c r="G37" i="3" s="1"/>
  <c r="G38" i="3" s="1"/>
  <c r="G43" i="3" s="1"/>
  <c r="F36" i="3"/>
  <c r="F37" i="3" s="1"/>
  <c r="F38" i="3" s="1"/>
  <c r="F43" i="3" s="1"/>
  <c r="L36" i="3"/>
  <c r="L37" i="3" s="1"/>
  <c r="L38" i="3" s="1"/>
  <c r="L43" i="3" s="1"/>
  <c r="D36" i="3"/>
  <c r="D37" i="3" s="1"/>
  <c r="D38" i="3" s="1"/>
  <c r="D43" i="3" s="1"/>
  <c r="E36" i="3"/>
  <c r="E37" i="3" s="1"/>
  <c r="E38" i="3" s="1"/>
  <c r="E43" i="3" s="1"/>
  <c r="J36" i="3"/>
  <c r="J37" i="3" s="1"/>
  <c r="J38" i="3" s="1"/>
  <c r="J43" i="3" s="1"/>
  <c r="K36" i="3"/>
  <c r="K37" i="3" s="1"/>
  <c r="K38" i="3" s="1"/>
  <c r="K43" i="3" s="1"/>
  <c r="H36" i="3"/>
  <c r="H37" i="3"/>
  <c r="H38" i="3" s="1"/>
  <c r="H43" i="3" s="1"/>
  <c r="I36" i="3"/>
  <c r="I37" i="3" s="1"/>
  <c r="I38" i="3" s="1"/>
  <c r="I43" i="3" s="1"/>
  <c r="C36" i="2"/>
  <c r="C37" i="2" s="1"/>
  <c r="C38" i="2" s="1"/>
  <c r="C43" i="2" s="1"/>
  <c r="H36" i="2"/>
  <c r="H37" i="2" s="1"/>
  <c r="H38" i="2" s="1"/>
  <c r="H43" i="2" s="1"/>
  <c r="F36" i="2"/>
  <c r="F37" i="2" s="1"/>
  <c r="F38" i="2" s="1"/>
  <c r="F43" i="2" s="1"/>
  <c r="G36" i="2"/>
  <c r="G37" i="2" s="1"/>
  <c r="G38" i="2" s="1"/>
  <c r="G43" i="2" s="1"/>
  <c r="L36" i="2"/>
  <c r="L37" i="2" s="1"/>
  <c r="L38" i="2" s="1"/>
  <c r="L43" i="2" s="1"/>
  <c r="J36" i="2"/>
  <c r="J37" i="2" s="1"/>
  <c r="J38" i="2" s="1"/>
  <c r="J43" i="2" s="1"/>
  <c r="K36" i="2"/>
  <c r="K37" i="2" s="1"/>
  <c r="K38" i="2" s="1"/>
  <c r="K43" i="2" s="1"/>
  <c r="I36" i="2"/>
  <c r="I37" i="2" s="1"/>
  <c r="I38" i="2" s="1"/>
  <c r="I43" i="2" s="1"/>
  <c r="D36" i="2"/>
  <c r="D37" i="2" s="1"/>
  <c r="D38" i="2" s="1"/>
  <c r="D43" i="2" s="1"/>
  <c r="E36" i="2"/>
  <c r="E37" i="2" s="1"/>
  <c r="E38" i="2" s="1"/>
  <c r="E43" i="2" s="1"/>
  <c r="C48" i="3" l="1"/>
  <c r="B48" i="2"/>
  <c r="C48" i="2"/>
  <c r="B48" i="3"/>
</calcChain>
</file>

<file path=xl/sharedStrings.xml><?xml version="1.0" encoding="utf-8"?>
<sst xmlns="http://schemas.openxmlformats.org/spreadsheetml/2006/main" count="203" uniqueCount="53">
  <si>
    <t>Inversión en activos fijos</t>
  </si>
  <si>
    <t>Carácter</t>
  </si>
  <si>
    <t>Pesos</t>
  </si>
  <si>
    <t>Vida util en años</t>
  </si>
  <si>
    <t>Valor salvamento</t>
  </si>
  <si>
    <t>Vehículo de 5000 kg</t>
  </si>
  <si>
    <t>peso canastilla</t>
  </si>
  <si>
    <t>kg</t>
  </si>
  <si>
    <t>Canastillas carulleras</t>
  </si>
  <si>
    <t>Total</t>
  </si>
  <si>
    <t>Capacidad</t>
  </si>
  <si>
    <t>Costos de operación</t>
  </si>
  <si>
    <t>Salarios</t>
  </si>
  <si>
    <t>Gastos de operación</t>
  </si>
  <si>
    <t>Arrendar camiones</t>
  </si>
  <si>
    <t>Seguro mercancia</t>
  </si>
  <si>
    <t>Soat y tecnicomecanica</t>
  </si>
  <si>
    <t>Capital de trabajo</t>
  </si>
  <si>
    <t>Ingresos</t>
  </si>
  <si>
    <t>Año 0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</si>
  <si>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</si>
  <si>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</si>
  <si>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</si>
  <si>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</si>
  <si>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</si>
  <si>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</si>
  <si>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</si>
  <si>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</si>
  <si>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</si>
  <si>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</si>
  <si>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Precio de venta (kg)</t>
  </si>
  <si>
    <t>Cantidad de unidades vendidas</t>
  </si>
  <si>
    <t>Ingresos totales</t>
  </si>
  <si>
    <t>Crecimiento de ventas año a año</t>
  </si>
  <si>
    <t>Flujo de caja</t>
  </si>
  <si>
    <t xml:space="preserve">egresos </t>
  </si>
  <si>
    <t>depreciación</t>
  </si>
  <si>
    <t>Utilidad</t>
  </si>
  <si>
    <t>Impuesto (10% de la utilidad)</t>
  </si>
  <si>
    <t>Utilidad despues de impuestos</t>
  </si>
  <si>
    <t>(+) depreciación</t>
  </si>
  <si>
    <t>Valor de recuperación activos fijos</t>
  </si>
  <si>
    <t>Valor de recuperación capital de trabajo</t>
  </si>
  <si>
    <t>Valor de recuperación Total</t>
  </si>
  <si>
    <t>Resultados Caso</t>
  </si>
  <si>
    <t>TIR</t>
  </si>
  <si>
    <t>VAN</t>
  </si>
  <si>
    <t>Pay Back</t>
  </si>
  <si>
    <t>TD</t>
  </si>
  <si>
    <t>Resultado caso</t>
  </si>
  <si>
    <t>-</t>
  </si>
  <si>
    <t>Operador logistico especializado en fruta</t>
  </si>
  <si>
    <t>Utilidad después de impuestos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</si>
</sst>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\ #,##0.00;[Red]\-&quot;$&quot;\ #,##0.00"/>
    <numFmt numFmtId="165" formatCode="_-&quot;$&quot;\ * #,##0_-;\-&quot;$&quot;\ * #,##0_-;_-&quot;$&quot;\ * &quot;-&quot;_-;_-@_-"/>
    <numFmt numFmtId="166" formatCode="_-* #,##0_-;\-* #,##0_-;_-* &quot;-&quot;_-;_-@_-"/>
    <numFmt numFmtId="167" formatCode="_-&quot;$&quot;\ * #,##0.00_-;\-&quot;$&quot;\ * #,##0.00_-;_-&quot;$&quot;\ * &quot;-&quot;??_-;_-@_-"/>
    <numFmt numFmtId="168" formatCode="_-&quot;$&quot;\ * #,##0_-;\-&quot;$&quot;\ * #,##0_-;_-&quot;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3" borderId="1" xfId="0" applyFill="1" applyBorder="1"/>
    <xf numFmtId="166" fontId="0" fillId="0" borderId="1" xfId="1" applyFont="1" applyBorder="1"/>
    <xf numFmtId="165" fontId="0" fillId="0" borderId="1" xfId="2" applyFont="1" applyBorder="1"/>
    <xf numFmtId="0" fontId="0" fillId="0" borderId="1" xfId="0" applyBorder="1"/>
    <xf numFmtId="0" fontId="2" fillId="3" borderId="1" xfId="0" applyFont="1" applyFill="1" applyBorder="1"/>
    <xf numFmtId="165" fontId="2" fillId="0" borderId="1" xfId="2" applyFont="1" applyBorder="1"/>
    <xf numFmtId="0" fontId="2" fillId="0" borderId="1" xfId="0" applyFont="1" applyBorder="1"/>
    <xf numFmtId="165" fontId="0" fillId="0" borderId="0" xfId="2" applyFont="1"/>
    <xf numFmtId="0" fontId="0" fillId="0" borderId="1" xfId="2" applyNumberFormat="1" applyFont="1" applyBorder="1"/>
    <xf numFmtId="166" fontId="0" fillId="0" borderId="1" xfId="2" applyNumberFormat="1" applyFont="1" applyBorder="1"/>
    <xf numFmtId="9" fontId="0" fillId="0" borderId="1" xfId="2" applyNumberFormat="1" applyFont="1" applyBorder="1"/>
    <xf numFmtId="165" fontId="2" fillId="0" borderId="1" xfId="0" applyNumberFormat="1" applyFont="1" applyBorder="1"/>
    <xf numFmtId="165" fontId="0" fillId="0" borderId="1" xfId="0" applyNumberFormat="1" applyBorder="1"/>
    <xf numFmtId="10" fontId="0" fillId="0" borderId="1" xfId="3" applyNumberFormat="1" applyFont="1" applyBorder="1"/>
    <xf numFmtId="164" fontId="0" fillId="0" borderId="1" xfId="2" applyNumberFormat="1" applyFont="1" applyBorder="1"/>
    <xf numFmtId="9" fontId="0" fillId="0" borderId="1" xfId="0" applyNumberFormat="1" applyBorder="1"/>
    <xf numFmtId="164" fontId="0" fillId="0" borderId="0" xfId="0" applyNumberFormat="1"/>
    <xf numFmtId="9" fontId="0" fillId="0" borderId="0" xfId="3" applyFont="1"/>
    <xf numFmtId="164" fontId="0" fillId="0" borderId="0" xfId="2" applyNumberFormat="1" applyFont="1"/>
    <xf numFmtId="0" fontId="2" fillId="2" borderId="1" xfId="0" applyFont="1" applyFill="1" applyBorder="1" applyAlignment="1">
      <alignment horizontal="center"/>
    </xf>
    <xf numFmtId="168" fontId="0" fillId="0" borderId="1" xfId="4" applyNumberFormat="1" applyFont="1" applyBorder="1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</cellXfs>
  <cellStyles count="5">
    <cellStyle name="Millares [0]" xfId="1" builtinId="6"/>
    <cellStyle name="Moneda" xfId="4" builtinId="4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showGridLines="0" topLeftCell="A21" zoomScaleNormal="100" workbookViewId="0">
      <selection activeCell="D46" sqref="D46"/>
    </sheetView>
  </sheetViews>
  <sheetFormatPr baseColWidth="10" defaultRowHeight="14.5" x14ac:dyDescent="0.35"/>
  <cols>
    <col min="1" max="1" width="39.1796875" bestFit="1" customWidth="1"/>
    <col min="2" max="2" width="14" style="9" bestFit="1" customWidth="1"/>
    <col min="3" max="3" width="22.26953125" style="9" bestFit="1" customWidth="1"/>
    <col min="4" max="4" width="15.7265625" bestFit="1" customWidth="1"/>
    <col min="5" max="5" width="16.54296875" bestFit="1" customWidth="1"/>
    <col min="6" max="6" width="17.54296875" customWidth="1"/>
    <col min="7" max="12" width="14" bestFit="1" customWidth="1"/>
  </cols>
  <sheetData>
    <row r="1" spans="1:11" ht="18.5" x14ac:dyDescent="0.45">
      <c r="A1" s="24" t="s">
        <v>51</v>
      </c>
      <c r="B1" s="24"/>
      <c r="C1" s="24"/>
      <c r="D1" s="24"/>
      <c r="E1" s="24"/>
    </row>
    <row r="2" spans="1:11" x14ac:dyDescent="0.35">
      <c r="A2" s="23" t="s">
        <v>0</v>
      </c>
      <c r="B2" s="23"/>
      <c r="C2" s="23"/>
      <c r="D2" s="23"/>
      <c r="E2" s="23"/>
    </row>
    <row r="3" spans="1:11" x14ac:dyDescent="0.35">
      <c r="A3" s="1" t="s">
        <v>1</v>
      </c>
      <c r="B3" s="1"/>
      <c r="C3" s="1" t="s">
        <v>2</v>
      </c>
      <c r="D3" s="1" t="s">
        <v>3</v>
      </c>
      <c r="E3" s="1" t="s">
        <v>4</v>
      </c>
    </row>
    <row r="4" spans="1:11" x14ac:dyDescent="0.35">
      <c r="A4" s="2" t="s">
        <v>5</v>
      </c>
      <c r="B4" s="3">
        <v>2</v>
      </c>
      <c r="C4" s="4">
        <f>130000000*B4</f>
        <v>260000000</v>
      </c>
      <c r="D4" s="5">
        <v>10</v>
      </c>
      <c r="E4" s="4">
        <v>60000000</v>
      </c>
      <c r="I4" s="21" t="s">
        <v>6</v>
      </c>
      <c r="J4">
        <v>15</v>
      </c>
      <c r="K4" t="s">
        <v>7</v>
      </c>
    </row>
    <row r="5" spans="1:11" x14ac:dyDescent="0.35">
      <c r="A5" s="2" t="s">
        <v>8</v>
      </c>
      <c r="B5" s="3">
        <f>300*B4</f>
        <v>600</v>
      </c>
      <c r="C5" s="4">
        <f>10000*B5</f>
        <v>6000000</v>
      </c>
      <c r="D5" s="5">
        <v>10</v>
      </c>
      <c r="E5" s="5">
        <v>0</v>
      </c>
    </row>
    <row r="6" spans="1:11" x14ac:dyDescent="0.35">
      <c r="A6" s="6" t="s">
        <v>9</v>
      </c>
      <c r="B6" s="7"/>
      <c r="C6" s="7">
        <f>SUM(C4:C5)</f>
        <v>266000000</v>
      </c>
      <c r="D6" s="8">
        <v>10</v>
      </c>
      <c r="E6" s="8">
        <v>0</v>
      </c>
    </row>
    <row r="8" spans="1:11" x14ac:dyDescent="0.35">
      <c r="A8" s="25" t="s">
        <v>11</v>
      </c>
      <c r="B8" s="26"/>
      <c r="C8" s="27"/>
    </row>
    <row r="9" spans="1:11" x14ac:dyDescent="0.35">
      <c r="A9" s="2" t="s">
        <v>12</v>
      </c>
      <c r="B9" s="4"/>
      <c r="C9" s="4">
        <v>203094144</v>
      </c>
    </row>
    <row r="10" spans="1:11" x14ac:dyDescent="0.35">
      <c r="A10" s="2" t="s">
        <v>13</v>
      </c>
      <c r="B10" s="4"/>
      <c r="C10" s="4">
        <v>84686400</v>
      </c>
    </row>
    <row r="11" spans="1:11" x14ac:dyDescent="0.35">
      <c r="A11" s="2" t="s">
        <v>15</v>
      </c>
      <c r="B11" s="4"/>
      <c r="C11" s="4">
        <f>(C23*10%)*C24</f>
        <v>38880000</v>
      </c>
    </row>
    <row r="12" spans="1:11" x14ac:dyDescent="0.35">
      <c r="A12" s="2" t="s">
        <v>16</v>
      </c>
      <c r="B12" s="4"/>
      <c r="C12" s="4">
        <v>1600000</v>
      </c>
    </row>
    <row r="13" spans="1:11" x14ac:dyDescent="0.35">
      <c r="A13" s="6" t="s">
        <v>9</v>
      </c>
      <c r="B13" s="7"/>
      <c r="C13" s="7">
        <f>SUM(C9:C12)</f>
        <v>328260544</v>
      </c>
    </row>
    <row r="15" spans="1:11" x14ac:dyDescent="0.35">
      <c r="A15" s="25" t="s">
        <v>17</v>
      </c>
      <c r="B15" s="26"/>
      <c r="C15" s="27"/>
    </row>
    <row r="16" spans="1:11" x14ac:dyDescent="0.35">
      <c r="A16" s="6" t="s">
        <v>17</v>
      </c>
      <c r="B16" s="7"/>
      <c r="C16" s="7">
        <v>200000000</v>
      </c>
    </row>
    <row r="18" spans="1:12" x14ac:dyDescent="0.35">
      <c r="A18" s="25" t="s">
        <v>9</v>
      </c>
      <c r="B18" s="26"/>
      <c r="C18" s="27"/>
    </row>
    <row r="19" spans="1:12" x14ac:dyDescent="0.35">
      <c r="A19" s="6" t="s">
        <v>9</v>
      </c>
      <c r="B19" s="7"/>
      <c r="C19" s="7">
        <f>C16+C13+C6</f>
        <v>794260544</v>
      </c>
    </row>
    <row r="21" spans="1:12" x14ac:dyDescent="0.35">
      <c r="A21" s="23" t="s">
        <v>18</v>
      </c>
      <c r="B21" s="23"/>
      <c r="C21" s="23"/>
      <c r="D21" s="23"/>
      <c r="E21" s="23"/>
    </row>
    <row r="22" spans="1:12" x14ac:dyDescent="0.35">
      <c r="A22" s="1"/>
      <c r="B22" s="1" t="s">
        <v>19</v>
      </c>
      <c r="C22" s="1" t="s">
        <v>20</v>
      </c>
      <c r="D22" s="1" t="s">
        <v>21</v>
      </c>
      <c r="E22" s="1" t="s">
        <v>22</v>
      </c>
      <c r="F22" s="1" t="s">
        <v>23</v>
      </c>
      <c r="G22" s="1" t="s">
        <v>24</v>
      </c>
      <c r="H22" s="1" t="s">
        <v>25</v>
      </c>
      <c r="I22" s="1" t="s">
        <v>26</v>
      </c>
      <c r="J22" s="1" t="s">
        <v>27</v>
      </c>
      <c r="K22" s="1" t="s">
        <v>28</v>
      </c>
      <c r="L22" s="1" t="s">
        <v>29</v>
      </c>
    </row>
    <row r="23" spans="1:12" x14ac:dyDescent="0.35">
      <c r="A23" s="2" t="s">
        <v>30</v>
      </c>
      <c r="B23" s="4"/>
      <c r="C23" s="4">
        <v>200</v>
      </c>
      <c r="D23" s="4">
        <v>200</v>
      </c>
      <c r="E23" s="4">
        <v>200</v>
      </c>
      <c r="F23" s="4">
        <v>200</v>
      </c>
      <c r="G23" s="4">
        <v>200</v>
      </c>
      <c r="H23" s="4">
        <v>200</v>
      </c>
      <c r="I23" s="4">
        <v>200</v>
      </c>
      <c r="J23" s="4">
        <v>200</v>
      </c>
      <c r="K23" s="4">
        <v>200</v>
      </c>
      <c r="L23" s="4">
        <v>200</v>
      </c>
    </row>
    <row r="24" spans="1:12" x14ac:dyDescent="0.35">
      <c r="A24" s="2" t="s">
        <v>31</v>
      </c>
      <c r="B24" s="10"/>
      <c r="C24" s="11">
        <f>$B$5*$J$4*360*0.6</f>
        <v>1944000</v>
      </c>
      <c r="D24" s="11">
        <f>$B$5*$J$4*360*0.7</f>
        <v>2268000</v>
      </c>
      <c r="E24" s="11">
        <f>$B$5*$J$4*360*0.8</f>
        <v>2592000</v>
      </c>
      <c r="F24" s="11">
        <f>$B$5*$J$4*360*0.9</f>
        <v>2916000</v>
      </c>
      <c r="G24" s="11">
        <f t="shared" ref="D24:L24" si="0">$B$5*$J$4*360</f>
        <v>3240000</v>
      </c>
      <c r="H24" s="11">
        <f t="shared" si="0"/>
        <v>3240000</v>
      </c>
      <c r="I24" s="11">
        <f t="shared" si="0"/>
        <v>3240000</v>
      </c>
      <c r="J24" s="11">
        <f t="shared" si="0"/>
        <v>3240000</v>
      </c>
      <c r="K24" s="11">
        <f t="shared" si="0"/>
        <v>3240000</v>
      </c>
      <c r="L24" s="11">
        <f t="shared" si="0"/>
        <v>3240000</v>
      </c>
    </row>
    <row r="25" spans="1:12" x14ac:dyDescent="0.35">
      <c r="A25" s="2" t="s">
        <v>32</v>
      </c>
      <c r="B25" s="4"/>
      <c r="C25" s="4">
        <f>C23*C24</f>
        <v>388800000</v>
      </c>
      <c r="D25" s="4">
        <f t="shared" ref="D25:L25" si="1">D23*D24</f>
        <v>453600000</v>
      </c>
      <c r="E25" s="4">
        <f t="shared" si="1"/>
        <v>518400000</v>
      </c>
      <c r="F25" s="4">
        <f t="shared" si="1"/>
        <v>583200000</v>
      </c>
      <c r="G25" s="4">
        <f t="shared" si="1"/>
        <v>648000000</v>
      </c>
      <c r="H25" s="4">
        <f t="shared" si="1"/>
        <v>648000000</v>
      </c>
      <c r="I25" s="4">
        <f t="shared" si="1"/>
        <v>648000000</v>
      </c>
      <c r="J25" s="4">
        <f t="shared" si="1"/>
        <v>648000000</v>
      </c>
      <c r="K25" s="4">
        <f t="shared" si="1"/>
        <v>648000000</v>
      </c>
      <c r="L25" s="4">
        <f t="shared" si="1"/>
        <v>648000000</v>
      </c>
    </row>
    <row r="26" spans="1:12" x14ac:dyDescent="0.35">
      <c r="A26" s="2" t="s">
        <v>33</v>
      </c>
      <c r="B26" s="12"/>
      <c r="C26" s="12">
        <v>0.1</v>
      </c>
      <c r="D26" s="5"/>
      <c r="E26" s="5"/>
    </row>
    <row r="27" spans="1:12" x14ac:dyDescent="0.35">
      <c r="C27" s="19">
        <f>+(D24-C24)/C24</f>
        <v>0.16666666666666666</v>
      </c>
      <c r="D27" s="19">
        <f t="shared" ref="D27:L27" si="2">+(E24-D24)/D24</f>
        <v>0.14285714285714285</v>
      </c>
      <c r="E27" s="19">
        <f t="shared" si="2"/>
        <v>0.125</v>
      </c>
      <c r="F27" s="19">
        <f t="shared" si="2"/>
        <v>0.1111111111111111</v>
      </c>
      <c r="G27" s="19">
        <f t="shared" si="2"/>
        <v>0</v>
      </c>
      <c r="H27" s="19">
        <f t="shared" si="2"/>
        <v>0</v>
      </c>
      <c r="I27" s="19">
        <f t="shared" si="2"/>
        <v>0</v>
      </c>
      <c r="J27" s="19">
        <f t="shared" si="2"/>
        <v>0</v>
      </c>
      <c r="K27" s="19">
        <f t="shared" si="2"/>
        <v>0</v>
      </c>
      <c r="L27" s="19">
        <f t="shared" si="2"/>
        <v>-1</v>
      </c>
    </row>
    <row r="28" spans="1:12" x14ac:dyDescent="0.35">
      <c r="A28" s="23" t="s">
        <v>34</v>
      </c>
      <c r="B28" s="23"/>
      <c r="C28" s="23"/>
      <c r="D28" s="23"/>
      <c r="E28" s="23"/>
    </row>
    <row r="29" spans="1:12" x14ac:dyDescent="0.35">
      <c r="A29" s="1"/>
      <c r="B29" s="1" t="s">
        <v>19</v>
      </c>
      <c r="C29" s="1" t="s">
        <v>20</v>
      </c>
      <c r="D29" s="1" t="s">
        <v>21</v>
      </c>
      <c r="E29" s="1" t="s">
        <v>22</v>
      </c>
      <c r="F29" s="1" t="s">
        <v>23</v>
      </c>
      <c r="G29" s="1" t="s">
        <v>24</v>
      </c>
      <c r="H29" s="1" t="s">
        <v>25</v>
      </c>
      <c r="I29" s="1" t="s">
        <v>26</v>
      </c>
      <c r="J29" s="1" t="s">
        <v>27</v>
      </c>
      <c r="K29" s="1" t="s">
        <v>28</v>
      </c>
      <c r="L29" s="1" t="s">
        <v>29</v>
      </c>
    </row>
    <row r="30" spans="1:12" x14ac:dyDescent="0.35">
      <c r="A30" s="2" t="s">
        <v>18</v>
      </c>
      <c r="B30" s="4"/>
      <c r="C30" s="4">
        <f t="shared" ref="C30:L30" si="3">C25</f>
        <v>388800000</v>
      </c>
      <c r="D30" s="4">
        <f t="shared" si="3"/>
        <v>453600000</v>
      </c>
      <c r="E30" s="4">
        <f t="shared" si="3"/>
        <v>518400000</v>
      </c>
      <c r="F30" s="4">
        <f t="shared" si="3"/>
        <v>583200000</v>
      </c>
      <c r="G30" s="4">
        <f t="shared" si="3"/>
        <v>648000000</v>
      </c>
      <c r="H30" s="4">
        <f t="shared" si="3"/>
        <v>648000000</v>
      </c>
      <c r="I30" s="4">
        <f t="shared" si="3"/>
        <v>648000000</v>
      </c>
      <c r="J30" s="4">
        <f t="shared" si="3"/>
        <v>648000000</v>
      </c>
      <c r="K30" s="4">
        <f t="shared" si="3"/>
        <v>648000000</v>
      </c>
      <c r="L30" s="4">
        <f t="shared" si="3"/>
        <v>648000000</v>
      </c>
    </row>
    <row r="31" spans="1:12" x14ac:dyDescent="0.35">
      <c r="A31" s="2" t="s">
        <v>35</v>
      </c>
      <c r="B31" s="4"/>
      <c r="C31" s="4">
        <f>$C$13</f>
        <v>328260544</v>
      </c>
      <c r="D31" s="4">
        <f t="shared" ref="D31:L31" si="4">$C$13</f>
        <v>328260544</v>
      </c>
      <c r="E31" s="4">
        <f t="shared" si="4"/>
        <v>328260544</v>
      </c>
      <c r="F31" s="4">
        <f t="shared" si="4"/>
        <v>328260544</v>
      </c>
      <c r="G31" s="4">
        <f t="shared" si="4"/>
        <v>328260544</v>
      </c>
      <c r="H31" s="4">
        <f t="shared" si="4"/>
        <v>328260544</v>
      </c>
      <c r="I31" s="4">
        <f t="shared" si="4"/>
        <v>328260544</v>
      </c>
      <c r="J31" s="4">
        <f t="shared" si="4"/>
        <v>328260544</v>
      </c>
      <c r="K31" s="4">
        <f t="shared" si="4"/>
        <v>328260544</v>
      </c>
      <c r="L31" s="4">
        <f t="shared" si="4"/>
        <v>328260544</v>
      </c>
    </row>
    <row r="32" spans="1:12" x14ac:dyDescent="0.35">
      <c r="A32" s="2" t="s">
        <v>36</v>
      </c>
      <c r="B32" s="4"/>
      <c r="C32" s="4">
        <f>10%*$C$4</f>
        <v>26000000</v>
      </c>
      <c r="D32" s="4">
        <f t="shared" ref="D32:L32" si="5">10%*$C$4</f>
        <v>26000000</v>
      </c>
      <c r="E32" s="4">
        <f t="shared" si="5"/>
        <v>26000000</v>
      </c>
      <c r="F32" s="4">
        <f t="shared" si="5"/>
        <v>26000000</v>
      </c>
      <c r="G32" s="4">
        <f t="shared" si="5"/>
        <v>26000000</v>
      </c>
      <c r="H32" s="4">
        <f t="shared" si="5"/>
        <v>26000000</v>
      </c>
      <c r="I32" s="4">
        <f t="shared" si="5"/>
        <v>26000000</v>
      </c>
      <c r="J32" s="4">
        <f t="shared" si="5"/>
        <v>26000000</v>
      </c>
      <c r="K32" s="4">
        <f t="shared" si="5"/>
        <v>26000000</v>
      </c>
      <c r="L32" s="4">
        <f t="shared" si="5"/>
        <v>26000000</v>
      </c>
    </row>
    <row r="33" spans="1:12" x14ac:dyDescent="0.35">
      <c r="A33" s="6" t="s">
        <v>37</v>
      </c>
      <c r="B33" s="7"/>
      <c r="C33" s="7">
        <f>C30-C31-C32</f>
        <v>34539456</v>
      </c>
      <c r="D33" s="7">
        <f t="shared" ref="D33:L33" si="6">D30-D31-D32</f>
        <v>99339456</v>
      </c>
      <c r="E33" s="7">
        <f t="shared" si="6"/>
        <v>164139456</v>
      </c>
      <c r="F33" s="7">
        <f t="shared" si="6"/>
        <v>228939456</v>
      </c>
      <c r="G33" s="7">
        <f t="shared" si="6"/>
        <v>293739456</v>
      </c>
      <c r="H33" s="7">
        <f t="shared" si="6"/>
        <v>293739456</v>
      </c>
      <c r="I33" s="7">
        <f t="shared" si="6"/>
        <v>293739456</v>
      </c>
      <c r="J33" s="7">
        <f t="shared" si="6"/>
        <v>293739456</v>
      </c>
      <c r="K33" s="7">
        <f t="shared" si="6"/>
        <v>293739456</v>
      </c>
      <c r="L33" s="7">
        <f t="shared" si="6"/>
        <v>293739456</v>
      </c>
    </row>
    <row r="34" spans="1:12" x14ac:dyDescent="0.35">
      <c r="A34" s="2" t="s">
        <v>38</v>
      </c>
      <c r="B34" s="4"/>
      <c r="C34" s="4">
        <f>33%*C33</f>
        <v>11398020.48</v>
      </c>
      <c r="D34" s="4">
        <f t="shared" ref="D34:L34" si="7">33%*D33</f>
        <v>32782020.48</v>
      </c>
      <c r="E34" s="4">
        <f t="shared" si="7"/>
        <v>54166020.480000004</v>
      </c>
      <c r="F34" s="4">
        <f t="shared" si="7"/>
        <v>75550020.480000004</v>
      </c>
      <c r="G34" s="4">
        <f t="shared" si="7"/>
        <v>96934020.480000004</v>
      </c>
      <c r="H34" s="4">
        <f t="shared" si="7"/>
        <v>96934020.480000004</v>
      </c>
      <c r="I34" s="4">
        <f t="shared" si="7"/>
        <v>96934020.480000004</v>
      </c>
      <c r="J34" s="4">
        <f t="shared" si="7"/>
        <v>96934020.480000004</v>
      </c>
      <c r="K34" s="4">
        <f t="shared" si="7"/>
        <v>96934020.480000004</v>
      </c>
      <c r="L34" s="4">
        <f t="shared" si="7"/>
        <v>96934020.480000004</v>
      </c>
    </row>
    <row r="35" spans="1:12" x14ac:dyDescent="0.35">
      <c r="A35" s="6" t="s">
        <v>52</v>
      </c>
      <c r="B35" s="7"/>
      <c r="C35" s="7">
        <f>C33-C34</f>
        <v>23141435.52</v>
      </c>
      <c r="D35" s="7">
        <f t="shared" ref="D35:L35" si="8">D33-D34</f>
        <v>66557435.519999996</v>
      </c>
      <c r="E35" s="7">
        <f t="shared" si="8"/>
        <v>109973435.52</v>
      </c>
      <c r="F35" s="7">
        <f t="shared" si="8"/>
        <v>153389435.51999998</v>
      </c>
      <c r="G35" s="7">
        <f t="shared" si="8"/>
        <v>196805435.51999998</v>
      </c>
      <c r="H35" s="7">
        <f t="shared" si="8"/>
        <v>196805435.51999998</v>
      </c>
      <c r="I35" s="7">
        <f t="shared" si="8"/>
        <v>196805435.51999998</v>
      </c>
      <c r="J35" s="7">
        <f t="shared" si="8"/>
        <v>196805435.51999998</v>
      </c>
      <c r="K35" s="7">
        <f t="shared" si="8"/>
        <v>196805435.51999998</v>
      </c>
      <c r="L35" s="7">
        <f t="shared" si="8"/>
        <v>196805435.51999998</v>
      </c>
    </row>
    <row r="36" spans="1:12" x14ac:dyDescent="0.35">
      <c r="A36" s="6" t="s">
        <v>40</v>
      </c>
      <c r="B36" s="7"/>
      <c r="C36" s="7">
        <f>C35+C32</f>
        <v>49141435.519999996</v>
      </c>
      <c r="D36" s="7">
        <f t="shared" ref="D36:L36" si="9">D35+D32</f>
        <v>92557435.519999996</v>
      </c>
      <c r="E36" s="7">
        <f t="shared" si="9"/>
        <v>135973435.51999998</v>
      </c>
      <c r="F36" s="7">
        <f t="shared" si="9"/>
        <v>179389435.51999998</v>
      </c>
      <c r="G36" s="7">
        <f t="shared" si="9"/>
        <v>222805435.51999998</v>
      </c>
      <c r="H36" s="7">
        <f t="shared" si="9"/>
        <v>222805435.51999998</v>
      </c>
      <c r="I36" s="7">
        <f t="shared" si="9"/>
        <v>222805435.51999998</v>
      </c>
      <c r="J36" s="7">
        <f t="shared" si="9"/>
        <v>222805435.51999998</v>
      </c>
      <c r="K36" s="7">
        <f t="shared" si="9"/>
        <v>222805435.51999998</v>
      </c>
      <c r="L36" s="7">
        <f t="shared" si="9"/>
        <v>222805435.51999998</v>
      </c>
    </row>
    <row r="37" spans="1:12" hidden="1" x14ac:dyDescent="0.35">
      <c r="A37" s="2" t="s">
        <v>41</v>
      </c>
      <c r="B37" s="4"/>
      <c r="C37" s="4"/>
      <c r="D37" s="4"/>
      <c r="E37" s="4"/>
      <c r="L37" s="9">
        <v>60000000</v>
      </c>
    </row>
    <row r="38" spans="1:12" hidden="1" x14ac:dyDescent="0.35">
      <c r="A38" s="2" t="s">
        <v>42</v>
      </c>
      <c r="B38" s="4"/>
      <c r="C38" s="4"/>
      <c r="D38" s="4"/>
      <c r="E38" s="4"/>
    </row>
    <row r="39" spans="1:12" hidden="1" x14ac:dyDescent="0.35">
      <c r="A39" s="6" t="s">
        <v>43</v>
      </c>
      <c r="B39" s="7"/>
      <c r="C39" s="7"/>
      <c r="D39" s="8"/>
      <c r="E39" s="13"/>
    </row>
    <row r="40" spans="1:12" hidden="1" x14ac:dyDescent="0.35">
      <c r="A40" s="2"/>
      <c r="B40" s="4"/>
      <c r="C40" s="4"/>
      <c r="D40" s="5"/>
      <c r="E40" s="14"/>
    </row>
    <row r="41" spans="1:12" x14ac:dyDescent="0.35">
      <c r="A41" s="6" t="s">
        <v>34</v>
      </c>
      <c r="B41" s="7">
        <f>-(C6+C16)</f>
        <v>-466000000</v>
      </c>
      <c r="C41" s="13">
        <f>C36+C39</f>
        <v>49141435.519999996</v>
      </c>
      <c r="D41" s="13">
        <f t="shared" ref="D41:K41" si="10">D36+D39</f>
        <v>92557435.519999996</v>
      </c>
      <c r="E41" s="13">
        <f t="shared" si="10"/>
        <v>135973435.51999998</v>
      </c>
      <c r="F41" s="13">
        <f t="shared" si="10"/>
        <v>179389435.51999998</v>
      </c>
      <c r="G41" s="13">
        <f t="shared" si="10"/>
        <v>222805435.51999998</v>
      </c>
      <c r="H41" s="13">
        <f t="shared" si="10"/>
        <v>222805435.51999998</v>
      </c>
      <c r="I41" s="13">
        <f t="shared" si="10"/>
        <v>222805435.51999998</v>
      </c>
      <c r="J41" s="13">
        <f t="shared" si="10"/>
        <v>222805435.51999998</v>
      </c>
      <c r="K41" s="13">
        <f t="shared" si="10"/>
        <v>222805435.51999998</v>
      </c>
      <c r="L41" s="13">
        <f>L36+L37</f>
        <v>282805435.51999998</v>
      </c>
    </row>
    <row r="44" spans="1:12" x14ac:dyDescent="0.35">
      <c r="A44" s="23" t="s">
        <v>44</v>
      </c>
      <c r="B44" s="23"/>
      <c r="C44" s="23"/>
      <c r="D44" s="23"/>
      <c r="E44" s="23"/>
    </row>
    <row r="45" spans="1:12" x14ac:dyDescent="0.35">
      <c r="A45" s="1"/>
      <c r="B45" s="1" t="s">
        <v>45</v>
      </c>
      <c r="C45" s="1" t="s">
        <v>46</v>
      </c>
      <c r="D45" s="1" t="s">
        <v>47</v>
      </c>
      <c r="E45" s="1" t="s">
        <v>48</v>
      </c>
    </row>
    <row r="46" spans="1:12" x14ac:dyDescent="0.35">
      <c r="A46" s="8" t="s">
        <v>49</v>
      </c>
      <c r="B46" s="15">
        <f>IRR(B41:L41)</f>
        <v>0.27695331008758317</v>
      </c>
      <c r="C46" s="16">
        <f>NPV(E46,B41,C41,D41,E41,F41,G41,H41,I41,J41,K41,L41)</f>
        <v>571077556.17367172</v>
      </c>
      <c r="D46" s="5">
        <v>4</v>
      </c>
      <c r="E46" s="17">
        <v>0.09</v>
      </c>
      <c r="F46" s="18"/>
    </row>
    <row r="47" spans="1:12" x14ac:dyDescent="0.35">
      <c r="B47" s="19"/>
      <c r="C47" s="20"/>
    </row>
  </sheetData>
  <mergeCells count="8">
    <mergeCell ref="A28:E28"/>
    <mergeCell ref="A44:E44"/>
    <mergeCell ref="A1:E1"/>
    <mergeCell ref="A2:E2"/>
    <mergeCell ref="A8:C8"/>
    <mergeCell ref="A15:C15"/>
    <mergeCell ref="A18:C18"/>
    <mergeCell ref="A21:E2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opLeftCell="A25" zoomScale="85" zoomScaleNormal="85" workbookViewId="0">
      <selection activeCell="C51" sqref="C51"/>
    </sheetView>
  </sheetViews>
  <sheetFormatPr baseColWidth="10" defaultRowHeight="14.5" x14ac:dyDescent="0.35"/>
  <cols>
    <col min="1" max="1" width="39.1796875" bestFit="1" customWidth="1"/>
    <col min="2" max="2" width="14.453125" style="9" bestFit="1" customWidth="1"/>
    <col min="3" max="3" width="17.7265625" style="9" bestFit="1" customWidth="1"/>
    <col min="4" max="4" width="15.7265625" bestFit="1" customWidth="1"/>
    <col min="5" max="5" width="16.54296875" bestFit="1" customWidth="1"/>
    <col min="6" max="6" width="17.54296875" customWidth="1"/>
    <col min="7" max="7" width="17.81640625" bestFit="1" customWidth="1"/>
    <col min="8" max="12" width="14" bestFit="1" customWidth="1"/>
  </cols>
  <sheetData>
    <row r="1" spans="1:11" ht="18.5" x14ac:dyDescent="0.45">
      <c r="A1" s="24" t="s">
        <v>51</v>
      </c>
      <c r="B1" s="24"/>
      <c r="C1" s="24"/>
      <c r="D1" s="24"/>
      <c r="E1" s="24"/>
    </row>
    <row r="2" spans="1:11" x14ac:dyDescent="0.35">
      <c r="A2" s="23" t="s">
        <v>0</v>
      </c>
      <c r="B2" s="23"/>
      <c r="C2" s="23"/>
      <c r="D2" s="23"/>
      <c r="E2" s="23"/>
    </row>
    <row r="3" spans="1:11" x14ac:dyDescent="0.35">
      <c r="A3" s="1" t="s">
        <v>1</v>
      </c>
      <c r="B3" s="1"/>
      <c r="C3" s="1" t="s">
        <v>2</v>
      </c>
      <c r="D3" s="1" t="s">
        <v>3</v>
      </c>
      <c r="E3" s="1" t="s">
        <v>4</v>
      </c>
    </row>
    <row r="4" spans="1:11" x14ac:dyDescent="0.35">
      <c r="A4" s="2" t="s">
        <v>5</v>
      </c>
      <c r="B4" s="3">
        <v>2</v>
      </c>
      <c r="C4" s="4">
        <f>130000000*B4</f>
        <v>260000000</v>
      </c>
      <c r="D4" s="5">
        <v>10</v>
      </c>
      <c r="E4" s="22">
        <v>60000000</v>
      </c>
      <c r="I4" s="21" t="s">
        <v>6</v>
      </c>
      <c r="J4">
        <v>15</v>
      </c>
      <c r="K4" t="s">
        <v>7</v>
      </c>
    </row>
    <row r="5" spans="1:11" x14ac:dyDescent="0.35">
      <c r="A5" s="2" t="s">
        <v>8</v>
      </c>
      <c r="B5" s="3">
        <f>300*B4</f>
        <v>600</v>
      </c>
      <c r="C5" s="4">
        <f>10000*B5</f>
        <v>6000000</v>
      </c>
      <c r="D5" s="5">
        <v>10</v>
      </c>
      <c r="E5" s="5">
        <v>0</v>
      </c>
    </row>
    <row r="6" spans="1:11" x14ac:dyDescent="0.35">
      <c r="A6" s="2"/>
      <c r="B6" s="4"/>
      <c r="C6" s="4"/>
      <c r="D6" s="5"/>
      <c r="E6" s="5">
        <v>0</v>
      </c>
    </row>
    <row r="7" spans="1:11" x14ac:dyDescent="0.35">
      <c r="A7" s="6" t="s">
        <v>9</v>
      </c>
      <c r="B7" s="7"/>
      <c r="C7" s="7">
        <f>SUM(C4:C6)</f>
        <v>266000000</v>
      </c>
      <c r="D7" s="8">
        <v>10</v>
      </c>
      <c r="E7" s="8">
        <v>0</v>
      </c>
    </row>
    <row r="8" spans="1:11" x14ac:dyDescent="0.35">
      <c r="G8" s="21" t="s">
        <v>10</v>
      </c>
      <c r="H8" s="19">
        <v>0.75</v>
      </c>
    </row>
    <row r="9" spans="1:11" x14ac:dyDescent="0.35">
      <c r="A9" s="25" t="s">
        <v>11</v>
      </c>
      <c r="B9" s="26"/>
      <c r="C9" s="27"/>
      <c r="H9" s="19">
        <v>0.5</v>
      </c>
    </row>
    <row r="10" spans="1:11" x14ac:dyDescent="0.35">
      <c r="A10" s="2" t="s">
        <v>12</v>
      </c>
      <c r="B10" s="4"/>
      <c r="C10" s="4">
        <v>203094144</v>
      </c>
      <c r="H10" s="19">
        <v>0.25</v>
      </c>
    </row>
    <row r="11" spans="1:11" x14ac:dyDescent="0.35">
      <c r="A11" s="2" t="s">
        <v>13</v>
      </c>
      <c r="B11" s="4"/>
      <c r="C11" s="4">
        <v>84686400</v>
      </c>
      <c r="G11" s="21" t="s">
        <v>14</v>
      </c>
      <c r="H11" s="19">
        <v>1</v>
      </c>
    </row>
    <row r="12" spans="1:11" x14ac:dyDescent="0.35">
      <c r="A12" s="2" t="s">
        <v>15</v>
      </c>
      <c r="B12" s="4"/>
      <c r="C12" s="4">
        <f>(C24*10%)*C25</f>
        <v>29160000</v>
      </c>
      <c r="H12" s="19">
        <v>0.75</v>
      </c>
    </row>
    <row r="13" spans="1:11" x14ac:dyDescent="0.35">
      <c r="A13" s="2" t="s">
        <v>16</v>
      </c>
      <c r="B13" s="4"/>
      <c r="C13" s="4">
        <v>1600000</v>
      </c>
      <c r="H13" s="19">
        <v>0.5</v>
      </c>
    </row>
    <row r="14" spans="1:11" x14ac:dyDescent="0.35">
      <c r="A14" s="6" t="s">
        <v>9</v>
      </c>
      <c r="B14" s="7"/>
      <c r="C14" s="7">
        <f>SUM(C10:C13)</f>
        <v>318540544</v>
      </c>
      <c r="H14" s="19">
        <v>0.25</v>
      </c>
    </row>
    <row r="16" spans="1:11" x14ac:dyDescent="0.35">
      <c r="A16" s="25" t="s">
        <v>17</v>
      </c>
      <c r="B16" s="26"/>
      <c r="C16" s="27"/>
    </row>
    <row r="17" spans="1:12" x14ac:dyDescent="0.35">
      <c r="A17" s="6" t="s">
        <v>17</v>
      </c>
      <c r="B17" s="7"/>
      <c r="C17" s="7">
        <v>200000000</v>
      </c>
    </row>
    <row r="19" spans="1:12" x14ac:dyDescent="0.35">
      <c r="A19" s="25" t="s">
        <v>9</v>
      </c>
      <c r="B19" s="26"/>
      <c r="C19" s="27"/>
    </row>
    <row r="20" spans="1:12" x14ac:dyDescent="0.35">
      <c r="A20" s="6" t="s">
        <v>9</v>
      </c>
      <c r="B20" s="7"/>
      <c r="C20" s="7">
        <f>C17+C14+C7</f>
        <v>784540544</v>
      </c>
    </row>
    <row r="22" spans="1:12" x14ac:dyDescent="0.35">
      <c r="A22" s="23" t="s">
        <v>18</v>
      </c>
      <c r="B22" s="23"/>
      <c r="C22" s="23"/>
      <c r="D22" s="23"/>
      <c r="E22" s="23"/>
    </row>
    <row r="23" spans="1:12" x14ac:dyDescent="0.35">
      <c r="A23" s="1"/>
      <c r="B23" s="1" t="s">
        <v>19</v>
      </c>
      <c r="C23" s="1" t="s">
        <v>20</v>
      </c>
      <c r="D23" s="1" t="s">
        <v>21</v>
      </c>
      <c r="E23" s="1" t="s">
        <v>22</v>
      </c>
      <c r="F23" s="1" t="s">
        <v>23</v>
      </c>
      <c r="G23" s="1" t="s">
        <v>24</v>
      </c>
      <c r="H23" s="1" t="s">
        <v>25</v>
      </c>
      <c r="I23" s="1" t="s">
        <v>26</v>
      </c>
      <c r="J23" s="1" t="s">
        <v>27</v>
      </c>
      <c r="K23" s="1" t="s">
        <v>28</v>
      </c>
      <c r="L23" s="1" t="s">
        <v>29</v>
      </c>
    </row>
    <row r="24" spans="1:12" x14ac:dyDescent="0.35">
      <c r="A24" s="2" t="s">
        <v>30</v>
      </c>
      <c r="B24" s="4"/>
      <c r="C24" s="4">
        <v>200</v>
      </c>
      <c r="D24" s="4">
        <v>200</v>
      </c>
      <c r="E24" s="4">
        <v>200</v>
      </c>
      <c r="F24" s="4">
        <v>200</v>
      </c>
      <c r="G24" s="4">
        <v>200</v>
      </c>
      <c r="H24" s="4">
        <v>200</v>
      </c>
      <c r="I24" s="4">
        <v>200</v>
      </c>
      <c r="J24" s="4">
        <v>200</v>
      </c>
      <c r="K24" s="4">
        <v>200</v>
      </c>
      <c r="L24" s="4">
        <v>200</v>
      </c>
    </row>
    <row r="25" spans="1:12" x14ac:dyDescent="0.35">
      <c r="A25" s="2" t="s">
        <v>31</v>
      </c>
      <c r="B25" s="10"/>
      <c r="C25" s="11">
        <f>$B$5*$J$4*360*$H$8*0.6</f>
        <v>1458000</v>
      </c>
      <c r="D25" s="11">
        <f>$B$5*$J$4*360*$H$8*0.7</f>
        <v>1701000</v>
      </c>
      <c r="E25" s="11">
        <f>$B$5*$J$4*360*$H$8*0.8</f>
        <v>1944000</v>
      </c>
      <c r="F25" s="11">
        <f>$B$5*$J$4*360*$H$8*0.9</f>
        <v>2187000</v>
      </c>
      <c r="G25" s="11">
        <f t="shared" ref="D25:L25" si="0">$B$5*$J$4*360*$H$8</f>
        <v>2430000</v>
      </c>
      <c r="H25" s="11">
        <f t="shared" si="0"/>
        <v>2430000</v>
      </c>
      <c r="I25" s="11">
        <f t="shared" si="0"/>
        <v>2430000</v>
      </c>
      <c r="J25" s="11">
        <f t="shared" si="0"/>
        <v>2430000</v>
      </c>
      <c r="K25" s="11">
        <f t="shared" si="0"/>
        <v>2430000</v>
      </c>
      <c r="L25" s="11">
        <f t="shared" si="0"/>
        <v>2430000</v>
      </c>
    </row>
    <row r="26" spans="1:12" x14ac:dyDescent="0.35">
      <c r="A26" s="2" t="s">
        <v>32</v>
      </c>
      <c r="B26" s="4"/>
      <c r="C26" s="4">
        <f>C24*C25</f>
        <v>291600000</v>
      </c>
      <c r="D26" s="4">
        <f t="shared" ref="D26:L26" si="1">D24*D25</f>
        <v>340200000</v>
      </c>
      <c r="E26" s="4">
        <f t="shared" si="1"/>
        <v>388800000</v>
      </c>
      <c r="F26" s="4">
        <f t="shared" si="1"/>
        <v>437400000</v>
      </c>
      <c r="G26" s="4">
        <f t="shared" si="1"/>
        <v>486000000</v>
      </c>
      <c r="H26" s="4">
        <f t="shared" si="1"/>
        <v>486000000</v>
      </c>
      <c r="I26" s="4">
        <f t="shared" si="1"/>
        <v>486000000</v>
      </c>
      <c r="J26" s="4">
        <f t="shared" si="1"/>
        <v>486000000</v>
      </c>
      <c r="K26" s="4">
        <f t="shared" si="1"/>
        <v>486000000</v>
      </c>
      <c r="L26" s="4">
        <f t="shared" si="1"/>
        <v>486000000</v>
      </c>
    </row>
    <row r="27" spans="1:12" x14ac:dyDescent="0.35">
      <c r="A27" s="2" t="s">
        <v>33</v>
      </c>
      <c r="B27" s="12"/>
      <c r="C27" s="19">
        <f>+(D25-C25)/C25</f>
        <v>0.16666666666666666</v>
      </c>
      <c r="D27" s="19">
        <f t="shared" ref="D27:F27" si="2">+(E25-D25)/D25</f>
        <v>0.14285714285714285</v>
      </c>
      <c r="E27" s="19">
        <f t="shared" si="2"/>
        <v>0.125</v>
      </c>
      <c r="F27" s="19">
        <f t="shared" si="2"/>
        <v>0.1111111111111111</v>
      </c>
    </row>
    <row r="30" spans="1:12" x14ac:dyDescent="0.35">
      <c r="A30" s="23" t="s">
        <v>34</v>
      </c>
      <c r="B30" s="23"/>
      <c r="C30" s="23"/>
      <c r="D30" s="23"/>
      <c r="E30" s="23"/>
    </row>
    <row r="31" spans="1:12" x14ac:dyDescent="0.35">
      <c r="A31" s="1"/>
      <c r="B31" s="1" t="s">
        <v>19</v>
      </c>
      <c r="C31" s="1" t="s">
        <v>20</v>
      </c>
      <c r="D31" s="1" t="s">
        <v>21</v>
      </c>
      <c r="E31" s="1" t="s">
        <v>22</v>
      </c>
      <c r="F31" s="1" t="s">
        <v>23</v>
      </c>
      <c r="G31" s="1" t="s">
        <v>24</v>
      </c>
      <c r="H31" s="1" t="s">
        <v>25</v>
      </c>
      <c r="I31" s="1" t="s">
        <v>26</v>
      </c>
      <c r="J31" s="1" t="s">
        <v>27</v>
      </c>
      <c r="K31" s="1" t="s">
        <v>28</v>
      </c>
      <c r="L31" s="1" t="s">
        <v>29</v>
      </c>
    </row>
    <row r="32" spans="1:12" x14ac:dyDescent="0.35">
      <c r="A32" s="2" t="s">
        <v>18</v>
      </c>
      <c r="B32" s="4"/>
      <c r="C32" s="4">
        <f t="shared" ref="C32:L32" si="3">C26</f>
        <v>291600000</v>
      </c>
      <c r="D32" s="4">
        <f t="shared" si="3"/>
        <v>340200000</v>
      </c>
      <c r="E32" s="4">
        <f t="shared" si="3"/>
        <v>388800000</v>
      </c>
      <c r="F32" s="4">
        <f t="shared" si="3"/>
        <v>437400000</v>
      </c>
      <c r="G32" s="4">
        <f t="shared" si="3"/>
        <v>486000000</v>
      </c>
      <c r="H32" s="4">
        <f t="shared" si="3"/>
        <v>486000000</v>
      </c>
      <c r="I32" s="4">
        <f t="shared" si="3"/>
        <v>486000000</v>
      </c>
      <c r="J32" s="4">
        <f t="shared" si="3"/>
        <v>486000000</v>
      </c>
      <c r="K32" s="4">
        <f t="shared" si="3"/>
        <v>486000000</v>
      </c>
      <c r="L32" s="4">
        <f t="shared" si="3"/>
        <v>486000000</v>
      </c>
    </row>
    <row r="33" spans="1:12" x14ac:dyDescent="0.35">
      <c r="A33" s="2" t="s">
        <v>35</v>
      </c>
      <c r="B33" s="4"/>
      <c r="C33" s="4">
        <f>$C$14</f>
        <v>318540544</v>
      </c>
      <c r="D33" s="4">
        <f t="shared" ref="D33:L33" si="4">$C$14</f>
        <v>318540544</v>
      </c>
      <c r="E33" s="4">
        <f t="shared" si="4"/>
        <v>318540544</v>
      </c>
      <c r="F33" s="4">
        <f t="shared" si="4"/>
        <v>318540544</v>
      </c>
      <c r="G33" s="4">
        <f t="shared" si="4"/>
        <v>318540544</v>
      </c>
      <c r="H33" s="4">
        <f t="shared" si="4"/>
        <v>318540544</v>
      </c>
      <c r="I33" s="4">
        <f t="shared" si="4"/>
        <v>318540544</v>
      </c>
      <c r="J33" s="4">
        <f t="shared" si="4"/>
        <v>318540544</v>
      </c>
      <c r="K33" s="4">
        <f t="shared" si="4"/>
        <v>318540544</v>
      </c>
      <c r="L33" s="4">
        <f t="shared" si="4"/>
        <v>318540544</v>
      </c>
    </row>
    <row r="34" spans="1:12" x14ac:dyDescent="0.35">
      <c r="A34" s="2" t="s">
        <v>36</v>
      </c>
      <c r="B34" s="4"/>
      <c r="C34" s="4">
        <f>10%*$C$4</f>
        <v>26000000</v>
      </c>
      <c r="D34" s="4">
        <f t="shared" ref="D34:L34" si="5">10%*$C$4</f>
        <v>26000000</v>
      </c>
      <c r="E34" s="4">
        <f t="shared" si="5"/>
        <v>26000000</v>
      </c>
      <c r="F34" s="4">
        <f t="shared" si="5"/>
        <v>26000000</v>
      </c>
      <c r="G34" s="4">
        <f t="shared" si="5"/>
        <v>26000000</v>
      </c>
      <c r="H34" s="4">
        <f t="shared" si="5"/>
        <v>26000000</v>
      </c>
      <c r="I34" s="4">
        <f t="shared" si="5"/>
        <v>26000000</v>
      </c>
      <c r="J34" s="4">
        <f t="shared" si="5"/>
        <v>26000000</v>
      </c>
      <c r="K34" s="4">
        <f t="shared" si="5"/>
        <v>26000000</v>
      </c>
      <c r="L34" s="4">
        <f t="shared" si="5"/>
        <v>26000000</v>
      </c>
    </row>
    <row r="35" spans="1:12" x14ac:dyDescent="0.35">
      <c r="A35" s="6" t="s">
        <v>37</v>
      </c>
      <c r="B35" s="7"/>
      <c r="C35" s="7">
        <f>C32-C33-C34</f>
        <v>-52940544</v>
      </c>
      <c r="D35" s="7">
        <f t="shared" ref="D35:L35" si="6">D32-D33-D34</f>
        <v>-4340544</v>
      </c>
      <c r="E35" s="7">
        <f t="shared" si="6"/>
        <v>44259456</v>
      </c>
      <c r="F35" s="7">
        <f t="shared" si="6"/>
        <v>92859456</v>
      </c>
      <c r="G35" s="7">
        <f t="shared" si="6"/>
        <v>141459456</v>
      </c>
      <c r="H35" s="7">
        <f t="shared" si="6"/>
        <v>141459456</v>
      </c>
      <c r="I35" s="7">
        <f t="shared" si="6"/>
        <v>141459456</v>
      </c>
      <c r="J35" s="7">
        <f t="shared" si="6"/>
        <v>141459456</v>
      </c>
      <c r="K35" s="7">
        <f t="shared" si="6"/>
        <v>141459456</v>
      </c>
      <c r="L35" s="7">
        <f t="shared" si="6"/>
        <v>141459456</v>
      </c>
    </row>
    <row r="36" spans="1:12" x14ac:dyDescent="0.35">
      <c r="A36" s="2" t="s">
        <v>38</v>
      </c>
      <c r="B36" s="4"/>
      <c r="C36" s="4">
        <f>33%*C35</f>
        <v>-17470379.52</v>
      </c>
      <c r="D36" s="4">
        <f t="shared" ref="D36:L36" si="7">33%*D35</f>
        <v>-1432379.52</v>
      </c>
      <c r="E36" s="4">
        <f t="shared" si="7"/>
        <v>14605620.48</v>
      </c>
      <c r="F36" s="4">
        <f t="shared" si="7"/>
        <v>30643620.48</v>
      </c>
      <c r="G36" s="4">
        <f t="shared" si="7"/>
        <v>46681620.480000004</v>
      </c>
      <c r="H36" s="4">
        <f t="shared" si="7"/>
        <v>46681620.480000004</v>
      </c>
      <c r="I36" s="4">
        <f t="shared" si="7"/>
        <v>46681620.480000004</v>
      </c>
      <c r="J36" s="4">
        <f t="shared" si="7"/>
        <v>46681620.480000004</v>
      </c>
      <c r="K36" s="4">
        <f t="shared" si="7"/>
        <v>46681620.480000004</v>
      </c>
      <c r="L36" s="4">
        <f t="shared" si="7"/>
        <v>46681620.480000004</v>
      </c>
    </row>
    <row r="37" spans="1:12" x14ac:dyDescent="0.35">
      <c r="A37" s="6" t="s">
        <v>39</v>
      </c>
      <c r="B37" s="7"/>
      <c r="C37" s="7">
        <f>C35-C36</f>
        <v>-35470164.480000004</v>
      </c>
      <c r="D37" s="7">
        <f t="shared" ref="D37:L37" si="8">D35-D36</f>
        <v>-2908164.48</v>
      </c>
      <c r="E37" s="7">
        <f t="shared" si="8"/>
        <v>29653835.52</v>
      </c>
      <c r="F37" s="7">
        <f t="shared" si="8"/>
        <v>62215835.519999996</v>
      </c>
      <c r="G37" s="7">
        <f t="shared" si="8"/>
        <v>94777835.519999996</v>
      </c>
      <c r="H37" s="7">
        <f t="shared" si="8"/>
        <v>94777835.519999996</v>
      </c>
      <c r="I37" s="7">
        <f t="shared" si="8"/>
        <v>94777835.519999996</v>
      </c>
      <c r="J37" s="7">
        <f t="shared" si="8"/>
        <v>94777835.519999996</v>
      </c>
      <c r="K37" s="7">
        <f t="shared" si="8"/>
        <v>94777835.519999996</v>
      </c>
      <c r="L37" s="7">
        <f t="shared" si="8"/>
        <v>94777835.519999996</v>
      </c>
    </row>
    <row r="38" spans="1:12" x14ac:dyDescent="0.35">
      <c r="A38" s="6" t="s">
        <v>40</v>
      </c>
      <c r="B38" s="7"/>
      <c r="C38" s="7">
        <f>C37+C34</f>
        <v>-9470164.4800000042</v>
      </c>
      <c r="D38" s="7">
        <f t="shared" ref="D38:L38" si="9">D37+D34</f>
        <v>23091835.52</v>
      </c>
      <c r="E38" s="7">
        <f t="shared" si="9"/>
        <v>55653835.519999996</v>
      </c>
      <c r="F38" s="7">
        <f t="shared" si="9"/>
        <v>88215835.519999996</v>
      </c>
      <c r="G38" s="7">
        <f t="shared" si="9"/>
        <v>120777835.52</v>
      </c>
      <c r="H38" s="7">
        <f t="shared" si="9"/>
        <v>120777835.52</v>
      </c>
      <c r="I38" s="7">
        <f t="shared" si="9"/>
        <v>120777835.52</v>
      </c>
      <c r="J38" s="7">
        <f t="shared" si="9"/>
        <v>120777835.52</v>
      </c>
      <c r="K38" s="7">
        <f t="shared" si="9"/>
        <v>120777835.52</v>
      </c>
      <c r="L38" s="7">
        <f t="shared" si="9"/>
        <v>120777835.52</v>
      </c>
    </row>
    <row r="39" spans="1:12" x14ac:dyDescent="0.35">
      <c r="A39" s="2" t="s">
        <v>41</v>
      </c>
      <c r="B39" s="4"/>
      <c r="C39" s="4"/>
      <c r="D39" s="4"/>
      <c r="E39" s="4"/>
      <c r="L39" s="9">
        <v>60000000</v>
      </c>
    </row>
    <row r="40" spans="1:12" x14ac:dyDescent="0.35">
      <c r="A40" s="2" t="s">
        <v>42</v>
      </c>
      <c r="B40" s="4"/>
      <c r="C40" s="4"/>
      <c r="D40" s="4"/>
      <c r="E40" s="4"/>
    </row>
    <row r="41" spans="1:12" x14ac:dyDescent="0.35">
      <c r="A41" s="6" t="s">
        <v>43</v>
      </c>
      <c r="B41" s="7"/>
      <c r="C41" s="7"/>
      <c r="D41" s="8"/>
      <c r="E41" s="13"/>
    </row>
    <row r="42" spans="1:12" x14ac:dyDescent="0.35">
      <c r="A42" s="2"/>
      <c r="B42" s="4"/>
      <c r="C42" s="4"/>
      <c r="D42" s="5"/>
      <c r="E42" s="14"/>
    </row>
    <row r="43" spans="1:12" x14ac:dyDescent="0.35">
      <c r="A43" s="6" t="s">
        <v>34</v>
      </c>
      <c r="B43" s="7">
        <f>-(C7+C17)</f>
        <v>-466000000</v>
      </c>
      <c r="C43" s="13">
        <f>C38+C41</f>
        <v>-9470164.4800000042</v>
      </c>
      <c r="D43" s="13">
        <f t="shared" ref="D43:K43" si="10">D38+D41</f>
        <v>23091835.52</v>
      </c>
      <c r="E43" s="13">
        <f t="shared" si="10"/>
        <v>55653835.519999996</v>
      </c>
      <c r="F43" s="13">
        <f t="shared" si="10"/>
        <v>88215835.519999996</v>
      </c>
      <c r="G43" s="13">
        <f t="shared" si="10"/>
        <v>120777835.52</v>
      </c>
      <c r="H43" s="13">
        <f t="shared" si="10"/>
        <v>120777835.52</v>
      </c>
      <c r="I43" s="13">
        <f t="shared" si="10"/>
        <v>120777835.52</v>
      </c>
      <c r="J43" s="13">
        <f t="shared" si="10"/>
        <v>120777835.52</v>
      </c>
      <c r="K43" s="13">
        <f t="shared" si="10"/>
        <v>120777835.52</v>
      </c>
      <c r="L43" s="13">
        <f>L38+L39</f>
        <v>180777835.51999998</v>
      </c>
    </row>
    <row r="46" spans="1:12" x14ac:dyDescent="0.35">
      <c r="A46" s="23" t="s">
        <v>44</v>
      </c>
      <c r="B46" s="23"/>
      <c r="C46" s="23"/>
      <c r="D46" s="23"/>
      <c r="E46" s="23"/>
    </row>
    <row r="47" spans="1:12" x14ac:dyDescent="0.35">
      <c r="A47" s="1"/>
      <c r="B47" s="1" t="s">
        <v>45</v>
      </c>
      <c r="C47" s="1" t="s">
        <v>46</v>
      </c>
      <c r="D47" s="1" t="s">
        <v>47</v>
      </c>
      <c r="E47" s="1" t="s">
        <v>48</v>
      </c>
    </row>
    <row r="48" spans="1:12" x14ac:dyDescent="0.35">
      <c r="A48" s="8" t="s">
        <v>49</v>
      </c>
      <c r="B48" s="15">
        <f>IRR(B43:L43)</f>
        <v>0.11026784247978516</v>
      </c>
      <c r="C48" s="16">
        <f>NPV(E48,B43:L43)</f>
        <v>54482666.225591712</v>
      </c>
      <c r="D48" s="5">
        <v>7</v>
      </c>
      <c r="E48" s="17">
        <v>0.09</v>
      </c>
      <c r="F48" s="18"/>
    </row>
    <row r="49" spans="2:3" x14ac:dyDescent="0.35">
      <c r="B49" s="19"/>
      <c r="C49" s="20"/>
    </row>
  </sheetData>
  <mergeCells count="8">
    <mergeCell ref="A30:E30"/>
    <mergeCell ref="A46:E46"/>
    <mergeCell ref="A1:E1"/>
    <mergeCell ref="A2:E2"/>
    <mergeCell ref="A9:C9"/>
    <mergeCell ref="A16:C16"/>
    <mergeCell ref="A19:C19"/>
    <mergeCell ref="A22:E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abSelected="1" topLeftCell="A25" zoomScale="85" zoomScaleNormal="85" workbookViewId="0">
      <selection activeCell="C48" sqref="B48:C48"/>
    </sheetView>
  </sheetViews>
  <sheetFormatPr baseColWidth="10" defaultRowHeight="14.5" x14ac:dyDescent="0.35"/>
  <cols>
    <col min="1" max="1" width="39.1796875" bestFit="1" customWidth="1"/>
    <col min="2" max="2" width="14" style="9" bestFit="1" customWidth="1"/>
    <col min="3" max="3" width="17.7265625" style="9" bestFit="1" customWidth="1"/>
    <col min="4" max="4" width="15.7265625" bestFit="1" customWidth="1"/>
    <col min="5" max="5" width="16.54296875" bestFit="1" customWidth="1"/>
    <col min="6" max="6" width="17.54296875" customWidth="1"/>
    <col min="7" max="7" width="17.81640625" bestFit="1" customWidth="1"/>
    <col min="8" max="12" width="14" bestFit="1" customWidth="1"/>
  </cols>
  <sheetData>
    <row r="1" spans="1:11" ht="18.5" x14ac:dyDescent="0.45">
      <c r="A1" s="24" t="s">
        <v>51</v>
      </c>
      <c r="B1" s="24"/>
      <c r="C1" s="24"/>
      <c r="D1" s="24"/>
      <c r="E1" s="24"/>
    </row>
    <row r="2" spans="1:11" x14ac:dyDescent="0.35">
      <c r="A2" s="23" t="s">
        <v>0</v>
      </c>
      <c r="B2" s="23"/>
      <c r="C2" s="23"/>
      <c r="D2" s="23"/>
      <c r="E2" s="23"/>
    </row>
    <row r="3" spans="1:11" x14ac:dyDescent="0.35">
      <c r="A3" s="1" t="s">
        <v>1</v>
      </c>
      <c r="B3" s="1"/>
      <c r="C3" s="1" t="s">
        <v>2</v>
      </c>
      <c r="D3" s="1" t="s">
        <v>3</v>
      </c>
      <c r="E3" s="1" t="s">
        <v>4</v>
      </c>
    </row>
    <row r="4" spans="1:11" x14ac:dyDescent="0.35">
      <c r="A4" s="2" t="s">
        <v>5</v>
      </c>
      <c r="B4" s="3">
        <v>2</v>
      </c>
      <c r="C4" s="4">
        <f>130000000*B4</f>
        <v>260000000</v>
      </c>
      <c r="D4" s="5">
        <v>10</v>
      </c>
      <c r="E4" s="22">
        <v>60000000</v>
      </c>
      <c r="I4" s="21" t="s">
        <v>6</v>
      </c>
      <c r="J4">
        <v>15</v>
      </c>
      <c r="K4" t="s">
        <v>7</v>
      </c>
    </row>
    <row r="5" spans="1:11" x14ac:dyDescent="0.35">
      <c r="A5" s="2" t="s">
        <v>8</v>
      </c>
      <c r="B5" s="3">
        <f>300*B4</f>
        <v>600</v>
      </c>
      <c r="C5" s="4">
        <f>10000*B5</f>
        <v>6000000</v>
      </c>
      <c r="D5" s="5">
        <v>10</v>
      </c>
      <c r="E5" s="5">
        <v>0</v>
      </c>
    </row>
    <row r="6" spans="1:11" x14ac:dyDescent="0.35">
      <c r="A6" s="2"/>
      <c r="B6" s="4"/>
      <c r="C6" s="4"/>
      <c r="D6" s="5"/>
      <c r="E6" s="5">
        <v>0</v>
      </c>
    </row>
    <row r="7" spans="1:11" x14ac:dyDescent="0.35">
      <c r="A7" s="6" t="s">
        <v>9</v>
      </c>
      <c r="B7" s="7"/>
      <c r="C7" s="7">
        <f>SUM(C4:C6)</f>
        <v>266000000</v>
      </c>
      <c r="D7" s="8">
        <v>10</v>
      </c>
      <c r="E7" s="8">
        <v>0</v>
      </c>
    </row>
    <row r="8" spans="1:11" x14ac:dyDescent="0.35">
      <c r="G8" s="21" t="s">
        <v>10</v>
      </c>
      <c r="H8" s="19">
        <v>0.75</v>
      </c>
    </row>
    <row r="9" spans="1:11" x14ac:dyDescent="0.35">
      <c r="A9" s="25" t="s">
        <v>11</v>
      </c>
      <c r="B9" s="26"/>
      <c r="C9" s="27"/>
      <c r="H9" s="19">
        <v>0.5</v>
      </c>
    </row>
    <row r="10" spans="1:11" x14ac:dyDescent="0.35">
      <c r="A10" s="2" t="s">
        <v>12</v>
      </c>
      <c r="B10" s="4"/>
      <c r="C10" s="4">
        <v>203094144</v>
      </c>
      <c r="H10" s="19">
        <v>0.25</v>
      </c>
    </row>
    <row r="11" spans="1:11" x14ac:dyDescent="0.35">
      <c r="A11" s="2" t="s">
        <v>13</v>
      </c>
      <c r="B11" s="4"/>
      <c r="C11" s="4">
        <v>84686400</v>
      </c>
      <c r="G11" s="21" t="s">
        <v>14</v>
      </c>
      <c r="H11" s="19">
        <v>1</v>
      </c>
    </row>
    <row r="12" spans="1:11" x14ac:dyDescent="0.35">
      <c r="A12" s="2" t="s">
        <v>15</v>
      </c>
      <c r="B12" s="4"/>
      <c r="C12" s="4">
        <f>(C24*10%)*C25</f>
        <v>19440000</v>
      </c>
      <c r="H12" s="19">
        <v>0.75</v>
      </c>
    </row>
    <row r="13" spans="1:11" x14ac:dyDescent="0.35">
      <c r="A13" s="2" t="s">
        <v>16</v>
      </c>
      <c r="B13" s="4"/>
      <c r="C13" s="4">
        <v>1600000</v>
      </c>
      <c r="H13" s="19">
        <v>0.5</v>
      </c>
    </row>
    <row r="14" spans="1:11" x14ac:dyDescent="0.35">
      <c r="A14" s="6" t="s">
        <v>9</v>
      </c>
      <c r="B14" s="7"/>
      <c r="C14" s="7">
        <f>SUM(C10:C13)</f>
        <v>308820544</v>
      </c>
      <c r="H14" s="19">
        <v>0.25</v>
      </c>
    </row>
    <row r="16" spans="1:11" x14ac:dyDescent="0.35">
      <c r="A16" s="25" t="s">
        <v>17</v>
      </c>
      <c r="B16" s="26"/>
      <c r="C16" s="27"/>
    </row>
    <row r="17" spans="1:12" x14ac:dyDescent="0.35">
      <c r="A17" s="6" t="s">
        <v>17</v>
      </c>
      <c r="B17" s="7"/>
      <c r="C17" s="7">
        <v>200000000</v>
      </c>
    </row>
    <row r="19" spans="1:12" x14ac:dyDescent="0.35">
      <c r="A19" s="25" t="s">
        <v>9</v>
      </c>
      <c r="B19" s="26"/>
      <c r="C19" s="27"/>
    </row>
    <row r="20" spans="1:12" x14ac:dyDescent="0.35">
      <c r="A20" s="6" t="s">
        <v>9</v>
      </c>
      <c r="B20" s="7"/>
      <c r="C20" s="7">
        <f>C17+C14+C7</f>
        <v>774820544</v>
      </c>
    </row>
    <row r="22" spans="1:12" x14ac:dyDescent="0.35">
      <c r="A22" s="23" t="s">
        <v>18</v>
      </c>
      <c r="B22" s="23"/>
      <c r="C22" s="23"/>
      <c r="D22" s="23"/>
      <c r="E22" s="23"/>
    </row>
    <row r="23" spans="1:12" x14ac:dyDescent="0.35">
      <c r="A23" s="1"/>
      <c r="B23" s="1" t="s">
        <v>19</v>
      </c>
      <c r="C23" s="1" t="s">
        <v>20</v>
      </c>
      <c r="D23" s="1" t="s">
        <v>21</v>
      </c>
      <c r="E23" s="1" t="s">
        <v>22</v>
      </c>
      <c r="F23" s="1" t="s">
        <v>23</v>
      </c>
      <c r="G23" s="1" t="s">
        <v>24</v>
      </c>
      <c r="H23" s="1" t="s">
        <v>25</v>
      </c>
      <c r="I23" s="1" t="s">
        <v>26</v>
      </c>
      <c r="J23" s="1" t="s">
        <v>27</v>
      </c>
      <c r="K23" s="1" t="s">
        <v>28</v>
      </c>
      <c r="L23" s="1" t="s">
        <v>29</v>
      </c>
    </row>
    <row r="24" spans="1:12" x14ac:dyDescent="0.35">
      <c r="A24" s="2" t="s">
        <v>30</v>
      </c>
      <c r="B24" s="4"/>
      <c r="C24" s="4">
        <v>200</v>
      </c>
      <c r="D24" s="4">
        <v>200</v>
      </c>
      <c r="E24" s="4">
        <v>200</v>
      </c>
      <c r="F24" s="4">
        <v>200</v>
      </c>
      <c r="G24" s="4">
        <v>200</v>
      </c>
      <c r="H24" s="4">
        <v>200</v>
      </c>
      <c r="I24" s="4">
        <v>200</v>
      </c>
      <c r="J24" s="4">
        <v>200</v>
      </c>
      <c r="K24" s="4">
        <v>200</v>
      </c>
      <c r="L24" s="4">
        <v>200</v>
      </c>
    </row>
    <row r="25" spans="1:12" x14ac:dyDescent="0.35">
      <c r="A25" s="2" t="s">
        <v>31</v>
      </c>
      <c r="B25" s="10"/>
      <c r="C25" s="11">
        <f>$B$5*$J$4*360*$H$9*0.6</f>
        <v>972000</v>
      </c>
      <c r="D25" s="11">
        <f>$B$5*$J$4*360*$H$9*0.7</f>
        <v>1134000</v>
      </c>
      <c r="E25" s="11">
        <f>$B$5*$J$4*360*$H$9*0.8</f>
        <v>1296000</v>
      </c>
      <c r="F25" s="11">
        <f>$B$5*$J$4*360*$H$9*0.9</f>
        <v>1458000</v>
      </c>
      <c r="G25" s="11">
        <f t="shared" ref="D25:L25" si="0">$B$5*$J$4*360*$H$9</f>
        <v>1620000</v>
      </c>
      <c r="H25" s="11">
        <f t="shared" si="0"/>
        <v>1620000</v>
      </c>
      <c r="I25" s="11">
        <f t="shared" si="0"/>
        <v>1620000</v>
      </c>
      <c r="J25" s="11">
        <f t="shared" si="0"/>
        <v>1620000</v>
      </c>
      <c r="K25" s="11">
        <f t="shared" si="0"/>
        <v>1620000</v>
      </c>
      <c r="L25" s="11">
        <f t="shared" si="0"/>
        <v>1620000</v>
      </c>
    </row>
    <row r="26" spans="1:12" x14ac:dyDescent="0.35">
      <c r="A26" s="2" t="s">
        <v>32</v>
      </c>
      <c r="B26" s="4"/>
      <c r="C26" s="4">
        <f>C24*C25</f>
        <v>194400000</v>
      </c>
      <c r="D26" s="4">
        <f t="shared" ref="D26:L26" si="1">D24*D25</f>
        <v>226800000</v>
      </c>
      <c r="E26" s="4">
        <f t="shared" si="1"/>
        <v>259200000</v>
      </c>
      <c r="F26" s="4">
        <f t="shared" si="1"/>
        <v>291600000</v>
      </c>
      <c r="G26" s="4">
        <f t="shared" si="1"/>
        <v>324000000</v>
      </c>
      <c r="H26" s="4">
        <f t="shared" si="1"/>
        <v>324000000</v>
      </c>
      <c r="I26" s="4">
        <f t="shared" si="1"/>
        <v>324000000</v>
      </c>
      <c r="J26" s="4">
        <f t="shared" si="1"/>
        <v>324000000</v>
      </c>
      <c r="K26" s="4">
        <f t="shared" si="1"/>
        <v>324000000</v>
      </c>
      <c r="L26" s="4">
        <f t="shared" si="1"/>
        <v>324000000</v>
      </c>
    </row>
    <row r="27" spans="1:12" x14ac:dyDescent="0.35">
      <c r="A27" s="2" t="s">
        <v>33</v>
      </c>
      <c r="B27" s="12"/>
      <c r="C27" s="12"/>
      <c r="D27" s="5"/>
      <c r="E27" s="5"/>
    </row>
    <row r="30" spans="1:12" x14ac:dyDescent="0.35">
      <c r="A30" s="23" t="s">
        <v>34</v>
      </c>
      <c r="B30" s="23"/>
      <c r="C30" s="23"/>
      <c r="D30" s="23"/>
      <c r="E30" s="23"/>
    </row>
    <row r="31" spans="1:12" x14ac:dyDescent="0.35">
      <c r="A31" s="1"/>
      <c r="B31" s="1" t="s">
        <v>19</v>
      </c>
      <c r="C31" s="1" t="s">
        <v>20</v>
      </c>
      <c r="D31" s="1" t="s">
        <v>21</v>
      </c>
      <c r="E31" s="1" t="s">
        <v>22</v>
      </c>
      <c r="F31" s="1" t="s">
        <v>23</v>
      </c>
      <c r="G31" s="1" t="s">
        <v>24</v>
      </c>
      <c r="H31" s="1" t="s">
        <v>25</v>
      </c>
      <c r="I31" s="1" t="s">
        <v>26</v>
      </c>
      <c r="J31" s="1" t="s">
        <v>27</v>
      </c>
      <c r="K31" s="1" t="s">
        <v>28</v>
      </c>
      <c r="L31" s="1" t="s">
        <v>29</v>
      </c>
    </row>
    <row r="32" spans="1:12" x14ac:dyDescent="0.35">
      <c r="A32" s="2" t="s">
        <v>18</v>
      </c>
      <c r="B32" s="4"/>
      <c r="C32" s="4">
        <f t="shared" ref="C32:L32" si="2">C26</f>
        <v>194400000</v>
      </c>
      <c r="D32" s="4">
        <f t="shared" si="2"/>
        <v>226800000</v>
      </c>
      <c r="E32" s="4">
        <f t="shared" si="2"/>
        <v>259200000</v>
      </c>
      <c r="F32" s="4">
        <f t="shared" si="2"/>
        <v>291600000</v>
      </c>
      <c r="G32" s="4">
        <f t="shared" si="2"/>
        <v>324000000</v>
      </c>
      <c r="H32" s="4">
        <f t="shared" si="2"/>
        <v>324000000</v>
      </c>
      <c r="I32" s="4">
        <f t="shared" si="2"/>
        <v>324000000</v>
      </c>
      <c r="J32" s="4">
        <f t="shared" si="2"/>
        <v>324000000</v>
      </c>
      <c r="K32" s="4">
        <f t="shared" si="2"/>
        <v>324000000</v>
      </c>
      <c r="L32" s="4">
        <f t="shared" si="2"/>
        <v>324000000</v>
      </c>
    </row>
    <row r="33" spans="1:12" x14ac:dyDescent="0.35">
      <c r="A33" s="2" t="s">
        <v>35</v>
      </c>
      <c r="B33" s="4"/>
      <c r="C33" s="4">
        <f>$C$14</f>
        <v>308820544</v>
      </c>
      <c r="D33" s="4">
        <f t="shared" ref="D33:L33" si="3">$C$14</f>
        <v>308820544</v>
      </c>
      <c r="E33" s="4">
        <f t="shared" si="3"/>
        <v>308820544</v>
      </c>
      <c r="F33" s="4">
        <f t="shared" si="3"/>
        <v>308820544</v>
      </c>
      <c r="G33" s="4">
        <f t="shared" si="3"/>
        <v>308820544</v>
      </c>
      <c r="H33" s="4">
        <f t="shared" si="3"/>
        <v>308820544</v>
      </c>
      <c r="I33" s="4">
        <f t="shared" si="3"/>
        <v>308820544</v>
      </c>
      <c r="J33" s="4">
        <f t="shared" si="3"/>
        <v>308820544</v>
      </c>
      <c r="K33" s="4">
        <f t="shared" si="3"/>
        <v>308820544</v>
      </c>
      <c r="L33" s="4">
        <f t="shared" si="3"/>
        <v>308820544</v>
      </c>
    </row>
    <row r="34" spans="1:12" x14ac:dyDescent="0.35">
      <c r="A34" s="2" t="s">
        <v>36</v>
      </c>
      <c r="B34" s="4"/>
      <c r="C34" s="4">
        <f>10%*$C$4</f>
        <v>26000000</v>
      </c>
      <c r="D34" s="4">
        <f t="shared" ref="D34:L34" si="4">10%*$C$4</f>
        <v>26000000</v>
      </c>
      <c r="E34" s="4">
        <f t="shared" si="4"/>
        <v>26000000</v>
      </c>
      <c r="F34" s="4">
        <f t="shared" si="4"/>
        <v>26000000</v>
      </c>
      <c r="G34" s="4">
        <f t="shared" si="4"/>
        <v>26000000</v>
      </c>
      <c r="H34" s="4">
        <f t="shared" si="4"/>
        <v>26000000</v>
      </c>
      <c r="I34" s="4">
        <f t="shared" si="4"/>
        <v>26000000</v>
      </c>
      <c r="J34" s="4">
        <f t="shared" si="4"/>
        <v>26000000</v>
      </c>
      <c r="K34" s="4">
        <f t="shared" si="4"/>
        <v>26000000</v>
      </c>
      <c r="L34" s="4">
        <f t="shared" si="4"/>
        <v>26000000</v>
      </c>
    </row>
    <row r="35" spans="1:12" x14ac:dyDescent="0.35">
      <c r="A35" s="6" t="s">
        <v>37</v>
      </c>
      <c r="B35" s="7"/>
      <c r="C35" s="7">
        <f>C32-C33-C34</f>
        <v>-140420544</v>
      </c>
      <c r="D35" s="7">
        <f t="shared" ref="D35:L35" si="5">D32-D33-D34</f>
        <v>-108020544</v>
      </c>
      <c r="E35" s="7">
        <f t="shared" si="5"/>
        <v>-75620544</v>
      </c>
      <c r="F35" s="7">
        <f t="shared" si="5"/>
        <v>-43220544</v>
      </c>
      <c r="G35" s="7">
        <f t="shared" si="5"/>
        <v>-10820544</v>
      </c>
      <c r="H35" s="7">
        <f t="shared" si="5"/>
        <v>-10820544</v>
      </c>
      <c r="I35" s="7">
        <f t="shared" si="5"/>
        <v>-10820544</v>
      </c>
      <c r="J35" s="7">
        <f t="shared" si="5"/>
        <v>-10820544</v>
      </c>
      <c r="K35" s="7">
        <f t="shared" si="5"/>
        <v>-10820544</v>
      </c>
      <c r="L35" s="7">
        <f t="shared" si="5"/>
        <v>-10820544</v>
      </c>
    </row>
    <row r="36" spans="1:12" x14ac:dyDescent="0.35">
      <c r="A36" s="2" t="s">
        <v>38</v>
      </c>
      <c r="B36" s="4"/>
      <c r="C36" s="4">
        <f>33%*C35</f>
        <v>-46338779.520000003</v>
      </c>
      <c r="D36" s="4">
        <f t="shared" ref="D36:L36" si="6">33%*D35</f>
        <v>-35646779.520000003</v>
      </c>
      <c r="E36" s="4">
        <f t="shared" si="6"/>
        <v>-24954779.52</v>
      </c>
      <c r="F36" s="4">
        <f t="shared" si="6"/>
        <v>-14262779.520000001</v>
      </c>
      <c r="G36" s="4">
        <f t="shared" si="6"/>
        <v>-3570779.52</v>
      </c>
      <c r="H36" s="4">
        <f t="shared" si="6"/>
        <v>-3570779.52</v>
      </c>
      <c r="I36" s="4">
        <f t="shared" si="6"/>
        <v>-3570779.52</v>
      </c>
      <c r="J36" s="4">
        <f t="shared" si="6"/>
        <v>-3570779.52</v>
      </c>
      <c r="K36" s="4">
        <f t="shared" si="6"/>
        <v>-3570779.52</v>
      </c>
      <c r="L36" s="4">
        <f t="shared" si="6"/>
        <v>-3570779.52</v>
      </c>
    </row>
    <row r="37" spans="1:12" x14ac:dyDescent="0.35">
      <c r="A37" s="6" t="s">
        <v>39</v>
      </c>
      <c r="B37" s="7"/>
      <c r="C37" s="7">
        <f>C35-C36</f>
        <v>-94081764.479999989</v>
      </c>
      <c r="D37" s="7">
        <f t="shared" ref="D37:L37" si="7">D35-D36</f>
        <v>-72373764.479999989</v>
      </c>
      <c r="E37" s="7">
        <f t="shared" si="7"/>
        <v>-50665764.480000004</v>
      </c>
      <c r="F37" s="7">
        <f t="shared" si="7"/>
        <v>-28957764.479999997</v>
      </c>
      <c r="G37" s="7">
        <f t="shared" si="7"/>
        <v>-7249764.4800000004</v>
      </c>
      <c r="H37" s="7">
        <f t="shared" si="7"/>
        <v>-7249764.4800000004</v>
      </c>
      <c r="I37" s="7">
        <f t="shared" si="7"/>
        <v>-7249764.4800000004</v>
      </c>
      <c r="J37" s="7">
        <f t="shared" si="7"/>
        <v>-7249764.4800000004</v>
      </c>
      <c r="K37" s="7">
        <f t="shared" si="7"/>
        <v>-7249764.4800000004</v>
      </c>
      <c r="L37" s="7">
        <f t="shared" si="7"/>
        <v>-7249764.4800000004</v>
      </c>
    </row>
    <row r="38" spans="1:12" x14ac:dyDescent="0.35">
      <c r="A38" s="6" t="s">
        <v>40</v>
      </c>
      <c r="B38" s="7"/>
      <c r="C38" s="7">
        <f>C37+C34</f>
        <v>-68081764.479999989</v>
      </c>
      <c r="D38" s="7">
        <f t="shared" ref="D38:L38" si="8">D37+D34</f>
        <v>-46373764.479999989</v>
      </c>
      <c r="E38" s="7">
        <f t="shared" si="8"/>
        <v>-24665764.480000004</v>
      </c>
      <c r="F38" s="7">
        <f t="shared" si="8"/>
        <v>-2957764.4799999967</v>
      </c>
      <c r="G38" s="7">
        <f t="shared" si="8"/>
        <v>18750235.52</v>
      </c>
      <c r="H38" s="7">
        <f t="shared" si="8"/>
        <v>18750235.52</v>
      </c>
      <c r="I38" s="7">
        <f t="shared" si="8"/>
        <v>18750235.52</v>
      </c>
      <c r="J38" s="7">
        <f t="shared" si="8"/>
        <v>18750235.52</v>
      </c>
      <c r="K38" s="7">
        <f t="shared" si="8"/>
        <v>18750235.52</v>
      </c>
      <c r="L38" s="7">
        <f t="shared" si="8"/>
        <v>18750235.52</v>
      </c>
    </row>
    <row r="39" spans="1:12" x14ac:dyDescent="0.35">
      <c r="A39" s="2" t="s">
        <v>41</v>
      </c>
      <c r="B39" s="4"/>
      <c r="C39" s="4"/>
      <c r="D39" s="4"/>
      <c r="E39" s="4"/>
      <c r="L39" s="9">
        <v>60000000</v>
      </c>
    </row>
    <row r="40" spans="1:12" x14ac:dyDescent="0.35">
      <c r="A40" s="2" t="s">
        <v>42</v>
      </c>
      <c r="B40" s="4"/>
      <c r="C40" s="4"/>
      <c r="D40" s="4"/>
      <c r="E40" s="4"/>
    </row>
    <row r="41" spans="1:12" x14ac:dyDescent="0.35">
      <c r="A41" s="6" t="s">
        <v>43</v>
      </c>
      <c r="B41" s="7"/>
      <c r="C41" s="7"/>
      <c r="D41" s="8"/>
      <c r="E41" s="13"/>
    </row>
    <row r="42" spans="1:12" x14ac:dyDescent="0.35">
      <c r="A42" s="2"/>
      <c r="B42" s="4"/>
      <c r="C42" s="4"/>
      <c r="D42" s="5"/>
      <c r="E42" s="14"/>
    </row>
    <row r="43" spans="1:12" x14ac:dyDescent="0.35">
      <c r="A43" s="6" t="s">
        <v>34</v>
      </c>
      <c r="B43" s="7">
        <f>-(C7+C17)</f>
        <v>-466000000</v>
      </c>
      <c r="C43" s="13">
        <f>C38+C41</f>
        <v>-68081764.479999989</v>
      </c>
      <c r="D43" s="13">
        <f t="shared" ref="D43:K43" si="9">D38+D41</f>
        <v>-46373764.479999989</v>
      </c>
      <c r="E43" s="13">
        <f t="shared" si="9"/>
        <v>-24665764.480000004</v>
      </c>
      <c r="F43" s="13">
        <f>F38+F41</f>
        <v>-2957764.4799999967</v>
      </c>
      <c r="G43" s="13">
        <f t="shared" si="9"/>
        <v>18750235.52</v>
      </c>
      <c r="H43" s="13">
        <f t="shared" si="9"/>
        <v>18750235.52</v>
      </c>
      <c r="I43" s="13">
        <f t="shared" si="9"/>
        <v>18750235.52</v>
      </c>
      <c r="J43" s="13">
        <f t="shared" si="9"/>
        <v>18750235.52</v>
      </c>
      <c r="K43" s="13">
        <f t="shared" si="9"/>
        <v>18750235.52</v>
      </c>
      <c r="L43" s="13">
        <f>L38+L39</f>
        <v>78750235.519999996</v>
      </c>
    </row>
    <row r="46" spans="1:12" x14ac:dyDescent="0.35">
      <c r="A46" s="23" t="s">
        <v>44</v>
      </c>
      <c r="B46" s="23"/>
      <c r="C46" s="23"/>
      <c r="D46" s="23"/>
      <c r="E46" s="23"/>
    </row>
    <row r="47" spans="1:12" x14ac:dyDescent="0.35">
      <c r="A47" s="1"/>
      <c r="B47" s="1" t="s">
        <v>45</v>
      </c>
      <c r="C47" s="1" t="s">
        <v>46</v>
      </c>
      <c r="D47" s="1" t="s">
        <v>47</v>
      </c>
      <c r="E47" s="1" t="s">
        <v>48</v>
      </c>
    </row>
    <row r="48" spans="1:12" x14ac:dyDescent="0.35">
      <c r="A48" s="8" t="s">
        <v>49</v>
      </c>
      <c r="B48" s="15">
        <f>IRR(B43:L43)</f>
        <v>-0.14331651800848588</v>
      </c>
      <c r="C48" s="16">
        <f>NPV(E48,B43:L43)</f>
        <v>-462112223.72248828</v>
      </c>
      <c r="D48" s="5" t="s">
        <v>50</v>
      </c>
      <c r="E48" s="17">
        <v>0.09</v>
      </c>
      <c r="F48" s="18"/>
    </row>
    <row r="49" spans="2:3" x14ac:dyDescent="0.35">
      <c r="B49" s="19"/>
      <c r="C49" s="20"/>
    </row>
  </sheetData>
  <mergeCells count="8">
    <mergeCell ref="A30:E30"/>
    <mergeCell ref="A46:E46"/>
    <mergeCell ref="A1:E1"/>
    <mergeCell ref="A2:E2"/>
    <mergeCell ref="A9:C9"/>
    <mergeCell ref="A16:C16"/>
    <mergeCell ref="A19:C19"/>
    <mergeCell ref="A22:E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Caso a</vt:lpstr>
      <vt:lpstr>Caso b</vt:lpstr>
      <vt:lpstr>Caso 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Cardona</dc:creator>
  <cp:lastModifiedBy>laura ximena niño</cp:lastModifiedBy>
  <dcterms:created xsi:type="dcterms:W3CDTF">2019-06-06T19:59:25Z</dcterms:created>
  <dcterms:modified xsi:type="dcterms:W3CDTF">2019-08-26T00:52:42Z</dcterms:modified>
</cp:coreProperties>
</file>