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embeddings/oleObject2.bin" ContentType="application/vnd.openxmlformats-officedocument.oleObject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"/>
    </mc:Choice>
  </mc:AlternateContent>
  <bookViews>
    <workbookView xWindow="240" yWindow="75" windowWidth="18855" windowHeight="11760"/>
  </bookViews>
  <sheets>
    <sheet name="Cll 26 Cr 30" sheetId="1" r:id="rId1"/>
    <sheet name="Cll 13 Cr 68" sheetId="2" r:id="rId2"/>
    <sheet name="Hoja3" sheetId="3" state="hidden" r:id="rId3"/>
    <sheet name="Hoja1" sheetId="4" state="hidden" r:id="rId4"/>
  </sheets>
  <calcPr calcId="152511"/>
</workbook>
</file>

<file path=xl/calcChain.xml><?xml version="1.0" encoding="utf-8"?>
<calcChain xmlns="http://schemas.openxmlformats.org/spreadsheetml/2006/main">
  <c r="E121" i="2" l="1"/>
  <c r="L121" i="2"/>
  <c r="L119" i="1"/>
  <c r="E120" i="1"/>
  <c r="E117" i="2"/>
  <c r="F24" i="3" s="1"/>
  <c r="F29" i="3" s="1"/>
  <c r="C102" i="2"/>
  <c r="B103" i="2" s="1"/>
  <c r="C103" i="2" s="1"/>
  <c r="B104" i="2" s="1"/>
  <c r="C104" i="2" s="1"/>
  <c r="B105" i="2" s="1"/>
  <c r="C105" i="2" s="1"/>
  <c r="B106" i="2" s="1"/>
  <c r="C106" i="2" s="1"/>
  <c r="B107" i="2" s="1"/>
  <c r="C107" i="2" s="1"/>
  <c r="B108" i="2" s="1"/>
  <c r="C108" i="2" s="1"/>
  <c r="B109" i="2" s="1"/>
  <c r="C109" i="2" s="1"/>
  <c r="B110" i="2" s="1"/>
  <c r="C110" i="2" s="1"/>
  <c r="E119" i="1"/>
  <c r="R42" i="4" l="1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R6" i="4"/>
  <c r="R5" i="4"/>
  <c r="R4" i="4"/>
  <c r="R3" i="4"/>
  <c r="N42" i="4"/>
  <c r="N41" i="4"/>
  <c r="N40" i="4"/>
  <c r="N39" i="4"/>
  <c r="N38" i="4"/>
  <c r="N37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N4" i="4"/>
  <c r="N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I4" i="4"/>
  <c r="I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L120" i="2" l="1"/>
  <c r="L119" i="2"/>
  <c r="L118" i="2"/>
  <c r="L117" i="2"/>
  <c r="L115" i="2"/>
  <c r="L123" i="2" s="1"/>
  <c r="L114" i="2"/>
  <c r="L113" i="2"/>
  <c r="E120" i="2"/>
  <c r="E119" i="2"/>
  <c r="E118" i="2"/>
  <c r="E115" i="2"/>
  <c r="E122" i="2" s="1"/>
  <c r="E114" i="2"/>
  <c r="E113" i="2"/>
  <c r="L118" i="1"/>
  <c r="L117" i="1"/>
  <c r="L116" i="1"/>
  <c r="L115" i="1"/>
  <c r="L113" i="1"/>
  <c r="L120" i="1" s="1"/>
  <c r="L112" i="1"/>
  <c r="L111" i="1"/>
  <c r="E114" i="1"/>
  <c r="E118" i="1"/>
  <c r="E117" i="1"/>
  <c r="E116" i="1"/>
  <c r="E24" i="3" s="1"/>
  <c r="E29" i="3" s="1"/>
  <c r="E113" i="1"/>
  <c r="E112" i="1"/>
  <c r="L122" i="2" l="1"/>
  <c r="M122" i="2" s="1"/>
  <c r="L121" i="1"/>
  <c r="M121" i="1"/>
  <c r="E121" i="1"/>
  <c r="E122" i="1"/>
  <c r="E123" i="2"/>
  <c r="F122" i="2" s="1"/>
  <c r="F121" i="1" l="1"/>
  <c r="D101" i="1"/>
  <c r="I103" i="2"/>
  <c r="I104" i="2" s="1"/>
  <c r="B103" i="1"/>
  <c r="C102" i="1"/>
  <c r="I102" i="1"/>
  <c r="J101" i="1"/>
  <c r="K101" i="1" s="1"/>
  <c r="J102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18" i="2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18" i="1"/>
  <c r="N20" i="1" l="1"/>
  <c r="E110" i="2"/>
  <c r="E109" i="2"/>
  <c r="E108" i="2"/>
  <c r="E107" i="2"/>
  <c r="E106" i="2"/>
  <c r="E105" i="2"/>
  <c r="E104" i="2"/>
  <c r="E103" i="2"/>
  <c r="E102" i="2"/>
  <c r="L110" i="2"/>
  <c r="L109" i="2"/>
  <c r="L108" i="2"/>
  <c r="L107" i="2"/>
  <c r="L106" i="2"/>
  <c r="L105" i="2"/>
  <c r="L104" i="2"/>
  <c r="L103" i="2"/>
  <c r="L102" i="2"/>
  <c r="L111" i="2" s="1"/>
  <c r="N18" i="2"/>
  <c r="N20" i="2"/>
  <c r="G20" i="1"/>
  <c r="G18" i="1"/>
  <c r="L106" i="1"/>
  <c r="L107" i="1"/>
  <c r="L108" i="1"/>
  <c r="L104" i="1"/>
  <c r="L102" i="1"/>
  <c r="L103" i="1"/>
  <c r="L101" i="1"/>
  <c r="L105" i="1"/>
  <c r="N18" i="1"/>
  <c r="N22" i="1" s="1"/>
  <c r="L114" i="1" s="1"/>
  <c r="N24" i="1"/>
  <c r="E106" i="1"/>
  <c r="E102" i="1"/>
  <c r="E104" i="1"/>
  <c r="E105" i="1"/>
  <c r="E107" i="1"/>
  <c r="E103" i="1"/>
  <c r="E108" i="1"/>
  <c r="E109" i="1"/>
  <c r="E101" i="1"/>
  <c r="G18" i="2"/>
  <c r="G20" i="2"/>
  <c r="I105" i="2"/>
  <c r="K102" i="2"/>
  <c r="J103" i="2"/>
  <c r="K103" i="2" s="1"/>
  <c r="D102" i="1"/>
  <c r="C103" i="1"/>
  <c r="B104" i="1"/>
  <c r="I103" i="1"/>
  <c r="J102" i="1"/>
  <c r="K102" i="1" s="1"/>
  <c r="N22" i="2" l="1"/>
  <c r="L109" i="1"/>
  <c r="G22" i="1"/>
  <c r="G24" i="1" s="1"/>
  <c r="G22" i="2"/>
  <c r="G24" i="2" s="1"/>
  <c r="E110" i="1"/>
  <c r="F107" i="1" s="1"/>
  <c r="E111" i="2"/>
  <c r="I106" i="2"/>
  <c r="J104" i="2"/>
  <c r="C104" i="1"/>
  <c r="D103" i="1"/>
  <c r="B105" i="1"/>
  <c r="I104" i="1"/>
  <c r="J103" i="1"/>
  <c r="K103" i="1" s="1"/>
  <c r="L116" i="2" l="1"/>
  <c r="N24" i="2"/>
  <c r="F109" i="1"/>
  <c r="F105" i="1"/>
  <c r="F102" i="1"/>
  <c r="F103" i="1"/>
  <c r="E115" i="1"/>
  <c r="E116" i="2"/>
  <c r="D102" i="2"/>
  <c r="I107" i="2"/>
  <c r="J105" i="2"/>
  <c r="K104" i="2"/>
  <c r="C105" i="1"/>
  <c r="D104" i="1"/>
  <c r="B106" i="1"/>
  <c r="I105" i="1"/>
  <c r="J104" i="1"/>
  <c r="K104" i="1" s="1"/>
  <c r="D103" i="2" l="1"/>
  <c r="I108" i="2"/>
  <c r="J106" i="2"/>
  <c r="K105" i="2"/>
  <c r="C106" i="1"/>
  <c r="D105" i="1"/>
  <c r="B107" i="1"/>
  <c r="I106" i="1"/>
  <c r="J105" i="1"/>
  <c r="K105" i="1" s="1"/>
  <c r="D104" i="2" l="1"/>
  <c r="I109" i="2"/>
  <c r="J107" i="2"/>
  <c r="K106" i="2"/>
  <c r="C107" i="1"/>
  <c r="D106" i="1"/>
  <c r="B108" i="1"/>
  <c r="I107" i="1"/>
  <c r="J106" i="1"/>
  <c r="K106" i="1" s="1"/>
  <c r="D105" i="2" l="1"/>
  <c r="J108" i="2"/>
  <c r="K107" i="2"/>
  <c r="I110" i="2"/>
  <c r="C108" i="1"/>
  <c r="D107" i="1"/>
  <c r="B109" i="1"/>
  <c r="D108" i="1"/>
  <c r="I108" i="1"/>
  <c r="J107" i="1"/>
  <c r="K107" i="1" s="1"/>
  <c r="D106" i="2" l="1"/>
  <c r="J109" i="2"/>
  <c r="K108" i="2"/>
  <c r="C109" i="1"/>
  <c r="J108" i="1"/>
  <c r="D107" i="2" l="1"/>
  <c r="F109" i="2"/>
  <c r="D110" i="2"/>
  <c r="J110" i="2"/>
  <c r="K109" i="2"/>
  <c r="D109" i="1"/>
  <c r="K108" i="1"/>
  <c r="D109" i="2" l="1"/>
  <c r="D108" i="2"/>
  <c r="M109" i="2"/>
  <c r="F110" i="2"/>
  <c r="M109" i="1"/>
  <c r="M107" i="1"/>
  <c r="M103" i="1"/>
  <c r="F108" i="1"/>
  <c r="F104" i="1"/>
  <c r="M108" i="1"/>
  <c r="M104" i="1"/>
  <c r="M101" i="1"/>
  <c r="N101" i="1" s="1"/>
  <c r="M105" i="1"/>
  <c r="F101" i="1"/>
  <c r="F106" i="1"/>
  <c r="M106" i="1"/>
  <c r="M102" i="1"/>
  <c r="F102" i="2"/>
  <c r="F103" i="2"/>
  <c r="F105" i="2"/>
  <c r="F107" i="2"/>
  <c r="M102" i="2"/>
  <c r="N102" i="2" s="1"/>
  <c r="M103" i="2"/>
  <c r="M104" i="2"/>
  <c r="F104" i="2"/>
  <c r="M105" i="2"/>
  <c r="F106" i="2"/>
  <c r="M106" i="2"/>
  <c r="M107" i="2"/>
  <c r="M108" i="2"/>
  <c r="F108" i="2"/>
  <c r="M110" i="2"/>
  <c r="K110" i="2"/>
  <c r="F110" i="1" l="1"/>
  <c r="G101" i="1"/>
  <c r="G102" i="1" s="1"/>
  <c r="G103" i="1" s="1"/>
  <c r="G104" i="1" s="1"/>
  <c r="G105" i="1" s="1"/>
  <c r="G106" i="1" s="1"/>
  <c r="G107" i="1" s="1"/>
  <c r="G108" i="1" s="1"/>
  <c r="G109" i="1" s="1"/>
  <c r="N102" i="1"/>
  <c r="N103" i="1" s="1"/>
  <c r="N104" i="1" s="1"/>
  <c r="N105" i="1" s="1"/>
  <c r="N106" i="1" s="1"/>
  <c r="N107" i="1" s="1"/>
  <c r="N108" i="1" s="1"/>
  <c r="N103" i="2"/>
  <c r="N104" i="2" s="1"/>
  <c r="N105" i="2" s="1"/>
  <c r="N106" i="2" s="1"/>
  <c r="N107" i="2" s="1"/>
  <c r="N108" i="2" s="1"/>
  <c r="N109" i="2" s="1"/>
  <c r="N110" i="2" s="1"/>
  <c r="G102" i="2"/>
  <c r="G103" i="2" s="1"/>
  <c r="G104" i="2" s="1"/>
  <c r="G105" i="2" s="1"/>
  <c r="G106" i="2" s="1"/>
  <c r="G107" i="2" s="1"/>
  <c r="G108" i="2" s="1"/>
  <c r="G109" i="2" s="1"/>
  <c r="G110" i="2" s="1"/>
  <c r="F111" i="2"/>
  <c r="M111" i="2"/>
</calcChain>
</file>

<file path=xl/sharedStrings.xml><?xml version="1.0" encoding="utf-8"?>
<sst xmlns="http://schemas.openxmlformats.org/spreadsheetml/2006/main" count="719" uniqueCount="80">
  <si>
    <t>Numero</t>
  </si>
  <si>
    <t>Lectura (s)</t>
  </si>
  <si>
    <t>Tipo de Vehiculo</t>
  </si>
  <si>
    <t>Liviano</t>
  </si>
  <si>
    <t>Bus</t>
  </si>
  <si>
    <t>Camion</t>
  </si>
  <si>
    <t>Livianos</t>
  </si>
  <si>
    <t>Fecha</t>
  </si>
  <si>
    <t>Hora Inicio</t>
  </si>
  <si>
    <t>Hora final</t>
  </si>
  <si>
    <t>Condicion Climatica</t>
  </si>
  <si>
    <t>Nublado</t>
  </si>
  <si>
    <t>Aforador</t>
  </si>
  <si>
    <t>Alejandro Correa</t>
  </si>
  <si>
    <t>Localizacion</t>
  </si>
  <si>
    <t>Calle 26 con carrera 30</t>
  </si>
  <si>
    <t>Estado Pavimento</t>
  </si>
  <si>
    <t>Bueno</t>
  </si>
  <si>
    <t>Longitud Base</t>
  </si>
  <si>
    <t>metros</t>
  </si>
  <si>
    <t>Supervisor</t>
  </si>
  <si>
    <t>Jhon Parra</t>
  </si>
  <si>
    <t>Sentido</t>
  </si>
  <si>
    <t>Occidente - Oriente</t>
  </si>
  <si>
    <t>Procedimiento</t>
  </si>
  <si>
    <t>Longitud fija y cronometro</t>
  </si>
  <si>
    <t>Oriente - Occidente</t>
  </si>
  <si>
    <t>Toma de Velocidades Sobre La 26 Extremo Occidente Sentido Occidente - Oriente</t>
  </si>
  <si>
    <t>Toma de Velocidades Sobre La 26 Extremo Occidente Sentido Oriente - Occidente</t>
  </si>
  <si>
    <t>Toma de Velocidades Sobre La Av Calle 13 Extremo Occidente Sentido Occidente - Oriente</t>
  </si>
  <si>
    <t>Soleado</t>
  </si>
  <si>
    <t>Calle 13 con carrera 68</t>
  </si>
  <si>
    <t>Velocidad(Km/h)</t>
  </si>
  <si>
    <t>RANGO</t>
  </si>
  <si>
    <t>DE</t>
  </si>
  <si>
    <t>A</t>
  </si>
  <si>
    <t xml:space="preserve"> 
PUNTO MEDIO</t>
  </si>
  <si>
    <t>NUMERO</t>
  </si>
  <si>
    <t>% ACUMULADO</t>
  </si>
  <si>
    <t>OBSERVACIONES POR CLASE</t>
  </si>
  <si>
    <t>MODA</t>
  </si>
  <si>
    <t>MEDIANA</t>
  </si>
  <si>
    <t>PERCENTIL 15</t>
  </si>
  <si>
    <t>PERCENTIL 50</t>
  </si>
  <si>
    <t>PERCENTIL 85</t>
  </si>
  <si>
    <t>DESVIACION EST</t>
  </si>
  <si>
    <t>MEDIA</t>
  </si>
  <si>
    <t>AMPLITUD</t>
  </si>
  <si>
    <t>LIMITE MAX</t>
  </si>
  <si>
    <t>LIMITE MIN</t>
  </si>
  <si>
    <t xml:space="preserve">TIPO DE TRÁNSITO </t>
  </si>
  <si>
    <t xml:space="preserve">TIPO DE VÍA </t>
  </si>
  <si>
    <t>DESVIACIÓN ESTÁNDAR</t>
  </si>
  <si>
    <t xml:space="preserve">RURAL </t>
  </si>
  <si>
    <t xml:space="preserve">DOS CARRILES </t>
  </si>
  <si>
    <t xml:space="preserve">    CUATRO CARRILES </t>
  </si>
  <si>
    <t xml:space="preserve">INTERMEDIO </t>
  </si>
  <si>
    <t xml:space="preserve">URBANO </t>
  </si>
  <si>
    <t xml:space="preserve">VALOR REDONDEADO </t>
  </si>
  <si>
    <t>VALOR DE LA CONSTANTE Z</t>
  </si>
  <si>
    <t xml:space="preserve">NIVEL DE CONFIANZA (%) </t>
  </si>
  <si>
    <t>Numero de muestras mínimo</t>
  </si>
  <si>
    <t>Constante z:</t>
  </si>
  <si>
    <t>Desviación estándar:</t>
  </si>
  <si>
    <t>Error máximo tolerable:</t>
  </si>
  <si>
    <t>Numero de muestras:</t>
  </si>
  <si>
    <t>Velocidad
(Km/h)</t>
  </si>
  <si>
    <t>Tipo 
de Vehiculo</t>
  </si>
  <si>
    <t>% RELATIVO</t>
  </si>
  <si>
    <t>PERCENTIL 98</t>
  </si>
  <si>
    <t>Promedio</t>
  </si>
  <si>
    <t>Datos Ordenados</t>
  </si>
  <si>
    <t>Valor Maximo</t>
  </si>
  <si>
    <t>Valor Minimo</t>
  </si>
  <si>
    <t>Amplitud</t>
  </si>
  <si>
    <t>Intervalo de rangos</t>
  </si>
  <si>
    <r>
      <rPr>
        <sz val="11"/>
        <color theme="1"/>
        <rFont val="Calibri"/>
        <family val="2"/>
      </rPr>
      <t>∑</t>
    </r>
    <r>
      <rPr>
        <sz val="9.35"/>
        <color theme="1"/>
        <rFont val="Calibri"/>
        <family val="2"/>
      </rPr>
      <t>=</t>
    </r>
  </si>
  <si>
    <t>Datos ordenados</t>
  </si>
  <si>
    <t>Intervalos de rango</t>
  </si>
  <si>
    <t>∑=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</si>
</sst>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0000"/>
    <numFmt numFmtId="166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1"/>
      <color theme="1"/>
      <name val="Calibri"/>
      <family val="2"/>
    </font>
    <font>
      <sz val="9.35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20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left" vertical="center"/>
    </xf>
    <xf numFmtId="20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2" fontId="0" fillId="0" borderId="0" xfId="0" applyNumberFormat="1"/>
    <xf numFmtId="1" fontId="0" fillId="0" borderId="0" xfId="0" applyNumberFormat="1"/>
    <xf numFmtId="164" fontId="0" fillId="0" borderId="3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0" xfId="0" applyAlignment="1">
      <alignment horizontal="center" wrapText="1"/>
    </xf>
    <xf numFmtId="165" fontId="0" fillId="0" borderId="0" xfId="0" applyNumberFormat="1" applyAlignment="1">
      <alignment horizontal="center" wrapText="1"/>
    </xf>
    <xf numFmtId="1" fontId="0" fillId="0" borderId="0" xfId="0" applyNumberFormat="1" applyAlignment="1">
      <alignment horizontal="center" wrapText="1"/>
    </xf>
    <xf numFmtId="0" fontId="2" fillId="0" borderId="0" xfId="0" applyFont="1"/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right"/>
    </xf>
    <xf numFmtId="0" fontId="4" fillId="0" borderId="1" xfId="0" applyFont="1" applyBorder="1" applyAlignment="1"/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21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24" xfId="0" applyNumberFormat="1" applyBorder="1"/>
    <xf numFmtId="0" fontId="0" fillId="0" borderId="24" xfId="0" applyBorder="1"/>
    <xf numFmtId="164" fontId="0" fillId="0" borderId="24" xfId="0" applyNumberFormat="1" applyBorder="1" applyAlignment="1">
      <alignment horizontal="center"/>
    </xf>
    <xf numFmtId="0" fontId="1" fillId="0" borderId="24" xfId="0" applyFont="1" applyBorder="1" applyAlignment="1">
      <alignment horizontal="center"/>
    </xf>
    <xf numFmtId="164" fontId="0" fillId="0" borderId="24" xfId="0" applyNumberForma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2" fontId="0" fillId="0" borderId="24" xfId="0" applyNumberForma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6" fillId="0" borderId="4" xfId="0" applyFont="1" applyBorder="1"/>
    <xf numFmtId="0" fontId="0" fillId="0" borderId="25" xfId="0" applyBorder="1" applyAlignment="1">
      <alignment horizontal="center" vertic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6" fillId="0" borderId="26" xfId="0" applyFont="1" applyBorder="1"/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/>
    </xf>
    <xf numFmtId="0" fontId="0" fillId="0" borderId="0" xfId="0" applyBorder="1" applyAlignment="1"/>
    <xf numFmtId="0" fontId="1" fillId="0" borderId="20" xfId="0" applyFont="1" applyBorder="1" applyAlignment="1">
      <alignment horizontal="center" vertical="center"/>
    </xf>
    <xf numFmtId="2" fontId="0" fillId="0" borderId="22" xfId="0" applyNumberForma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66" fontId="0" fillId="0" borderId="6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166" fontId="0" fillId="0" borderId="0" xfId="0" applyNumberFormat="1" applyAlignment="1">
      <alignment horizontal="center" vertical="center"/>
    </xf>
    <xf numFmtId="166" fontId="0" fillId="0" borderId="22" xfId="0" applyNumberFormat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166" fontId="0" fillId="0" borderId="30" xfId="0" applyNumberFormat="1" applyBorder="1" applyAlignment="1">
      <alignment horizontal="center" vertical="center"/>
    </xf>
    <xf numFmtId="166" fontId="0" fillId="0" borderId="31" xfId="0" applyNumberFormat="1" applyBorder="1" applyAlignment="1">
      <alignment horizontal="center" vertical="center"/>
    </xf>
    <xf numFmtId="166" fontId="0" fillId="0" borderId="32" xfId="0" applyNumberFormat="1" applyBorder="1" applyAlignment="1">
      <alignment horizontal="center" vertical="center"/>
    </xf>
    <xf numFmtId="166" fontId="0" fillId="0" borderId="24" xfId="0" applyNumberFormat="1" applyBorder="1" applyAlignment="1">
      <alignment horizontal="center" vertical="center"/>
    </xf>
    <xf numFmtId="166" fontId="0" fillId="0" borderId="24" xfId="0" applyNumberFormat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6" fillId="0" borderId="33" xfId="0" applyFont="1" applyFill="1" applyBorder="1" applyAlignment="1">
      <alignment horizontal="center" vertical="center"/>
    </xf>
    <xf numFmtId="1" fontId="0" fillId="0" borderId="15" xfId="0" applyNumberFormat="1" applyFill="1" applyBorder="1" applyAlignment="1">
      <alignment horizontal="center" vertical="center" wrapText="1"/>
    </xf>
    <xf numFmtId="1" fontId="0" fillId="0" borderId="6" xfId="0" applyNumberFormat="1" applyFill="1" applyBorder="1" applyAlignment="1">
      <alignment horizontal="center" vertical="center" wrapText="1"/>
    </xf>
    <xf numFmtId="0" fontId="0" fillId="0" borderId="27" xfId="0" applyBorder="1" applyAlignment="1">
      <alignment horizontal="center" wrapText="1"/>
    </xf>
    <xf numFmtId="165" fontId="0" fillId="0" borderId="6" xfId="0" applyNumberFormat="1" applyBorder="1" applyAlignment="1">
      <alignment horizontal="center" wrapText="1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5" fillId="0" borderId="1" xfId="0" applyFont="1" applyBorder="1" applyAlignment="1">
      <alignment horizontal="center"/>
    </xf>
    <xf numFmtId="0" fontId="4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HISTOGRAMA</a:t>
            </a:r>
            <a:r>
              <a:rPr lang="es-ES" baseline="0"/>
              <a:t> Y POLIGONO DE FRECUENCIA</a:t>
            </a:r>
            <a:endParaRPr lang="es-E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HISTOGRAMA VELOCIDADES PUNTUALES</c:v>
          </c:tx>
          <c:spPr>
            <a:ln w="25400">
              <a:solidFill>
                <a:schemeClr val="tx1"/>
              </a:solidFill>
            </a:ln>
          </c:spPr>
          <c:invertIfNegative val="0"/>
          <c:cat>
            <c:numRef>
              <c:f>'Cll 26 Cr 30'!$D$101:$D$109</c:f>
              <c:numCache>
                <c:formatCode>General</c:formatCode>
                <c:ptCount val="9"/>
                <c:pt idx="0">
                  <c:v>38.950000000000003</c:v>
                </c:pt>
                <c:pt idx="1">
                  <c:v>42.95</c:v>
                </c:pt>
                <c:pt idx="2">
                  <c:v>46.95</c:v>
                </c:pt>
                <c:pt idx="3">
                  <c:v>50.95</c:v>
                </c:pt>
                <c:pt idx="4">
                  <c:v>54.95</c:v>
                </c:pt>
                <c:pt idx="5">
                  <c:v>58.95</c:v>
                </c:pt>
                <c:pt idx="6">
                  <c:v>62.95</c:v>
                </c:pt>
                <c:pt idx="7">
                  <c:v>66.95</c:v>
                </c:pt>
                <c:pt idx="8">
                  <c:v>70.95</c:v>
                </c:pt>
              </c:numCache>
            </c:numRef>
          </c:cat>
          <c:val>
            <c:numRef>
              <c:f>'Cll 26 Cr 30'!$F$101:$F$109</c:f>
              <c:numCache>
                <c:formatCode>General</c:formatCode>
                <c:ptCount val="9"/>
                <c:pt idx="0">
                  <c:v>6.25</c:v>
                </c:pt>
                <c:pt idx="1">
                  <c:v>1.25</c:v>
                </c:pt>
                <c:pt idx="2">
                  <c:v>8.75</c:v>
                </c:pt>
                <c:pt idx="3">
                  <c:v>26.25</c:v>
                </c:pt>
                <c:pt idx="4">
                  <c:v>15</c:v>
                </c:pt>
                <c:pt idx="5">
                  <c:v>16.25</c:v>
                </c:pt>
                <c:pt idx="6">
                  <c:v>12.5</c:v>
                </c:pt>
                <c:pt idx="7">
                  <c:v>10</c:v>
                </c:pt>
                <c:pt idx="8">
                  <c:v>3.75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"/>
        <c:axId val="96241080"/>
        <c:axId val="145220976"/>
      </c:barChart>
      <c:lineChart>
        <c:grouping val="standard"/>
        <c:varyColors val="0"/>
        <c:ser>
          <c:idx val="1"/>
          <c:order val="1"/>
          <c:marker>
            <c:symbol val="none"/>
          </c:marker>
          <c:val>
            <c:numRef>
              <c:f>'Cll 26 Cr 30'!$F$101:$F$109</c:f>
              <c:numCache>
                <c:formatCode>General</c:formatCode>
                <c:ptCount val="9"/>
                <c:pt idx="0">
                  <c:v>6.25</c:v>
                </c:pt>
                <c:pt idx="1">
                  <c:v>1.25</c:v>
                </c:pt>
                <c:pt idx="2">
                  <c:v>8.75</c:v>
                </c:pt>
                <c:pt idx="3">
                  <c:v>26.25</c:v>
                </c:pt>
                <c:pt idx="4">
                  <c:v>15</c:v>
                </c:pt>
                <c:pt idx="5">
                  <c:v>16.25</c:v>
                </c:pt>
                <c:pt idx="6">
                  <c:v>12.5</c:v>
                </c:pt>
                <c:pt idx="7">
                  <c:v>10</c:v>
                </c:pt>
                <c:pt idx="8">
                  <c:v>3.75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241080"/>
        <c:axId val="145220976"/>
      </c:lineChart>
      <c:catAx>
        <c:axId val="96241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Velocidades en Km/h</a:t>
                </a:r>
              </a:p>
            </c:rich>
          </c:tx>
          <c:layout/>
          <c:overlay val="0"/>
        </c:title>
        <c:numFmt formatCode="0.0" sourceLinked="0"/>
        <c:majorTickMark val="none"/>
        <c:minorTickMark val="none"/>
        <c:tickLblPos val="nextTo"/>
        <c:crossAx val="145220976"/>
        <c:crosses val="autoZero"/>
        <c:auto val="1"/>
        <c:lblAlgn val="ctr"/>
        <c:lblOffset val="100"/>
        <c:noMultiLvlLbl val="0"/>
      </c:catAx>
      <c:valAx>
        <c:axId val="145220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% del total de observaciones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62410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800" b="1" i="0" baseline="0"/>
              <a:t>HISTOGRAMA Y POLIGONO DE FRECUENCIA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HISTOGRAMA VELOCIDADES PUNTUALES</c:v>
          </c:tx>
          <c:spPr>
            <a:ln w="25400">
              <a:solidFill>
                <a:sysClr val="windowText" lastClr="000000"/>
              </a:solidFill>
            </a:ln>
          </c:spPr>
          <c:invertIfNegative val="0"/>
          <c:cat>
            <c:numRef>
              <c:f>'Cll 26 Cr 30'!$K$101:$K$108</c:f>
              <c:numCache>
                <c:formatCode>General</c:formatCode>
                <c:ptCount val="8"/>
                <c:pt idx="0">
                  <c:v>45.5</c:v>
                </c:pt>
                <c:pt idx="1">
                  <c:v>48.5</c:v>
                </c:pt>
                <c:pt idx="2">
                  <c:v>51.5</c:v>
                </c:pt>
                <c:pt idx="3">
                  <c:v>54.5</c:v>
                </c:pt>
                <c:pt idx="4">
                  <c:v>57.5</c:v>
                </c:pt>
                <c:pt idx="5">
                  <c:v>60.5</c:v>
                </c:pt>
                <c:pt idx="6">
                  <c:v>63.5</c:v>
                </c:pt>
                <c:pt idx="7">
                  <c:v>66.5</c:v>
                </c:pt>
              </c:numCache>
            </c:numRef>
          </c:cat>
          <c:val>
            <c:numRef>
              <c:f>'Cll 26 Cr 30'!$M$101:$M$108</c:f>
              <c:numCache>
                <c:formatCode>General</c:formatCode>
                <c:ptCount val="8"/>
                <c:pt idx="0">
                  <c:v>7.5</c:v>
                </c:pt>
                <c:pt idx="1">
                  <c:v>8.75</c:v>
                </c:pt>
                <c:pt idx="2">
                  <c:v>7.5</c:v>
                </c:pt>
                <c:pt idx="3">
                  <c:v>23.75</c:v>
                </c:pt>
                <c:pt idx="4">
                  <c:v>20</c:v>
                </c:pt>
                <c:pt idx="5">
                  <c:v>12.5</c:v>
                </c:pt>
                <c:pt idx="6">
                  <c:v>7.5</c:v>
                </c:pt>
                <c:pt idx="7">
                  <c:v>12.5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"/>
        <c:axId val="145215488"/>
        <c:axId val="145222936"/>
      </c:barChart>
      <c:lineChart>
        <c:grouping val="standard"/>
        <c:varyColors val="0"/>
        <c:ser>
          <c:idx val="1"/>
          <c:order val="1"/>
          <c:marker>
            <c:symbol val="none"/>
          </c:marker>
          <c:val>
            <c:numRef>
              <c:f>'Cll 26 Cr 30'!$M$101:$M$108</c:f>
              <c:numCache>
                <c:formatCode>General</c:formatCode>
                <c:ptCount val="8"/>
                <c:pt idx="0">
                  <c:v>7.5</c:v>
                </c:pt>
                <c:pt idx="1">
                  <c:v>8.75</c:v>
                </c:pt>
                <c:pt idx="2">
                  <c:v>7.5</c:v>
                </c:pt>
                <c:pt idx="3">
                  <c:v>23.75</c:v>
                </c:pt>
                <c:pt idx="4">
                  <c:v>20</c:v>
                </c:pt>
                <c:pt idx="5">
                  <c:v>12.5</c:v>
                </c:pt>
                <c:pt idx="6">
                  <c:v>7.5</c:v>
                </c:pt>
                <c:pt idx="7">
                  <c:v>12.5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215488"/>
        <c:axId val="145222936"/>
      </c:lineChart>
      <c:catAx>
        <c:axId val="145215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Velocidades en Km/h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45222936"/>
        <c:crosses val="autoZero"/>
        <c:auto val="1"/>
        <c:lblAlgn val="ctr"/>
        <c:lblOffset val="100"/>
        <c:noMultiLvlLbl val="0"/>
      </c:catAx>
      <c:valAx>
        <c:axId val="145222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%</a:t>
                </a:r>
                <a:r>
                  <a:rPr lang="es-ES" baseline="0"/>
                  <a:t> del total de observaciones</a:t>
                </a:r>
                <a:endParaRPr lang="es-E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52154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DISTRIBUCION ACUMULATIVA DE VELOCIDADES PUNTUALES</c:v>
          </c:tx>
          <c:marker>
            <c:symbol val="diamond"/>
            <c:size val="2"/>
          </c:marker>
          <c:cat>
            <c:numRef>
              <c:f>'Cll 26 Cr 30'!$D$101:$D$109</c:f>
              <c:numCache>
                <c:formatCode>General</c:formatCode>
                <c:ptCount val="9"/>
                <c:pt idx="0">
                  <c:v>38.950000000000003</c:v>
                </c:pt>
                <c:pt idx="1">
                  <c:v>42.95</c:v>
                </c:pt>
                <c:pt idx="2">
                  <c:v>46.95</c:v>
                </c:pt>
                <c:pt idx="3">
                  <c:v>50.95</c:v>
                </c:pt>
                <c:pt idx="4">
                  <c:v>54.95</c:v>
                </c:pt>
                <c:pt idx="5">
                  <c:v>58.95</c:v>
                </c:pt>
                <c:pt idx="6">
                  <c:v>62.95</c:v>
                </c:pt>
                <c:pt idx="7">
                  <c:v>66.95</c:v>
                </c:pt>
                <c:pt idx="8">
                  <c:v>70.95</c:v>
                </c:pt>
              </c:numCache>
            </c:numRef>
          </c:cat>
          <c:val>
            <c:numRef>
              <c:f>'Cll 26 Cr 30'!$G$101:$G$109</c:f>
              <c:numCache>
                <c:formatCode>General</c:formatCode>
                <c:ptCount val="9"/>
                <c:pt idx="0">
                  <c:v>6.25</c:v>
                </c:pt>
                <c:pt idx="1">
                  <c:v>7.5</c:v>
                </c:pt>
                <c:pt idx="2">
                  <c:v>16.25</c:v>
                </c:pt>
                <c:pt idx="3">
                  <c:v>42.5</c:v>
                </c:pt>
                <c:pt idx="4">
                  <c:v>57.5</c:v>
                </c:pt>
                <c:pt idx="5">
                  <c:v>73.75</c:v>
                </c:pt>
                <c:pt idx="6">
                  <c:v>86.25</c:v>
                </c:pt>
                <c:pt idx="7">
                  <c:v>96.25</c:v>
                </c:pt>
                <c:pt idx="8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145219408"/>
        <c:axId val="145219016"/>
      </c:lineChart>
      <c:catAx>
        <c:axId val="145219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Velocidades en Km/h</a:t>
                </a:r>
              </a:p>
            </c:rich>
          </c:tx>
          <c:layout/>
          <c:overlay val="0"/>
        </c:title>
        <c:numFmt formatCode="#,##0.0" sourceLinked="0"/>
        <c:majorTickMark val="none"/>
        <c:minorTickMark val="none"/>
        <c:tickLblPos val="nextTo"/>
        <c:crossAx val="145219016"/>
        <c:crosses val="autoZero"/>
        <c:auto val="1"/>
        <c:lblAlgn val="ctr"/>
        <c:lblOffset val="100"/>
        <c:noMultiLvlLbl val="0"/>
      </c:catAx>
      <c:valAx>
        <c:axId val="145219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% igual</a:t>
                </a:r>
                <a:r>
                  <a:rPr lang="es-ES" baseline="0"/>
                  <a:t> o menor a la velocidad indicada</a:t>
                </a:r>
                <a:endParaRPr lang="es-E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52194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DISTRIBUCION ACUMULATIVA DE VELOCIDADES PUNTUALES</c:v>
          </c:tx>
          <c:marker>
            <c:symbol val="diamond"/>
            <c:size val="2"/>
          </c:marker>
          <c:cat>
            <c:numRef>
              <c:f>'Cll 26 Cr 30'!$K$101:$K$108</c:f>
              <c:numCache>
                <c:formatCode>General</c:formatCode>
                <c:ptCount val="8"/>
                <c:pt idx="0">
                  <c:v>45.5</c:v>
                </c:pt>
                <c:pt idx="1">
                  <c:v>48.5</c:v>
                </c:pt>
                <c:pt idx="2">
                  <c:v>51.5</c:v>
                </c:pt>
                <c:pt idx="3">
                  <c:v>54.5</c:v>
                </c:pt>
                <c:pt idx="4">
                  <c:v>57.5</c:v>
                </c:pt>
                <c:pt idx="5">
                  <c:v>60.5</c:v>
                </c:pt>
                <c:pt idx="6">
                  <c:v>63.5</c:v>
                </c:pt>
                <c:pt idx="7">
                  <c:v>66.5</c:v>
                </c:pt>
              </c:numCache>
            </c:numRef>
          </c:cat>
          <c:val>
            <c:numRef>
              <c:f>'Cll 26 Cr 30'!$N$101:$N$108</c:f>
              <c:numCache>
                <c:formatCode>General</c:formatCode>
                <c:ptCount val="8"/>
                <c:pt idx="0">
                  <c:v>7.5</c:v>
                </c:pt>
                <c:pt idx="1">
                  <c:v>16.25</c:v>
                </c:pt>
                <c:pt idx="2">
                  <c:v>23.75</c:v>
                </c:pt>
                <c:pt idx="3">
                  <c:v>47.5</c:v>
                </c:pt>
                <c:pt idx="4">
                  <c:v>67.5</c:v>
                </c:pt>
                <c:pt idx="5">
                  <c:v>80</c:v>
                </c:pt>
                <c:pt idx="6">
                  <c:v>87.5</c:v>
                </c:pt>
                <c:pt idx="7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145220192"/>
        <c:axId val="145218232"/>
      </c:lineChart>
      <c:catAx>
        <c:axId val="145220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Velocidades en Km/h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45218232"/>
        <c:crosses val="autoZero"/>
        <c:auto val="1"/>
        <c:lblAlgn val="ctr"/>
        <c:lblOffset val="100"/>
        <c:noMultiLvlLbl val="0"/>
      </c:catAx>
      <c:valAx>
        <c:axId val="145218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%</a:t>
                </a:r>
                <a:r>
                  <a:rPr lang="es-ES" baseline="0"/>
                  <a:t> igual o menor a la velocidad indicada</a:t>
                </a:r>
                <a:endParaRPr lang="es-E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52201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HISTOGRAMA VELOCIDADES PUNTUALES</c:v>
          </c:tx>
          <c:invertIfNegative val="0"/>
          <c:cat>
            <c:numRef>
              <c:f>'Cll 13 Cr 68'!$D$102:$D$110</c:f>
              <c:numCache>
                <c:formatCode>General</c:formatCode>
                <c:ptCount val="9"/>
                <c:pt idx="0">
                  <c:v>36</c:v>
                </c:pt>
                <c:pt idx="1">
                  <c:v>40</c:v>
                </c:pt>
                <c:pt idx="2">
                  <c:v>44</c:v>
                </c:pt>
                <c:pt idx="3">
                  <c:v>48</c:v>
                </c:pt>
                <c:pt idx="4">
                  <c:v>52</c:v>
                </c:pt>
                <c:pt idx="5">
                  <c:v>56</c:v>
                </c:pt>
                <c:pt idx="6">
                  <c:v>60</c:v>
                </c:pt>
                <c:pt idx="7">
                  <c:v>64</c:v>
                </c:pt>
                <c:pt idx="8">
                  <c:v>68</c:v>
                </c:pt>
              </c:numCache>
            </c:numRef>
          </c:cat>
          <c:val>
            <c:numRef>
              <c:f>'Cll 13 Cr 68'!$F$102:$F$110</c:f>
              <c:numCache>
                <c:formatCode>General</c:formatCode>
                <c:ptCount val="9"/>
                <c:pt idx="0">
                  <c:v>11.25</c:v>
                </c:pt>
                <c:pt idx="1">
                  <c:v>11.25</c:v>
                </c:pt>
                <c:pt idx="2">
                  <c:v>21.25</c:v>
                </c:pt>
                <c:pt idx="3">
                  <c:v>15</c:v>
                </c:pt>
                <c:pt idx="4">
                  <c:v>12.5</c:v>
                </c:pt>
                <c:pt idx="5">
                  <c:v>13.750000000000002</c:v>
                </c:pt>
                <c:pt idx="6">
                  <c:v>3.75</c:v>
                </c:pt>
                <c:pt idx="7">
                  <c:v>2.5</c:v>
                </c:pt>
                <c:pt idx="8">
                  <c:v>8.75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216272"/>
        <c:axId val="145217056"/>
      </c:barChart>
      <c:catAx>
        <c:axId val="145216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Velocidad en</a:t>
                </a:r>
                <a:r>
                  <a:rPr lang="es-ES" baseline="0"/>
                  <a:t> Km/h</a:t>
                </a:r>
                <a:endParaRPr lang="es-ES"/>
              </a:p>
            </c:rich>
          </c:tx>
          <c:layout>
            <c:manualLayout>
              <c:xMode val="edge"/>
              <c:yMode val="edge"/>
              <c:x val="0.3002023781763693"/>
              <c:y val="0.89430948529210941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45217056"/>
        <c:crosses val="autoZero"/>
        <c:auto val="1"/>
        <c:lblAlgn val="ctr"/>
        <c:lblOffset val="100"/>
        <c:noMultiLvlLbl val="0"/>
      </c:catAx>
      <c:valAx>
        <c:axId val="145217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% del</a:t>
                </a:r>
                <a:r>
                  <a:rPr lang="es-ES" baseline="0"/>
                  <a:t> total de observaciones</a:t>
                </a:r>
                <a:endParaRPr lang="es-E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52162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HISTOGRAMA VELOCIDADES PUNTUALES</c:v>
          </c:tx>
          <c:invertIfNegative val="0"/>
          <c:cat>
            <c:numRef>
              <c:f>'Cll 13 Cr 68'!$K$102:$K$110</c:f>
              <c:numCache>
                <c:formatCode>General</c:formatCode>
                <c:ptCount val="9"/>
                <c:pt idx="0">
                  <c:v>38</c:v>
                </c:pt>
                <c:pt idx="1">
                  <c:v>42</c:v>
                </c:pt>
                <c:pt idx="2">
                  <c:v>46</c:v>
                </c:pt>
                <c:pt idx="3">
                  <c:v>50</c:v>
                </c:pt>
                <c:pt idx="4">
                  <c:v>54</c:v>
                </c:pt>
                <c:pt idx="5">
                  <c:v>58</c:v>
                </c:pt>
                <c:pt idx="6">
                  <c:v>62</c:v>
                </c:pt>
                <c:pt idx="7">
                  <c:v>66</c:v>
                </c:pt>
                <c:pt idx="8">
                  <c:v>70</c:v>
                </c:pt>
              </c:numCache>
            </c:numRef>
          </c:cat>
          <c:val>
            <c:numRef>
              <c:f>'Cll 13 Cr 68'!$M$102:$M$110</c:f>
              <c:numCache>
                <c:formatCode>General</c:formatCode>
                <c:ptCount val="9"/>
                <c:pt idx="0">
                  <c:v>6.25</c:v>
                </c:pt>
                <c:pt idx="1">
                  <c:v>16.25</c:v>
                </c:pt>
                <c:pt idx="2">
                  <c:v>12.5</c:v>
                </c:pt>
                <c:pt idx="3">
                  <c:v>7.5</c:v>
                </c:pt>
                <c:pt idx="4">
                  <c:v>26.25</c:v>
                </c:pt>
                <c:pt idx="5">
                  <c:v>10</c:v>
                </c:pt>
                <c:pt idx="6">
                  <c:v>16.25</c:v>
                </c:pt>
                <c:pt idx="7">
                  <c:v>3.75</c:v>
                </c:pt>
                <c:pt idx="8">
                  <c:v>1.25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221760"/>
        <c:axId val="145221368"/>
      </c:barChart>
      <c:catAx>
        <c:axId val="145221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Velocidad en Km/h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45221368"/>
        <c:crosses val="autoZero"/>
        <c:auto val="1"/>
        <c:lblAlgn val="ctr"/>
        <c:lblOffset val="100"/>
        <c:noMultiLvlLbl val="0"/>
      </c:catAx>
      <c:valAx>
        <c:axId val="145221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% del total de observaciones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52217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DISTRIBUCION ACUMULATIVA DE VELOCIDADES PUNTUALES</c:v>
          </c:tx>
          <c:cat>
            <c:numRef>
              <c:f>'Cll 13 Cr 68'!$D$102:$D$110</c:f>
              <c:numCache>
                <c:formatCode>General</c:formatCode>
                <c:ptCount val="9"/>
                <c:pt idx="0">
                  <c:v>36</c:v>
                </c:pt>
                <c:pt idx="1">
                  <c:v>40</c:v>
                </c:pt>
                <c:pt idx="2">
                  <c:v>44</c:v>
                </c:pt>
                <c:pt idx="3">
                  <c:v>48</c:v>
                </c:pt>
                <c:pt idx="4">
                  <c:v>52</c:v>
                </c:pt>
                <c:pt idx="5">
                  <c:v>56</c:v>
                </c:pt>
                <c:pt idx="6">
                  <c:v>60</c:v>
                </c:pt>
                <c:pt idx="7">
                  <c:v>64</c:v>
                </c:pt>
                <c:pt idx="8">
                  <c:v>68</c:v>
                </c:pt>
              </c:numCache>
            </c:numRef>
          </c:cat>
          <c:val>
            <c:numRef>
              <c:f>'Cll 13 Cr 68'!$G$102:$G$110</c:f>
              <c:numCache>
                <c:formatCode>General</c:formatCode>
                <c:ptCount val="9"/>
                <c:pt idx="0">
                  <c:v>11.25</c:v>
                </c:pt>
                <c:pt idx="1">
                  <c:v>22.5</c:v>
                </c:pt>
                <c:pt idx="2">
                  <c:v>43.75</c:v>
                </c:pt>
                <c:pt idx="3">
                  <c:v>58.75</c:v>
                </c:pt>
                <c:pt idx="4">
                  <c:v>71.25</c:v>
                </c:pt>
                <c:pt idx="5">
                  <c:v>85</c:v>
                </c:pt>
                <c:pt idx="6">
                  <c:v>88.75</c:v>
                </c:pt>
                <c:pt idx="7">
                  <c:v>91.25</c:v>
                </c:pt>
                <c:pt idx="8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145215880"/>
        <c:axId val="145216664"/>
      </c:lineChart>
      <c:catAx>
        <c:axId val="145215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Velocidad en Km/h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45216664"/>
        <c:crosses val="autoZero"/>
        <c:auto val="1"/>
        <c:lblAlgn val="ctr"/>
        <c:lblOffset val="100"/>
        <c:noMultiLvlLbl val="0"/>
      </c:catAx>
      <c:valAx>
        <c:axId val="1452166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%  igual o</a:t>
                </a:r>
                <a:r>
                  <a:rPr lang="es-ES" baseline="0"/>
                  <a:t> menor a la velocidad indicada</a:t>
                </a:r>
                <a:endParaRPr lang="es-E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52158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DISTRIBUCION ACUMULATIVA DE VELOCIDADES PUNTUALES</c:v>
          </c:tx>
          <c:cat>
            <c:numRef>
              <c:f>'Cll 13 Cr 68'!$K$102:$K$110</c:f>
              <c:numCache>
                <c:formatCode>General</c:formatCode>
                <c:ptCount val="9"/>
                <c:pt idx="0">
                  <c:v>38</c:v>
                </c:pt>
                <c:pt idx="1">
                  <c:v>42</c:v>
                </c:pt>
                <c:pt idx="2">
                  <c:v>46</c:v>
                </c:pt>
                <c:pt idx="3">
                  <c:v>50</c:v>
                </c:pt>
                <c:pt idx="4">
                  <c:v>54</c:v>
                </c:pt>
                <c:pt idx="5">
                  <c:v>58</c:v>
                </c:pt>
                <c:pt idx="6">
                  <c:v>62</c:v>
                </c:pt>
                <c:pt idx="7">
                  <c:v>66</c:v>
                </c:pt>
                <c:pt idx="8">
                  <c:v>70</c:v>
                </c:pt>
              </c:numCache>
            </c:numRef>
          </c:cat>
          <c:val>
            <c:numRef>
              <c:f>'Cll 13 Cr 68'!$N$102:$N$110</c:f>
              <c:numCache>
                <c:formatCode>General</c:formatCode>
                <c:ptCount val="9"/>
                <c:pt idx="0">
                  <c:v>6.25</c:v>
                </c:pt>
                <c:pt idx="1">
                  <c:v>22.5</c:v>
                </c:pt>
                <c:pt idx="2">
                  <c:v>35</c:v>
                </c:pt>
                <c:pt idx="3">
                  <c:v>42.5</c:v>
                </c:pt>
                <c:pt idx="4">
                  <c:v>68.75</c:v>
                </c:pt>
                <c:pt idx="5">
                  <c:v>78.75</c:v>
                </c:pt>
                <c:pt idx="6">
                  <c:v>95</c:v>
                </c:pt>
                <c:pt idx="7">
                  <c:v>98.75</c:v>
                </c:pt>
                <c:pt idx="8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145227208"/>
        <c:axId val="145226816"/>
      </c:lineChart>
      <c:catAx>
        <c:axId val="145227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Veloicidad en Km/h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45226816"/>
        <c:crosses val="autoZero"/>
        <c:auto val="1"/>
        <c:lblAlgn val="ctr"/>
        <c:lblOffset val="100"/>
        <c:noMultiLvlLbl val="0"/>
      </c:catAx>
      <c:valAx>
        <c:axId val="1452268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% igual o menor a la velocidad indicada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52272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414618</xdr:colOff>
      <xdr:row>124</xdr:row>
      <xdr:rowOff>89646</xdr:rowOff>
    </xdr:from>
    <xdr:to>
      <xdr:col>6</xdr:col>
      <xdr:colOff>560294</xdr:colOff>
      <xdr:row>138</xdr:row>
      <xdr:rowOff>168088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56030</xdr:colOff>
      <xdr:row>124</xdr:row>
      <xdr:rowOff>100853</xdr:rowOff>
    </xdr:from>
    <xdr:to>
      <xdr:col>12</xdr:col>
      <xdr:colOff>381000</xdr:colOff>
      <xdr:row>138</xdr:row>
      <xdr:rowOff>179295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437029</xdr:colOff>
      <xdr:row>140</xdr:row>
      <xdr:rowOff>11206</xdr:rowOff>
    </xdr:from>
    <xdr:to>
      <xdr:col>6</xdr:col>
      <xdr:colOff>582705</xdr:colOff>
      <xdr:row>154</xdr:row>
      <xdr:rowOff>89648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56029</xdr:colOff>
      <xdr:row>139</xdr:row>
      <xdr:rowOff>179294</xdr:rowOff>
    </xdr:from>
    <xdr:to>
      <xdr:col>12</xdr:col>
      <xdr:colOff>380999</xdr:colOff>
      <xdr:row>154</xdr:row>
      <xdr:rowOff>67236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419100</xdr:colOff>
          <xdr:row>113</xdr:row>
          <xdr:rowOff>152400</xdr:rowOff>
        </xdr:from>
        <xdr:to>
          <xdr:col>9</xdr:col>
          <xdr:colOff>371475</xdr:colOff>
          <xdr:row>115</xdr:row>
          <xdr:rowOff>104775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168088</xdr:colOff>
      <xdr:row>125</xdr:row>
      <xdr:rowOff>100853</xdr:rowOff>
    </xdr:from>
    <xdr:to>
      <xdr:col>7</xdr:col>
      <xdr:colOff>123265</xdr:colOff>
      <xdr:row>142</xdr:row>
      <xdr:rowOff>11207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257736</xdr:colOff>
      <xdr:row>125</xdr:row>
      <xdr:rowOff>100852</xdr:rowOff>
    </xdr:from>
    <xdr:to>
      <xdr:col>13</xdr:col>
      <xdr:colOff>425824</xdr:colOff>
      <xdr:row>141</xdr:row>
      <xdr:rowOff>145675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201704</xdr:colOff>
      <xdr:row>142</xdr:row>
      <xdr:rowOff>112059</xdr:rowOff>
    </xdr:from>
    <xdr:to>
      <xdr:col>7</xdr:col>
      <xdr:colOff>123264</xdr:colOff>
      <xdr:row>158</xdr:row>
      <xdr:rowOff>33617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336176</xdr:colOff>
      <xdr:row>142</xdr:row>
      <xdr:rowOff>134471</xdr:rowOff>
    </xdr:from>
    <xdr:to>
      <xdr:col>13</xdr:col>
      <xdr:colOff>448235</xdr:colOff>
      <xdr:row>158</xdr:row>
      <xdr:rowOff>56029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466725</xdr:colOff>
          <xdr:row>113</xdr:row>
          <xdr:rowOff>142875</xdr:rowOff>
        </xdr:from>
        <xdr:to>
          <xdr:col>9</xdr:col>
          <xdr:colOff>571500</xdr:colOff>
          <xdr:row>115</xdr:row>
          <xdr:rowOff>95250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2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image" Target="../media/image1.w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N122"/>
  <sheetViews>
    <sheetView tabSelected="1" zoomScale="85" zoomScaleNormal="85" workbookViewId="0">
      <selection activeCell="A2" sqref="A2"/>
    </sheetView>
  </sheetViews>
  <sheetFormatPr baseColWidth="10" defaultRowHeight="15" x14ac:dyDescent="0.25"/>
  <cols>
    <col min="2" max="2" width="8.28515625" bestFit="1" customWidth="1"/>
    <col min="3" max="3" width="11.28515625" customWidth="1"/>
    <col min="4" max="4" width="15.85546875" bestFit="1" customWidth="1"/>
    <col min="5" max="5" width="16.28515625" bestFit="1" customWidth="1"/>
    <col min="6" max="6" width="15" customWidth="1"/>
    <col min="7" max="7" width="18.28515625" customWidth="1"/>
    <col min="8" max="8" width="15.85546875" bestFit="1" customWidth="1"/>
    <col min="11" max="11" width="25.140625" bestFit="1" customWidth="1"/>
    <col min="12" max="12" width="16.28515625" bestFit="1" customWidth="1"/>
    <col min="13" max="13" width="16" bestFit="1" customWidth="1"/>
    <col min="14" max="14" width="18.140625" bestFit="1" customWidth="1"/>
  </cols>
  <sheetData>
    <row r="1" spans="1:12" x14ac:dyDescent="0.25">
      <c r="A1" s="1" t="s">
        <v>27</v>
      </c>
      <c r="I1" s="1" t="s">
        <v>28</v>
      </c>
    </row>
    <row r="2" spans="1:12" x14ac:dyDescent="0.25">
      <c r="A2" s="1"/>
      <c r="C2" s="3"/>
      <c r="I2" s="1"/>
    </row>
    <row r="3" spans="1:12" x14ac:dyDescent="0.25">
      <c r="A3" s="111" t="s">
        <v>7</v>
      </c>
      <c r="B3" s="111"/>
      <c r="C3" s="4">
        <v>42206</v>
      </c>
      <c r="D3" s="3"/>
      <c r="I3" s="111" t="s">
        <v>7</v>
      </c>
      <c r="J3" s="111"/>
      <c r="K3" s="7">
        <v>42214</v>
      </c>
    </row>
    <row r="4" spans="1:12" x14ac:dyDescent="0.25">
      <c r="A4" s="111" t="s">
        <v>8</v>
      </c>
      <c r="B4" s="111"/>
      <c r="C4" s="5">
        <v>0.6875</v>
      </c>
      <c r="D4" s="3"/>
      <c r="I4" s="111" t="s">
        <v>8</v>
      </c>
      <c r="J4" s="111"/>
      <c r="K4" s="8">
        <v>0.69097222222222221</v>
      </c>
    </row>
    <row r="5" spans="1:12" x14ac:dyDescent="0.25">
      <c r="A5" s="111" t="s">
        <v>9</v>
      </c>
      <c r="B5" s="111"/>
      <c r="C5" s="5">
        <v>0.70347222222222217</v>
      </c>
      <c r="D5" s="3"/>
      <c r="I5" s="111" t="s">
        <v>9</v>
      </c>
      <c r="J5" s="111"/>
      <c r="K5" s="8">
        <v>0.71180555555555547</v>
      </c>
    </row>
    <row r="6" spans="1:12" x14ac:dyDescent="0.25">
      <c r="A6" s="111" t="s">
        <v>10</v>
      </c>
      <c r="B6" s="111"/>
      <c r="C6" s="3" t="s">
        <v>11</v>
      </c>
      <c r="D6" s="3"/>
      <c r="I6" s="111" t="s">
        <v>10</v>
      </c>
      <c r="J6" s="111"/>
      <c r="K6" s="9" t="s">
        <v>11</v>
      </c>
    </row>
    <row r="7" spans="1:12" x14ac:dyDescent="0.25">
      <c r="A7" s="111" t="s">
        <v>12</v>
      </c>
      <c r="B7" s="111"/>
      <c r="C7" s="3" t="s">
        <v>13</v>
      </c>
      <c r="D7" s="3"/>
      <c r="I7" s="111" t="s">
        <v>12</v>
      </c>
      <c r="J7" s="111"/>
      <c r="K7" s="9" t="s">
        <v>21</v>
      </c>
    </row>
    <row r="8" spans="1:12" x14ac:dyDescent="0.25">
      <c r="A8" s="111" t="s">
        <v>14</v>
      </c>
      <c r="B8" s="111"/>
      <c r="C8" s="3" t="s">
        <v>15</v>
      </c>
      <c r="D8" s="3"/>
      <c r="I8" s="111" t="s">
        <v>14</v>
      </c>
      <c r="J8" s="111"/>
      <c r="K8" s="9" t="s">
        <v>15</v>
      </c>
    </row>
    <row r="9" spans="1:12" x14ac:dyDescent="0.25">
      <c r="A9" s="111" t="s">
        <v>16</v>
      </c>
      <c r="B9" s="111"/>
      <c r="C9" s="3" t="s">
        <v>17</v>
      </c>
      <c r="D9" s="3"/>
      <c r="I9" s="111" t="s">
        <v>16</v>
      </c>
      <c r="J9" s="111"/>
      <c r="K9" s="9" t="s">
        <v>17</v>
      </c>
    </row>
    <row r="10" spans="1:12" x14ac:dyDescent="0.25">
      <c r="A10" s="111" t="s">
        <v>18</v>
      </c>
      <c r="B10" s="111"/>
      <c r="C10" s="3">
        <v>60</v>
      </c>
      <c r="D10" s="3" t="s">
        <v>19</v>
      </c>
      <c r="I10" s="111" t="s">
        <v>18</v>
      </c>
      <c r="J10" s="111"/>
      <c r="K10" s="9">
        <v>47.2</v>
      </c>
      <c r="L10" t="s">
        <v>19</v>
      </c>
    </row>
    <row r="11" spans="1:12" x14ac:dyDescent="0.25">
      <c r="A11" s="111" t="s">
        <v>20</v>
      </c>
      <c r="B11" s="111"/>
      <c r="C11" s="3" t="s">
        <v>21</v>
      </c>
      <c r="D11" s="3"/>
      <c r="I11" s="111" t="s">
        <v>20</v>
      </c>
      <c r="J11" s="111"/>
      <c r="K11" s="9" t="s">
        <v>13</v>
      </c>
    </row>
    <row r="12" spans="1:12" x14ac:dyDescent="0.25">
      <c r="A12" s="111" t="s">
        <v>22</v>
      </c>
      <c r="B12" s="111"/>
      <c r="C12" s="3" t="s">
        <v>23</v>
      </c>
      <c r="D12" s="3"/>
      <c r="I12" s="111" t="s">
        <v>22</v>
      </c>
      <c r="J12" s="111"/>
      <c r="K12" s="9" t="s">
        <v>26</v>
      </c>
    </row>
    <row r="13" spans="1:12" x14ac:dyDescent="0.25">
      <c r="A13" s="111" t="s">
        <v>24</v>
      </c>
      <c r="B13" s="111"/>
      <c r="C13" s="3" t="s">
        <v>25</v>
      </c>
      <c r="D13" s="3"/>
      <c r="I13" s="111" t="s">
        <v>24</v>
      </c>
      <c r="J13" s="111"/>
      <c r="K13" s="9" t="s">
        <v>25</v>
      </c>
    </row>
    <row r="14" spans="1:12" x14ac:dyDescent="0.25">
      <c r="A14" s="1"/>
      <c r="I14" s="1"/>
    </row>
    <row r="15" spans="1:12" x14ac:dyDescent="0.25">
      <c r="A15" s="1"/>
      <c r="I15" s="1"/>
    </row>
    <row r="16" spans="1:12" ht="15.75" thickBot="1" x14ac:dyDescent="0.3"/>
    <row r="17" spans="2:14" ht="15.75" thickBot="1" x14ac:dyDescent="0.3">
      <c r="B17" s="25" t="s">
        <v>0</v>
      </c>
      <c r="C17" s="26" t="s">
        <v>1</v>
      </c>
      <c r="D17" s="26" t="s">
        <v>2</v>
      </c>
      <c r="E17" s="59" t="s">
        <v>32</v>
      </c>
      <c r="F17" s="60" t="s">
        <v>71</v>
      </c>
      <c r="G17" s="57" t="s">
        <v>72</v>
      </c>
      <c r="I17" s="25" t="s">
        <v>0</v>
      </c>
      <c r="J17" s="26" t="s">
        <v>1</v>
      </c>
      <c r="K17" s="26" t="s">
        <v>2</v>
      </c>
      <c r="L17" s="59" t="s">
        <v>32</v>
      </c>
      <c r="M17" s="60" t="s">
        <v>77</v>
      </c>
      <c r="N17" s="57" t="s">
        <v>72</v>
      </c>
    </row>
    <row r="18" spans="2:14" x14ac:dyDescent="0.25">
      <c r="B18" s="50">
        <v>1</v>
      </c>
      <c r="C18" s="51">
        <v>3</v>
      </c>
      <c r="D18" s="51" t="s">
        <v>3</v>
      </c>
      <c r="E18" s="38">
        <f>(($C$10/C18)/1000)*3600</f>
        <v>72</v>
      </c>
      <c r="F18" s="52">
        <v>37.241379310344797</v>
      </c>
      <c r="G18" s="44">
        <f>MAX(E18:E97)</f>
        <v>72</v>
      </c>
      <c r="I18" s="50">
        <v>1</v>
      </c>
      <c r="J18" s="51">
        <v>2.7</v>
      </c>
      <c r="K18" s="51" t="s">
        <v>6</v>
      </c>
      <c r="L18" s="61">
        <f>(($K$10/J18)/1000)*3600</f>
        <v>62.93333333333333</v>
      </c>
      <c r="M18" s="62">
        <v>44.715789473684218</v>
      </c>
      <c r="N18" s="40">
        <f>MAX(L18:L97)</f>
        <v>67.968000000000004</v>
      </c>
    </row>
    <row r="19" spans="2:14" x14ac:dyDescent="0.25">
      <c r="B19" s="31">
        <v>2</v>
      </c>
      <c r="C19" s="32">
        <v>4.5</v>
      </c>
      <c r="D19" s="32" t="s">
        <v>3</v>
      </c>
      <c r="E19" s="37">
        <f t="shared" ref="E19:E82" si="0">(($C$10/C19)/1000)*3600</f>
        <v>48</v>
      </c>
      <c r="F19" s="12">
        <v>39.272727272727266</v>
      </c>
      <c r="G19" s="45" t="s">
        <v>73</v>
      </c>
      <c r="I19" s="31">
        <v>2</v>
      </c>
      <c r="J19" s="32">
        <v>3.3</v>
      </c>
      <c r="K19" s="32" t="s">
        <v>6</v>
      </c>
      <c r="L19" s="35">
        <f t="shared" ref="L19:L82" si="1">(($K$10/J19)/1000)*3600</f>
        <v>51.490909090909099</v>
      </c>
      <c r="M19" s="63">
        <v>44.715789473684218</v>
      </c>
      <c r="N19" s="45" t="s">
        <v>73</v>
      </c>
    </row>
    <row r="20" spans="2:14" x14ac:dyDescent="0.25">
      <c r="B20" s="31">
        <v>3</v>
      </c>
      <c r="C20" s="32">
        <v>4.0999999999999996</v>
      </c>
      <c r="D20" s="32" t="s">
        <v>3</v>
      </c>
      <c r="E20" s="37">
        <f t="shared" si="0"/>
        <v>52.682926829268297</v>
      </c>
      <c r="F20" s="12">
        <v>39.272727272727266</v>
      </c>
      <c r="G20" s="44">
        <f>MIN(E18:E97)</f>
        <v>37.241379310344826</v>
      </c>
      <c r="I20" s="31">
        <v>3</v>
      </c>
      <c r="J20" s="32">
        <v>3.8</v>
      </c>
      <c r="K20" s="32" t="s">
        <v>6</v>
      </c>
      <c r="L20" s="35">
        <f t="shared" si="1"/>
        <v>44.715789473684218</v>
      </c>
      <c r="M20" s="63">
        <v>44.715789473684218</v>
      </c>
      <c r="N20" s="40">
        <f>MIN(L18:L97)</f>
        <v>44.715789473684218</v>
      </c>
    </row>
    <row r="21" spans="2:14" x14ac:dyDescent="0.25">
      <c r="B21" s="31">
        <v>4</v>
      </c>
      <c r="C21" s="32">
        <v>3.6</v>
      </c>
      <c r="D21" s="32" t="s">
        <v>3</v>
      </c>
      <c r="E21" s="37">
        <f t="shared" si="0"/>
        <v>60</v>
      </c>
      <c r="F21" s="12">
        <v>39.272727272727266</v>
      </c>
      <c r="G21" s="45" t="s">
        <v>74</v>
      </c>
      <c r="I21" s="31">
        <v>4</v>
      </c>
      <c r="J21" s="32">
        <v>3.1</v>
      </c>
      <c r="K21" s="32" t="s">
        <v>6</v>
      </c>
      <c r="L21" s="35">
        <f t="shared" si="1"/>
        <v>54.812903225806458</v>
      </c>
      <c r="M21" s="63">
        <v>44.715789473684218</v>
      </c>
      <c r="N21" s="45" t="s">
        <v>74</v>
      </c>
    </row>
    <row r="22" spans="2:14" x14ac:dyDescent="0.25">
      <c r="B22" s="31">
        <v>5</v>
      </c>
      <c r="C22" s="32">
        <v>4</v>
      </c>
      <c r="D22" s="32" t="s">
        <v>3</v>
      </c>
      <c r="E22" s="37">
        <f t="shared" si="0"/>
        <v>54</v>
      </c>
      <c r="F22" s="12">
        <v>40.754716981132077</v>
      </c>
      <c r="G22" s="44">
        <f>G18-G20</f>
        <v>34.758620689655174</v>
      </c>
      <c r="I22" s="31">
        <v>5</v>
      </c>
      <c r="J22" s="32">
        <v>3</v>
      </c>
      <c r="K22" s="32" t="s">
        <v>6</v>
      </c>
      <c r="L22" s="35">
        <f t="shared" si="1"/>
        <v>56.640000000000008</v>
      </c>
      <c r="M22" s="63">
        <v>45.924324324324317</v>
      </c>
      <c r="N22" s="40">
        <f>N18-N20</f>
        <v>23.252210526315785</v>
      </c>
    </row>
    <row r="23" spans="2:14" x14ac:dyDescent="0.25">
      <c r="B23" s="31">
        <v>6</v>
      </c>
      <c r="C23" s="32">
        <v>3.9</v>
      </c>
      <c r="D23" s="32" t="s">
        <v>3</v>
      </c>
      <c r="E23" s="37">
        <f t="shared" si="0"/>
        <v>55.384615384615387</v>
      </c>
      <c r="F23" s="12">
        <v>42.352941176470594</v>
      </c>
      <c r="G23" s="45" t="s">
        <v>75</v>
      </c>
      <c r="I23" s="31">
        <v>6</v>
      </c>
      <c r="J23" s="32">
        <v>3.2</v>
      </c>
      <c r="K23" s="32" t="s">
        <v>6</v>
      </c>
      <c r="L23" s="35">
        <f t="shared" si="1"/>
        <v>53.099999999999994</v>
      </c>
      <c r="M23" s="63">
        <v>45.924324324324317</v>
      </c>
      <c r="N23" s="45" t="s">
        <v>75</v>
      </c>
    </row>
    <row r="24" spans="2:14" x14ac:dyDescent="0.25">
      <c r="B24" s="31">
        <v>7</v>
      </c>
      <c r="C24" s="32">
        <v>3.7</v>
      </c>
      <c r="D24" s="32" t="s">
        <v>4</v>
      </c>
      <c r="E24" s="37">
        <f t="shared" si="0"/>
        <v>58.378378378378372</v>
      </c>
      <c r="F24" s="12">
        <v>45</v>
      </c>
      <c r="G24" s="46">
        <f>G22/9</f>
        <v>3.8620689655172415</v>
      </c>
      <c r="I24" s="31">
        <v>7</v>
      </c>
      <c r="J24" s="32">
        <v>2.5</v>
      </c>
      <c r="K24" s="32" t="s">
        <v>6</v>
      </c>
      <c r="L24" s="35">
        <f t="shared" si="1"/>
        <v>67.968000000000004</v>
      </c>
      <c r="M24" s="63">
        <v>47.2</v>
      </c>
      <c r="N24" s="41">
        <f>N22/9</f>
        <v>2.5835789473684208</v>
      </c>
    </row>
    <row r="25" spans="2:14" x14ac:dyDescent="0.25">
      <c r="B25" s="31">
        <v>8</v>
      </c>
      <c r="C25" s="32">
        <v>4.4000000000000004</v>
      </c>
      <c r="D25" s="32" t="s">
        <v>3</v>
      </c>
      <c r="E25" s="37">
        <f t="shared" si="0"/>
        <v>49.090909090909086</v>
      </c>
      <c r="F25" s="12">
        <v>46.956521739130437</v>
      </c>
      <c r="I25" s="31">
        <v>8</v>
      </c>
      <c r="J25" s="32">
        <v>3.2</v>
      </c>
      <c r="K25" s="32" t="s">
        <v>6</v>
      </c>
      <c r="L25" s="35">
        <f t="shared" si="1"/>
        <v>53.099999999999994</v>
      </c>
      <c r="M25" s="63">
        <v>48.548571428571428</v>
      </c>
    </row>
    <row r="26" spans="2:14" x14ac:dyDescent="0.25">
      <c r="B26" s="31">
        <v>9</v>
      </c>
      <c r="C26" s="32">
        <v>4.3</v>
      </c>
      <c r="D26" s="32" t="s">
        <v>3</v>
      </c>
      <c r="E26" s="37">
        <f t="shared" si="0"/>
        <v>50.232558139534881</v>
      </c>
      <c r="F26" s="12">
        <v>46.956521739130437</v>
      </c>
      <c r="I26" s="31">
        <v>9</v>
      </c>
      <c r="J26" s="32">
        <v>3</v>
      </c>
      <c r="K26" s="32" t="s">
        <v>6</v>
      </c>
      <c r="L26" s="35">
        <f t="shared" si="1"/>
        <v>56.640000000000008</v>
      </c>
      <c r="M26" s="63">
        <v>48.548571428571428</v>
      </c>
    </row>
    <row r="27" spans="2:14" x14ac:dyDescent="0.25">
      <c r="B27" s="31">
        <v>10</v>
      </c>
      <c r="C27" s="32">
        <v>3.4</v>
      </c>
      <c r="D27" s="32" t="s">
        <v>3</v>
      </c>
      <c r="E27" s="37">
        <f t="shared" si="0"/>
        <v>63.529411764705884</v>
      </c>
      <c r="F27" s="12">
        <v>46.956521739130437</v>
      </c>
      <c r="I27" s="31">
        <v>10</v>
      </c>
      <c r="J27" s="32">
        <v>3</v>
      </c>
      <c r="K27" s="32" t="s">
        <v>6</v>
      </c>
      <c r="L27" s="35">
        <f t="shared" si="1"/>
        <v>56.640000000000008</v>
      </c>
      <c r="M27" s="63">
        <v>48.548571428571428</v>
      </c>
    </row>
    <row r="28" spans="2:14" x14ac:dyDescent="0.25">
      <c r="B28" s="31">
        <v>11</v>
      </c>
      <c r="C28" s="32">
        <v>3.4</v>
      </c>
      <c r="D28" s="32" t="s">
        <v>3</v>
      </c>
      <c r="E28" s="37">
        <f t="shared" si="0"/>
        <v>63.529411764705884</v>
      </c>
      <c r="F28" s="12">
        <v>48</v>
      </c>
      <c r="I28" s="31">
        <v>11</v>
      </c>
      <c r="J28" s="32">
        <v>3.2</v>
      </c>
      <c r="K28" s="32" t="s">
        <v>6</v>
      </c>
      <c r="L28" s="35">
        <f t="shared" si="1"/>
        <v>53.099999999999994</v>
      </c>
      <c r="M28" s="63">
        <v>48.548571428571428</v>
      </c>
    </row>
    <row r="29" spans="2:14" x14ac:dyDescent="0.25">
      <c r="B29" s="31">
        <v>12</v>
      </c>
      <c r="C29" s="32">
        <v>3.7</v>
      </c>
      <c r="D29" s="32" t="s">
        <v>3</v>
      </c>
      <c r="E29" s="37">
        <f t="shared" si="0"/>
        <v>58.378378378378372</v>
      </c>
      <c r="F29" s="12">
        <v>48</v>
      </c>
      <c r="I29" s="31">
        <v>12</v>
      </c>
      <c r="J29" s="32">
        <v>2.8</v>
      </c>
      <c r="K29" s="32" t="s">
        <v>6</v>
      </c>
      <c r="L29" s="35">
        <f t="shared" si="1"/>
        <v>60.68571428571429</v>
      </c>
      <c r="M29" s="63">
        <v>48.548571428571428</v>
      </c>
    </row>
    <row r="30" spans="2:14" x14ac:dyDescent="0.25">
      <c r="B30" s="31">
        <v>13</v>
      </c>
      <c r="C30" s="32">
        <v>4.4000000000000004</v>
      </c>
      <c r="D30" s="32" t="s">
        <v>5</v>
      </c>
      <c r="E30" s="37">
        <f t="shared" si="0"/>
        <v>49.090909090909086</v>
      </c>
      <c r="F30" s="12">
        <v>48</v>
      </c>
      <c r="I30" s="31">
        <v>13</v>
      </c>
      <c r="J30" s="32">
        <v>3.1</v>
      </c>
      <c r="K30" s="32" t="s">
        <v>6</v>
      </c>
      <c r="L30" s="35">
        <f t="shared" si="1"/>
        <v>54.812903225806458</v>
      </c>
      <c r="M30" s="63">
        <v>49.976470588235294</v>
      </c>
    </row>
    <row r="31" spans="2:14" x14ac:dyDescent="0.25">
      <c r="B31" s="31">
        <v>14</v>
      </c>
      <c r="C31" s="32">
        <v>4.4000000000000004</v>
      </c>
      <c r="D31" s="32" t="s">
        <v>4</v>
      </c>
      <c r="E31" s="37">
        <f t="shared" si="0"/>
        <v>49.090909090909086</v>
      </c>
      <c r="F31" s="12">
        <v>49.090909090909086</v>
      </c>
      <c r="I31" s="31">
        <v>14</v>
      </c>
      <c r="J31" s="32">
        <v>2.8</v>
      </c>
      <c r="K31" s="32" t="s">
        <v>4</v>
      </c>
      <c r="L31" s="35">
        <f t="shared" si="1"/>
        <v>60.68571428571429</v>
      </c>
      <c r="M31" s="63">
        <v>51.490909090909099</v>
      </c>
    </row>
    <row r="32" spans="2:14" x14ac:dyDescent="0.25">
      <c r="B32" s="31">
        <v>15</v>
      </c>
      <c r="C32" s="32">
        <v>3.5</v>
      </c>
      <c r="D32" s="32" t="s">
        <v>3</v>
      </c>
      <c r="E32" s="37">
        <f t="shared" si="0"/>
        <v>61.714285714285715</v>
      </c>
      <c r="F32" s="12">
        <v>49.090909090909086</v>
      </c>
      <c r="I32" s="31">
        <v>15</v>
      </c>
      <c r="J32" s="32">
        <v>2.9</v>
      </c>
      <c r="K32" s="32" t="s">
        <v>5</v>
      </c>
      <c r="L32" s="35">
        <f t="shared" si="1"/>
        <v>58.593103448275869</v>
      </c>
      <c r="M32" s="63">
        <v>51.490909090909099</v>
      </c>
    </row>
    <row r="33" spans="2:13" x14ac:dyDescent="0.25">
      <c r="B33" s="31">
        <v>16</v>
      </c>
      <c r="C33" s="32">
        <v>4.4000000000000004</v>
      </c>
      <c r="D33" s="32" t="s">
        <v>3</v>
      </c>
      <c r="E33" s="37">
        <f t="shared" si="0"/>
        <v>49.090909090909086</v>
      </c>
      <c r="F33" s="12">
        <v>49.090909090909086</v>
      </c>
      <c r="I33" s="31">
        <v>16</v>
      </c>
      <c r="J33" s="32">
        <v>2.7</v>
      </c>
      <c r="K33" s="32" t="s">
        <v>6</v>
      </c>
      <c r="L33" s="35">
        <f t="shared" si="1"/>
        <v>62.93333333333333</v>
      </c>
      <c r="M33" s="63">
        <v>51.490909090909099</v>
      </c>
    </row>
    <row r="34" spans="2:13" x14ac:dyDescent="0.25">
      <c r="B34" s="31">
        <v>17</v>
      </c>
      <c r="C34" s="32">
        <v>3.6</v>
      </c>
      <c r="D34" s="32" t="s">
        <v>3</v>
      </c>
      <c r="E34" s="37">
        <f t="shared" si="0"/>
        <v>60</v>
      </c>
      <c r="F34" s="12">
        <v>49.090909090909086</v>
      </c>
      <c r="I34" s="31">
        <v>17</v>
      </c>
      <c r="J34" s="32">
        <v>3.1</v>
      </c>
      <c r="K34" s="32" t="s">
        <v>6</v>
      </c>
      <c r="L34" s="35">
        <f t="shared" si="1"/>
        <v>54.812903225806458</v>
      </c>
      <c r="M34" s="63">
        <v>51.490909090909099</v>
      </c>
    </row>
    <row r="35" spans="2:13" x14ac:dyDescent="0.25">
      <c r="B35" s="31">
        <v>18</v>
      </c>
      <c r="C35" s="32">
        <v>4.0999999999999996</v>
      </c>
      <c r="D35" s="32" t="s">
        <v>3</v>
      </c>
      <c r="E35" s="37">
        <f t="shared" si="0"/>
        <v>52.682926829268297</v>
      </c>
      <c r="F35" s="12">
        <v>50.232558139534881</v>
      </c>
      <c r="I35" s="31">
        <v>18</v>
      </c>
      <c r="J35" s="32">
        <v>3.2</v>
      </c>
      <c r="K35" s="32" t="s">
        <v>6</v>
      </c>
      <c r="L35" s="35">
        <f t="shared" si="1"/>
        <v>53.099999999999994</v>
      </c>
      <c r="M35" s="63">
        <v>51.490909090909099</v>
      </c>
    </row>
    <row r="36" spans="2:13" x14ac:dyDescent="0.25">
      <c r="B36" s="31">
        <v>19</v>
      </c>
      <c r="C36" s="32">
        <v>3.5</v>
      </c>
      <c r="D36" s="32" t="s">
        <v>3</v>
      </c>
      <c r="E36" s="37">
        <f t="shared" si="0"/>
        <v>61.714285714285715</v>
      </c>
      <c r="F36" s="12">
        <v>50.232558139534881</v>
      </c>
      <c r="I36" s="31">
        <v>19</v>
      </c>
      <c r="J36" s="32">
        <v>2.9</v>
      </c>
      <c r="K36" s="32" t="s">
        <v>6</v>
      </c>
      <c r="L36" s="35">
        <f t="shared" si="1"/>
        <v>58.593103448275869</v>
      </c>
      <c r="M36" s="63">
        <v>51.490909090909099</v>
      </c>
    </row>
    <row r="37" spans="2:13" x14ac:dyDescent="0.25">
      <c r="B37" s="31">
        <v>20</v>
      </c>
      <c r="C37" s="32">
        <v>4.3</v>
      </c>
      <c r="D37" s="32" t="s">
        <v>3</v>
      </c>
      <c r="E37" s="37">
        <f t="shared" si="0"/>
        <v>50.232558139534881</v>
      </c>
      <c r="F37" s="12">
        <v>50.232558139534881</v>
      </c>
      <c r="I37" s="31">
        <v>20</v>
      </c>
      <c r="J37" s="32">
        <v>3</v>
      </c>
      <c r="K37" s="32" t="s">
        <v>5</v>
      </c>
      <c r="L37" s="35">
        <f t="shared" si="1"/>
        <v>56.640000000000008</v>
      </c>
      <c r="M37" s="63">
        <v>53.099999999999994</v>
      </c>
    </row>
    <row r="38" spans="2:13" x14ac:dyDescent="0.25">
      <c r="B38" s="31">
        <v>21</v>
      </c>
      <c r="C38" s="32">
        <v>3.7</v>
      </c>
      <c r="D38" s="32" t="s">
        <v>3</v>
      </c>
      <c r="E38" s="37">
        <f t="shared" si="0"/>
        <v>58.378378378378372</v>
      </c>
      <c r="F38" s="12">
        <v>51.428571428571423</v>
      </c>
      <c r="I38" s="31">
        <v>21</v>
      </c>
      <c r="J38" s="32">
        <v>3.2</v>
      </c>
      <c r="K38" s="32" t="s">
        <v>5</v>
      </c>
      <c r="L38" s="35">
        <f t="shared" si="1"/>
        <v>53.099999999999994</v>
      </c>
      <c r="M38" s="63">
        <v>53.099999999999994</v>
      </c>
    </row>
    <row r="39" spans="2:13" x14ac:dyDescent="0.25">
      <c r="B39" s="31">
        <v>22</v>
      </c>
      <c r="C39" s="32">
        <v>4.2</v>
      </c>
      <c r="D39" s="32" t="s">
        <v>4</v>
      </c>
      <c r="E39" s="37">
        <f t="shared" si="0"/>
        <v>51.428571428571423</v>
      </c>
      <c r="F39" s="12">
        <v>51.428571428571423</v>
      </c>
      <c r="I39" s="31">
        <v>22</v>
      </c>
      <c r="J39" s="32">
        <v>3.1</v>
      </c>
      <c r="K39" s="32" t="s">
        <v>5</v>
      </c>
      <c r="L39" s="35">
        <f t="shared" si="1"/>
        <v>54.812903225806458</v>
      </c>
      <c r="M39" s="63">
        <v>53.099999999999994</v>
      </c>
    </row>
    <row r="40" spans="2:13" x14ac:dyDescent="0.25">
      <c r="B40" s="31">
        <v>23</v>
      </c>
      <c r="C40" s="32">
        <v>3.9</v>
      </c>
      <c r="D40" s="32" t="s">
        <v>5</v>
      </c>
      <c r="E40" s="37">
        <f t="shared" si="0"/>
        <v>55.384615384615387</v>
      </c>
      <c r="F40" s="12">
        <v>51.428571428571423</v>
      </c>
      <c r="I40" s="31">
        <v>23</v>
      </c>
      <c r="J40" s="32">
        <v>2.9</v>
      </c>
      <c r="K40" s="32" t="s">
        <v>6</v>
      </c>
      <c r="L40" s="35">
        <f t="shared" si="1"/>
        <v>58.593103448275869</v>
      </c>
      <c r="M40" s="63">
        <v>53.099999999999994</v>
      </c>
    </row>
    <row r="41" spans="2:13" x14ac:dyDescent="0.25">
      <c r="B41" s="31">
        <v>24</v>
      </c>
      <c r="C41" s="32">
        <v>3.5</v>
      </c>
      <c r="D41" s="32" t="s">
        <v>4</v>
      </c>
      <c r="E41" s="37">
        <f t="shared" si="0"/>
        <v>61.714285714285715</v>
      </c>
      <c r="F41" s="12">
        <v>51.428571428571423</v>
      </c>
      <c r="I41" s="31">
        <v>24</v>
      </c>
      <c r="J41" s="32">
        <v>2.8</v>
      </c>
      <c r="K41" s="32" t="s">
        <v>6</v>
      </c>
      <c r="L41" s="35">
        <f t="shared" si="1"/>
        <v>60.68571428571429</v>
      </c>
      <c r="M41" s="63">
        <v>53.099999999999994</v>
      </c>
    </row>
    <row r="42" spans="2:13" x14ac:dyDescent="0.25">
      <c r="B42" s="31">
        <v>25</v>
      </c>
      <c r="C42" s="32">
        <v>4.0999999999999996</v>
      </c>
      <c r="D42" s="32" t="s">
        <v>4</v>
      </c>
      <c r="E42" s="37">
        <f t="shared" si="0"/>
        <v>52.682926829268297</v>
      </c>
      <c r="F42" s="12">
        <v>51.428571428571423</v>
      </c>
      <c r="I42" s="31">
        <v>25</v>
      </c>
      <c r="J42" s="32">
        <v>3.5</v>
      </c>
      <c r="K42" s="32" t="s">
        <v>6</v>
      </c>
      <c r="L42" s="35">
        <f t="shared" si="1"/>
        <v>48.548571428571428</v>
      </c>
      <c r="M42" s="63">
        <v>53.099999999999994</v>
      </c>
    </row>
    <row r="43" spans="2:13" x14ac:dyDescent="0.25">
      <c r="B43" s="31">
        <v>26</v>
      </c>
      <c r="C43" s="32">
        <v>4.2</v>
      </c>
      <c r="D43" s="32" t="s">
        <v>3</v>
      </c>
      <c r="E43" s="37">
        <f t="shared" si="0"/>
        <v>51.428571428571423</v>
      </c>
      <c r="F43" s="12">
        <v>51.428571428571423</v>
      </c>
      <c r="I43" s="31">
        <v>26</v>
      </c>
      <c r="J43" s="32">
        <v>3.1</v>
      </c>
      <c r="K43" s="32" t="s">
        <v>6</v>
      </c>
      <c r="L43" s="35">
        <f t="shared" si="1"/>
        <v>54.812903225806458</v>
      </c>
      <c r="M43" s="63">
        <v>53.099999999999994</v>
      </c>
    </row>
    <row r="44" spans="2:13" x14ac:dyDescent="0.25">
      <c r="B44" s="31">
        <v>27</v>
      </c>
      <c r="C44" s="32">
        <v>3.4</v>
      </c>
      <c r="D44" s="32" t="s">
        <v>3</v>
      </c>
      <c r="E44" s="37">
        <f t="shared" si="0"/>
        <v>63.529411764705884</v>
      </c>
      <c r="F44" s="12">
        <v>51.428571428571423</v>
      </c>
      <c r="I44" s="31">
        <v>27</v>
      </c>
      <c r="J44" s="32">
        <v>3.3</v>
      </c>
      <c r="K44" s="32" t="s">
        <v>6</v>
      </c>
      <c r="L44" s="35">
        <f t="shared" si="1"/>
        <v>51.490909090909099</v>
      </c>
      <c r="M44" s="63">
        <v>53.099999999999994</v>
      </c>
    </row>
    <row r="45" spans="2:13" x14ac:dyDescent="0.25">
      <c r="B45" s="31">
        <v>28</v>
      </c>
      <c r="C45" s="32">
        <v>3.8</v>
      </c>
      <c r="D45" s="32" t="s">
        <v>3</v>
      </c>
      <c r="E45" s="37">
        <f t="shared" si="0"/>
        <v>56.842105263157897</v>
      </c>
      <c r="F45" s="12">
        <v>52.682926829268297</v>
      </c>
      <c r="I45" s="31">
        <v>28</v>
      </c>
      <c r="J45" s="32">
        <v>2.7</v>
      </c>
      <c r="K45" s="32" t="s">
        <v>6</v>
      </c>
      <c r="L45" s="35">
        <f t="shared" si="1"/>
        <v>62.93333333333333</v>
      </c>
      <c r="M45" s="63">
        <v>53.099999999999994</v>
      </c>
    </row>
    <row r="46" spans="2:13" x14ac:dyDescent="0.25">
      <c r="B46" s="31">
        <v>29</v>
      </c>
      <c r="C46" s="32">
        <v>3.3</v>
      </c>
      <c r="D46" s="32" t="s">
        <v>5</v>
      </c>
      <c r="E46" s="37">
        <f t="shared" si="0"/>
        <v>65.454545454545467</v>
      </c>
      <c r="F46" s="12">
        <v>52.682926829268297</v>
      </c>
      <c r="I46" s="31">
        <v>29</v>
      </c>
      <c r="J46" s="32">
        <v>2.8</v>
      </c>
      <c r="K46" s="32" t="s">
        <v>6</v>
      </c>
      <c r="L46" s="35">
        <f t="shared" si="1"/>
        <v>60.68571428571429</v>
      </c>
      <c r="M46" s="63">
        <v>54.812903225806458</v>
      </c>
    </row>
    <row r="47" spans="2:13" x14ac:dyDescent="0.25">
      <c r="B47" s="31">
        <v>30</v>
      </c>
      <c r="C47" s="32">
        <v>3.6</v>
      </c>
      <c r="D47" s="32" t="s">
        <v>4</v>
      </c>
      <c r="E47" s="37">
        <f t="shared" si="0"/>
        <v>60</v>
      </c>
      <c r="F47" s="12">
        <v>52.682926829268297</v>
      </c>
      <c r="I47" s="31">
        <v>30</v>
      </c>
      <c r="J47" s="32">
        <v>3</v>
      </c>
      <c r="K47" s="32" t="s">
        <v>4</v>
      </c>
      <c r="L47" s="35">
        <f t="shared" si="1"/>
        <v>56.640000000000008</v>
      </c>
      <c r="M47" s="63">
        <v>54.812903225806458</v>
      </c>
    </row>
    <row r="48" spans="2:13" x14ac:dyDescent="0.25">
      <c r="B48" s="31">
        <v>31</v>
      </c>
      <c r="C48" s="32">
        <v>3.2</v>
      </c>
      <c r="D48" s="32" t="s">
        <v>3</v>
      </c>
      <c r="E48" s="37">
        <f t="shared" si="0"/>
        <v>67.5</v>
      </c>
      <c r="F48" s="12">
        <v>52.682926829268297</v>
      </c>
      <c r="I48" s="31">
        <v>31</v>
      </c>
      <c r="J48" s="32">
        <v>2.8</v>
      </c>
      <c r="K48" s="32" t="s">
        <v>4</v>
      </c>
      <c r="L48" s="35">
        <f t="shared" si="1"/>
        <v>60.68571428571429</v>
      </c>
      <c r="M48" s="63">
        <v>54.812903225806458</v>
      </c>
    </row>
    <row r="49" spans="2:13" x14ac:dyDescent="0.25">
      <c r="B49" s="31">
        <v>32</v>
      </c>
      <c r="C49" s="32">
        <v>5.5</v>
      </c>
      <c r="D49" s="32" t="s">
        <v>5</v>
      </c>
      <c r="E49" s="37">
        <f t="shared" si="0"/>
        <v>39.272727272727266</v>
      </c>
      <c r="F49" s="12">
        <v>52.682926829268297</v>
      </c>
      <c r="I49" s="31">
        <v>32</v>
      </c>
      <c r="J49" s="32">
        <v>2.5</v>
      </c>
      <c r="K49" s="32" t="s">
        <v>6</v>
      </c>
      <c r="L49" s="35">
        <f t="shared" si="1"/>
        <v>67.968000000000004</v>
      </c>
      <c r="M49" s="63">
        <v>54.812903225806458</v>
      </c>
    </row>
    <row r="50" spans="2:13" x14ac:dyDescent="0.25">
      <c r="B50" s="31">
        <v>33</v>
      </c>
      <c r="C50" s="32">
        <v>5.5</v>
      </c>
      <c r="D50" s="32" t="s">
        <v>4</v>
      </c>
      <c r="E50" s="37">
        <f t="shared" si="0"/>
        <v>39.272727272727266</v>
      </c>
      <c r="F50" s="12">
        <v>52.682926829268297</v>
      </c>
      <c r="I50" s="31">
        <v>33</v>
      </c>
      <c r="J50" s="32">
        <v>2.6</v>
      </c>
      <c r="K50" s="32" t="s">
        <v>6</v>
      </c>
      <c r="L50" s="35">
        <f t="shared" si="1"/>
        <v>65.353846153846149</v>
      </c>
      <c r="M50" s="63">
        <v>54.812903225806458</v>
      </c>
    </row>
    <row r="51" spans="2:13" x14ac:dyDescent="0.25">
      <c r="B51" s="31">
        <v>34</v>
      </c>
      <c r="C51" s="32">
        <v>4.5</v>
      </c>
      <c r="D51" s="32" t="s">
        <v>4</v>
      </c>
      <c r="E51" s="37">
        <f t="shared" si="0"/>
        <v>48</v>
      </c>
      <c r="F51" s="12">
        <v>52.682926829268297</v>
      </c>
      <c r="I51" s="31">
        <v>34</v>
      </c>
      <c r="J51" s="32">
        <v>3.1</v>
      </c>
      <c r="K51" s="32" t="s">
        <v>6</v>
      </c>
      <c r="L51" s="35">
        <f t="shared" si="1"/>
        <v>54.812903225806458</v>
      </c>
      <c r="M51" s="63">
        <v>54.812903225806458</v>
      </c>
    </row>
    <row r="52" spans="2:13" x14ac:dyDescent="0.25">
      <c r="B52" s="31">
        <v>35</v>
      </c>
      <c r="C52" s="32">
        <v>3.2</v>
      </c>
      <c r="D52" s="32" t="s">
        <v>3</v>
      </c>
      <c r="E52" s="37">
        <f t="shared" si="0"/>
        <v>67.5</v>
      </c>
      <c r="F52" s="12">
        <v>54</v>
      </c>
      <c r="I52" s="31">
        <v>35</v>
      </c>
      <c r="J52" s="32">
        <v>3.5</v>
      </c>
      <c r="K52" s="32" t="s">
        <v>5</v>
      </c>
      <c r="L52" s="35">
        <f t="shared" si="1"/>
        <v>48.548571428571428</v>
      </c>
      <c r="M52" s="63">
        <v>54.812903225806458</v>
      </c>
    </row>
    <row r="53" spans="2:13" x14ac:dyDescent="0.25">
      <c r="B53" s="31">
        <v>36</v>
      </c>
      <c r="C53" s="32">
        <v>3.9</v>
      </c>
      <c r="D53" s="32" t="s">
        <v>3</v>
      </c>
      <c r="E53" s="37">
        <f t="shared" si="0"/>
        <v>55.384615384615387</v>
      </c>
      <c r="F53" s="12">
        <v>55.384615384615387</v>
      </c>
      <c r="I53" s="31">
        <v>36</v>
      </c>
      <c r="J53" s="32">
        <v>3.3</v>
      </c>
      <c r="K53" s="32" t="s">
        <v>6</v>
      </c>
      <c r="L53" s="35">
        <f t="shared" si="1"/>
        <v>51.490909090909099</v>
      </c>
      <c r="M53" s="63">
        <v>54.812903225806458</v>
      </c>
    </row>
    <row r="54" spans="2:13" x14ac:dyDescent="0.25">
      <c r="B54" s="31">
        <v>37</v>
      </c>
      <c r="C54" s="32">
        <v>3.6</v>
      </c>
      <c r="D54" s="32" t="s">
        <v>4</v>
      </c>
      <c r="E54" s="37">
        <f t="shared" si="0"/>
        <v>60</v>
      </c>
      <c r="F54" s="12">
        <v>55.384615384615387</v>
      </c>
      <c r="I54" s="31">
        <v>37</v>
      </c>
      <c r="J54" s="32">
        <v>3.1</v>
      </c>
      <c r="K54" s="32" t="s">
        <v>6</v>
      </c>
      <c r="L54" s="35">
        <f t="shared" si="1"/>
        <v>54.812903225806458</v>
      </c>
      <c r="M54" s="63">
        <v>54.812903225806458</v>
      </c>
    </row>
    <row r="55" spans="2:13" x14ac:dyDescent="0.25">
      <c r="B55" s="31">
        <v>38</v>
      </c>
      <c r="C55" s="32">
        <v>4.0999999999999996</v>
      </c>
      <c r="D55" s="32" t="s">
        <v>3</v>
      </c>
      <c r="E55" s="37">
        <f t="shared" si="0"/>
        <v>52.682926829268297</v>
      </c>
      <c r="F55" s="12">
        <v>55.384615384615387</v>
      </c>
      <c r="I55" s="31">
        <v>38</v>
      </c>
      <c r="J55" s="32">
        <v>2.8</v>
      </c>
      <c r="K55" s="32" t="s">
        <v>6</v>
      </c>
      <c r="L55" s="35">
        <f t="shared" si="1"/>
        <v>60.68571428571429</v>
      </c>
      <c r="M55" s="63">
        <v>54.812903225806458</v>
      </c>
    </row>
    <row r="56" spans="2:13" x14ac:dyDescent="0.25">
      <c r="B56" s="31">
        <v>39</v>
      </c>
      <c r="C56" s="32">
        <v>3.7</v>
      </c>
      <c r="D56" s="32" t="s">
        <v>5</v>
      </c>
      <c r="E56" s="37">
        <f t="shared" si="0"/>
        <v>58.378378378378372</v>
      </c>
      <c r="F56" s="12">
        <v>55.384615384615387</v>
      </c>
      <c r="I56" s="31">
        <v>39</v>
      </c>
      <c r="J56" s="32">
        <v>2.7</v>
      </c>
      <c r="K56" s="32" t="s">
        <v>4</v>
      </c>
      <c r="L56" s="35">
        <f t="shared" si="1"/>
        <v>62.93333333333333</v>
      </c>
      <c r="M56" s="63">
        <v>56.640000000000008</v>
      </c>
    </row>
    <row r="57" spans="2:13" x14ac:dyDescent="0.25">
      <c r="B57" s="31">
        <v>40</v>
      </c>
      <c r="C57" s="32">
        <v>4.2</v>
      </c>
      <c r="D57" s="32" t="s">
        <v>3</v>
      </c>
      <c r="E57" s="37">
        <f t="shared" si="0"/>
        <v>51.428571428571423</v>
      </c>
      <c r="F57" s="12">
        <v>55.384615384615387</v>
      </c>
      <c r="I57" s="31">
        <v>40</v>
      </c>
      <c r="J57" s="32">
        <v>3</v>
      </c>
      <c r="K57" s="32" t="s">
        <v>4</v>
      </c>
      <c r="L57" s="35">
        <f t="shared" si="1"/>
        <v>56.640000000000008</v>
      </c>
      <c r="M57" s="63">
        <v>56.640000000000008</v>
      </c>
    </row>
    <row r="58" spans="2:13" x14ac:dyDescent="0.25">
      <c r="B58" s="31">
        <v>41</v>
      </c>
      <c r="C58" s="32">
        <v>3.8</v>
      </c>
      <c r="D58" s="32" t="s">
        <v>3</v>
      </c>
      <c r="E58" s="37">
        <f t="shared" si="0"/>
        <v>56.842105263157897</v>
      </c>
      <c r="F58" s="12">
        <v>55.384615384615387</v>
      </c>
      <c r="I58" s="31">
        <v>41</v>
      </c>
      <c r="J58" s="32">
        <v>2.8</v>
      </c>
      <c r="K58" s="32" t="s">
        <v>4</v>
      </c>
      <c r="L58" s="35">
        <f t="shared" si="1"/>
        <v>60.68571428571429</v>
      </c>
      <c r="M58" s="63">
        <v>56.640000000000008</v>
      </c>
    </row>
    <row r="59" spans="2:13" x14ac:dyDescent="0.25">
      <c r="B59" s="31">
        <v>42</v>
      </c>
      <c r="C59" s="32">
        <v>3.8</v>
      </c>
      <c r="D59" s="32" t="s">
        <v>3</v>
      </c>
      <c r="E59" s="37">
        <f t="shared" si="0"/>
        <v>56.842105263157897</v>
      </c>
      <c r="F59" s="12">
        <v>56.842105263157897</v>
      </c>
      <c r="I59" s="31">
        <v>42</v>
      </c>
      <c r="J59" s="32">
        <v>2.6</v>
      </c>
      <c r="K59" s="32" t="s">
        <v>6</v>
      </c>
      <c r="L59" s="35">
        <f t="shared" si="1"/>
        <v>65.353846153846149</v>
      </c>
      <c r="M59" s="63">
        <v>56.640000000000008</v>
      </c>
    </row>
    <row r="60" spans="2:13" x14ac:dyDescent="0.25">
      <c r="B60" s="31">
        <v>43</v>
      </c>
      <c r="C60" s="32">
        <v>3.9</v>
      </c>
      <c r="D60" s="32" t="s">
        <v>3</v>
      </c>
      <c r="E60" s="37">
        <f t="shared" si="0"/>
        <v>55.384615384615387</v>
      </c>
      <c r="F60" s="12">
        <v>56.842105263157897</v>
      </c>
      <c r="I60" s="31">
        <v>43</v>
      </c>
      <c r="J60" s="32">
        <v>2.9</v>
      </c>
      <c r="K60" s="32" t="s">
        <v>6</v>
      </c>
      <c r="L60" s="35">
        <f t="shared" si="1"/>
        <v>58.593103448275869</v>
      </c>
      <c r="M60" s="63">
        <v>56.640000000000008</v>
      </c>
    </row>
    <row r="61" spans="2:13" x14ac:dyDescent="0.25">
      <c r="B61" s="31">
        <v>44</v>
      </c>
      <c r="C61" s="32">
        <v>5.3</v>
      </c>
      <c r="D61" s="32" t="s">
        <v>3</v>
      </c>
      <c r="E61" s="37">
        <f t="shared" si="0"/>
        <v>40.754716981132077</v>
      </c>
      <c r="F61" s="12">
        <v>56.842105263157897</v>
      </c>
      <c r="I61" s="31">
        <v>44</v>
      </c>
      <c r="J61" s="32">
        <v>3.1</v>
      </c>
      <c r="K61" s="32" t="s">
        <v>6</v>
      </c>
      <c r="L61" s="35">
        <f t="shared" si="1"/>
        <v>54.812903225806458</v>
      </c>
      <c r="M61" s="63">
        <v>56.640000000000008</v>
      </c>
    </row>
    <row r="62" spans="2:13" x14ac:dyDescent="0.25">
      <c r="B62" s="31">
        <v>45</v>
      </c>
      <c r="C62" s="32">
        <v>3.2</v>
      </c>
      <c r="D62" s="32" t="s">
        <v>5</v>
      </c>
      <c r="E62" s="37">
        <f t="shared" si="0"/>
        <v>67.5</v>
      </c>
      <c r="F62" s="12">
        <v>56.842105263157897</v>
      </c>
      <c r="I62" s="31">
        <v>45</v>
      </c>
      <c r="J62" s="32">
        <v>3.7</v>
      </c>
      <c r="K62" s="32" t="s">
        <v>5</v>
      </c>
      <c r="L62" s="35">
        <f t="shared" si="1"/>
        <v>45.924324324324317</v>
      </c>
      <c r="M62" s="63">
        <v>56.640000000000008</v>
      </c>
    </row>
    <row r="63" spans="2:13" x14ac:dyDescent="0.25">
      <c r="B63" s="31">
        <v>46</v>
      </c>
      <c r="C63" s="32">
        <v>3.2</v>
      </c>
      <c r="D63" s="32" t="s">
        <v>3</v>
      </c>
      <c r="E63" s="37">
        <f t="shared" si="0"/>
        <v>67.5</v>
      </c>
      <c r="F63" s="12">
        <v>56.842105263157897</v>
      </c>
      <c r="I63" s="31">
        <v>46</v>
      </c>
      <c r="J63" s="32">
        <v>3.5</v>
      </c>
      <c r="K63" s="32" t="s">
        <v>5</v>
      </c>
      <c r="L63" s="35">
        <f t="shared" si="1"/>
        <v>48.548571428571428</v>
      </c>
      <c r="M63" s="63">
        <v>56.640000000000008</v>
      </c>
    </row>
    <row r="64" spans="2:13" x14ac:dyDescent="0.25">
      <c r="B64" s="31">
        <v>47</v>
      </c>
      <c r="C64" s="32">
        <v>3.4</v>
      </c>
      <c r="D64" s="32" t="s">
        <v>4</v>
      </c>
      <c r="E64" s="37">
        <f t="shared" si="0"/>
        <v>63.529411764705884</v>
      </c>
      <c r="F64" s="12">
        <v>58.378378378378372</v>
      </c>
      <c r="I64" s="31">
        <v>47</v>
      </c>
      <c r="J64" s="32">
        <v>3.3</v>
      </c>
      <c r="K64" s="32" t="s">
        <v>4</v>
      </c>
      <c r="L64" s="35">
        <f t="shared" si="1"/>
        <v>51.490909090909099</v>
      </c>
      <c r="M64" s="63">
        <v>58.593103448275869</v>
      </c>
    </row>
    <row r="65" spans="2:13" x14ac:dyDescent="0.25">
      <c r="B65" s="31">
        <v>48</v>
      </c>
      <c r="C65" s="32">
        <v>3.1</v>
      </c>
      <c r="D65" s="32" t="s">
        <v>3</v>
      </c>
      <c r="E65" s="37">
        <f t="shared" si="0"/>
        <v>69.677419354838719</v>
      </c>
      <c r="F65" s="12">
        <v>58.378378378378372</v>
      </c>
      <c r="I65" s="31">
        <v>48</v>
      </c>
      <c r="J65" s="32">
        <v>2.9</v>
      </c>
      <c r="K65" s="32" t="s">
        <v>4</v>
      </c>
      <c r="L65" s="35">
        <f t="shared" si="1"/>
        <v>58.593103448275869</v>
      </c>
      <c r="M65" s="63">
        <v>58.593103448275869</v>
      </c>
    </row>
    <row r="66" spans="2:13" x14ac:dyDescent="0.25">
      <c r="B66" s="31">
        <v>49</v>
      </c>
      <c r="C66" s="32">
        <v>3.4</v>
      </c>
      <c r="D66" s="32" t="s">
        <v>3</v>
      </c>
      <c r="E66" s="37">
        <f t="shared" si="0"/>
        <v>63.529411764705884</v>
      </c>
      <c r="F66" s="12">
        <v>58.378378378378372</v>
      </c>
      <c r="I66" s="31">
        <v>49</v>
      </c>
      <c r="J66" s="32">
        <v>3.8</v>
      </c>
      <c r="K66" s="32" t="s">
        <v>4</v>
      </c>
      <c r="L66" s="35">
        <f t="shared" si="1"/>
        <v>44.715789473684218</v>
      </c>
      <c r="M66" s="63">
        <v>58.593103448275869</v>
      </c>
    </row>
    <row r="67" spans="2:13" x14ac:dyDescent="0.25">
      <c r="B67" s="31">
        <v>50</v>
      </c>
      <c r="C67" s="32">
        <v>4.5</v>
      </c>
      <c r="D67" s="32" t="s">
        <v>4</v>
      </c>
      <c r="E67" s="37">
        <f t="shared" si="0"/>
        <v>48</v>
      </c>
      <c r="F67" s="12">
        <v>58.378378378378372</v>
      </c>
      <c r="I67" s="31">
        <v>50</v>
      </c>
      <c r="J67" s="32">
        <v>2.7</v>
      </c>
      <c r="K67" s="32" t="s">
        <v>5</v>
      </c>
      <c r="L67" s="35">
        <f t="shared" si="1"/>
        <v>62.93333333333333</v>
      </c>
      <c r="M67" s="63">
        <v>58.593103448275869</v>
      </c>
    </row>
    <row r="68" spans="2:13" x14ac:dyDescent="0.25">
      <c r="B68" s="31">
        <v>51</v>
      </c>
      <c r="C68" s="32">
        <v>3.7</v>
      </c>
      <c r="D68" s="32" t="s">
        <v>3</v>
      </c>
      <c r="E68" s="37">
        <f t="shared" si="0"/>
        <v>58.378378378378372</v>
      </c>
      <c r="F68" s="12">
        <v>58.378378378378372</v>
      </c>
      <c r="I68" s="31">
        <v>51</v>
      </c>
      <c r="J68" s="32">
        <v>3</v>
      </c>
      <c r="K68" s="32" t="s">
        <v>6</v>
      </c>
      <c r="L68" s="35">
        <f t="shared" si="1"/>
        <v>56.640000000000008</v>
      </c>
      <c r="M68" s="63">
        <v>58.593103448275869</v>
      </c>
    </row>
    <row r="69" spans="2:13" x14ac:dyDescent="0.25">
      <c r="B69" s="31">
        <v>52</v>
      </c>
      <c r="C69" s="32">
        <v>4.8</v>
      </c>
      <c r="D69" s="32" t="s">
        <v>4</v>
      </c>
      <c r="E69" s="37">
        <f t="shared" si="0"/>
        <v>45</v>
      </c>
      <c r="F69" s="12">
        <v>60</v>
      </c>
      <c r="I69" s="31">
        <v>52</v>
      </c>
      <c r="J69" s="32">
        <v>3.7</v>
      </c>
      <c r="K69" s="32" t="s">
        <v>6</v>
      </c>
      <c r="L69" s="35">
        <f t="shared" si="1"/>
        <v>45.924324324324317</v>
      </c>
      <c r="M69" s="63">
        <v>58.593103448275869</v>
      </c>
    </row>
    <row r="70" spans="2:13" x14ac:dyDescent="0.25">
      <c r="B70" s="31">
        <v>53</v>
      </c>
      <c r="C70" s="32">
        <v>4.0999999999999996</v>
      </c>
      <c r="D70" s="32" t="s">
        <v>4</v>
      </c>
      <c r="E70" s="37">
        <f t="shared" si="0"/>
        <v>52.682926829268297</v>
      </c>
      <c r="F70" s="12">
        <v>60</v>
      </c>
      <c r="I70" s="31">
        <v>53</v>
      </c>
      <c r="J70" s="32">
        <v>3.6</v>
      </c>
      <c r="K70" s="32" t="s">
        <v>6</v>
      </c>
      <c r="L70" s="35">
        <f t="shared" si="1"/>
        <v>47.2</v>
      </c>
      <c r="M70" s="63">
        <v>58.593103448275869</v>
      </c>
    </row>
    <row r="71" spans="2:13" x14ac:dyDescent="0.25">
      <c r="B71" s="31">
        <v>54</v>
      </c>
      <c r="C71" s="32">
        <v>4.2</v>
      </c>
      <c r="D71" s="32" t="s">
        <v>3</v>
      </c>
      <c r="E71" s="37">
        <f t="shared" si="0"/>
        <v>51.428571428571423</v>
      </c>
      <c r="F71" s="12">
        <v>60</v>
      </c>
      <c r="I71" s="31">
        <v>54</v>
      </c>
      <c r="J71" s="32">
        <v>3.1</v>
      </c>
      <c r="K71" s="32" t="s">
        <v>6</v>
      </c>
      <c r="L71" s="35">
        <f t="shared" si="1"/>
        <v>54.812903225806458</v>
      </c>
      <c r="M71" s="63">
        <v>58.593103448275869</v>
      </c>
    </row>
    <row r="72" spans="2:13" x14ac:dyDescent="0.25">
      <c r="B72" s="31">
        <v>55</v>
      </c>
      <c r="C72" s="32">
        <v>3.4</v>
      </c>
      <c r="D72" s="32" t="s">
        <v>3</v>
      </c>
      <c r="E72" s="37">
        <f t="shared" si="0"/>
        <v>63.529411764705884</v>
      </c>
      <c r="F72" s="12">
        <v>60</v>
      </c>
      <c r="I72" s="31">
        <v>55</v>
      </c>
      <c r="J72" s="32">
        <v>2.7</v>
      </c>
      <c r="K72" s="32" t="s">
        <v>4</v>
      </c>
      <c r="L72" s="35">
        <f t="shared" si="1"/>
        <v>62.93333333333333</v>
      </c>
      <c r="M72" s="63">
        <v>60.68571428571429</v>
      </c>
    </row>
    <row r="73" spans="2:13" x14ac:dyDescent="0.25">
      <c r="B73" s="31">
        <v>56</v>
      </c>
      <c r="C73" s="32">
        <v>3.2</v>
      </c>
      <c r="D73" s="32" t="s">
        <v>3</v>
      </c>
      <c r="E73" s="37">
        <f t="shared" si="0"/>
        <v>67.5</v>
      </c>
      <c r="F73" s="12">
        <v>60</v>
      </c>
      <c r="I73" s="31">
        <v>56</v>
      </c>
      <c r="J73" s="32">
        <v>2.6</v>
      </c>
      <c r="K73" s="32" t="s">
        <v>6</v>
      </c>
      <c r="L73" s="35">
        <f t="shared" si="1"/>
        <v>65.353846153846149</v>
      </c>
      <c r="M73" s="63">
        <v>60.68571428571429</v>
      </c>
    </row>
    <row r="74" spans="2:13" x14ac:dyDescent="0.25">
      <c r="B74" s="31">
        <v>57</v>
      </c>
      <c r="C74" s="32">
        <v>3.1</v>
      </c>
      <c r="D74" s="32" t="s">
        <v>3</v>
      </c>
      <c r="E74" s="37">
        <f t="shared" si="0"/>
        <v>69.677419354838719</v>
      </c>
      <c r="F74" s="12">
        <v>60</v>
      </c>
      <c r="I74" s="31">
        <v>57</v>
      </c>
      <c r="J74" s="32">
        <v>2.8</v>
      </c>
      <c r="K74" s="32" t="s">
        <v>4</v>
      </c>
      <c r="L74" s="35">
        <f t="shared" si="1"/>
        <v>60.68571428571429</v>
      </c>
      <c r="M74" s="63">
        <v>60.68571428571429</v>
      </c>
    </row>
    <row r="75" spans="2:13" x14ac:dyDescent="0.25">
      <c r="B75" s="31">
        <v>58</v>
      </c>
      <c r="C75" s="32">
        <v>3.4</v>
      </c>
      <c r="D75" s="32" t="s">
        <v>5</v>
      </c>
      <c r="E75" s="37">
        <f t="shared" si="0"/>
        <v>63.529411764705884</v>
      </c>
      <c r="F75" s="12">
        <v>60</v>
      </c>
      <c r="I75" s="31">
        <v>58</v>
      </c>
      <c r="J75" s="32">
        <v>3.2</v>
      </c>
      <c r="K75" s="32" t="s">
        <v>6</v>
      </c>
      <c r="L75" s="35">
        <f t="shared" si="1"/>
        <v>53.099999999999994</v>
      </c>
      <c r="M75" s="63">
        <v>60.68571428571429</v>
      </c>
    </row>
    <row r="76" spans="2:13" x14ac:dyDescent="0.25">
      <c r="B76" s="31">
        <v>59</v>
      </c>
      <c r="C76" s="32">
        <v>3.6</v>
      </c>
      <c r="D76" s="32" t="s">
        <v>3</v>
      </c>
      <c r="E76" s="37">
        <f t="shared" si="0"/>
        <v>60</v>
      </c>
      <c r="F76" s="12">
        <v>60</v>
      </c>
      <c r="I76" s="31">
        <v>59</v>
      </c>
      <c r="J76" s="32">
        <v>2.6</v>
      </c>
      <c r="K76" s="32" t="s">
        <v>6</v>
      </c>
      <c r="L76" s="35">
        <f t="shared" si="1"/>
        <v>65.353846153846149</v>
      </c>
      <c r="M76" s="63">
        <v>60.68571428571429</v>
      </c>
    </row>
    <row r="77" spans="2:13" x14ac:dyDescent="0.25">
      <c r="B77" s="31">
        <v>60</v>
      </c>
      <c r="C77" s="32">
        <v>3.2</v>
      </c>
      <c r="D77" s="32" t="s">
        <v>3</v>
      </c>
      <c r="E77" s="37">
        <f t="shared" si="0"/>
        <v>67.5</v>
      </c>
      <c r="F77" s="12">
        <v>61.714285714285715</v>
      </c>
      <c r="I77" s="31">
        <v>60</v>
      </c>
      <c r="J77" s="32">
        <v>2.5</v>
      </c>
      <c r="K77" s="32" t="s">
        <v>4</v>
      </c>
      <c r="L77" s="35">
        <f t="shared" si="1"/>
        <v>67.968000000000004</v>
      </c>
      <c r="M77" s="63">
        <v>60.68571428571429</v>
      </c>
    </row>
    <row r="78" spans="2:13" x14ac:dyDescent="0.25">
      <c r="B78" s="31">
        <v>61</v>
      </c>
      <c r="C78" s="32">
        <v>3.6</v>
      </c>
      <c r="D78" s="32" t="s">
        <v>3</v>
      </c>
      <c r="E78" s="37">
        <f t="shared" si="0"/>
        <v>60</v>
      </c>
      <c r="F78" s="12">
        <v>61.714285714285715</v>
      </c>
      <c r="I78" s="31">
        <v>61</v>
      </c>
      <c r="J78" s="32">
        <v>2.6</v>
      </c>
      <c r="K78" s="32" t="s">
        <v>6</v>
      </c>
      <c r="L78" s="35">
        <f t="shared" si="1"/>
        <v>65.353846153846149</v>
      </c>
      <c r="M78" s="63">
        <v>60.68571428571429</v>
      </c>
    </row>
    <row r="79" spans="2:13" x14ac:dyDescent="0.25">
      <c r="B79" s="31">
        <v>62</v>
      </c>
      <c r="C79" s="32">
        <v>4.5999999999999996</v>
      </c>
      <c r="D79" s="32" t="s">
        <v>3</v>
      </c>
      <c r="E79" s="37">
        <f t="shared" si="0"/>
        <v>46.956521739130437</v>
      </c>
      <c r="F79" s="12">
        <v>61.714285714285715</v>
      </c>
      <c r="I79" s="31">
        <v>62</v>
      </c>
      <c r="J79" s="32">
        <v>3.5</v>
      </c>
      <c r="K79" s="32" t="s">
        <v>5</v>
      </c>
      <c r="L79" s="35">
        <f t="shared" si="1"/>
        <v>48.548571428571428</v>
      </c>
      <c r="M79" s="63">
        <v>60.68571428571429</v>
      </c>
    </row>
    <row r="80" spans="2:13" x14ac:dyDescent="0.25">
      <c r="B80" s="31">
        <v>63</v>
      </c>
      <c r="C80" s="32">
        <v>3.6</v>
      </c>
      <c r="D80" s="32" t="s">
        <v>4</v>
      </c>
      <c r="E80" s="37">
        <f t="shared" si="0"/>
        <v>60</v>
      </c>
      <c r="F80" s="12">
        <v>63.529411764705884</v>
      </c>
      <c r="I80" s="31">
        <v>63</v>
      </c>
      <c r="J80" s="32">
        <v>3.4</v>
      </c>
      <c r="K80" s="32" t="s">
        <v>6</v>
      </c>
      <c r="L80" s="35">
        <f t="shared" si="1"/>
        <v>49.976470588235294</v>
      </c>
      <c r="M80" s="63">
        <v>60.68571428571429</v>
      </c>
    </row>
    <row r="81" spans="2:13" x14ac:dyDescent="0.25">
      <c r="B81" s="31">
        <v>64</v>
      </c>
      <c r="C81" s="32">
        <v>5.5</v>
      </c>
      <c r="D81" s="32" t="s">
        <v>5</v>
      </c>
      <c r="E81" s="37">
        <f t="shared" si="0"/>
        <v>39.272727272727266</v>
      </c>
      <c r="F81" s="12">
        <v>63.529411764705884</v>
      </c>
      <c r="I81" s="31">
        <v>64</v>
      </c>
      <c r="J81" s="32">
        <v>2.8</v>
      </c>
      <c r="K81" s="32" t="s">
        <v>4</v>
      </c>
      <c r="L81" s="35">
        <f t="shared" si="1"/>
        <v>60.68571428571429</v>
      </c>
      <c r="M81" s="63">
        <v>60.68571428571429</v>
      </c>
    </row>
    <row r="82" spans="2:13" x14ac:dyDescent="0.25">
      <c r="B82" s="31">
        <v>65</v>
      </c>
      <c r="C82" s="32">
        <v>5.8</v>
      </c>
      <c r="D82" s="32" t="s">
        <v>5</v>
      </c>
      <c r="E82" s="37">
        <f t="shared" si="0"/>
        <v>37.241379310344826</v>
      </c>
      <c r="F82" s="12">
        <v>63.529411764705884</v>
      </c>
      <c r="I82" s="31">
        <v>65</v>
      </c>
      <c r="J82" s="32">
        <v>2.9</v>
      </c>
      <c r="K82" s="32" t="s">
        <v>6</v>
      </c>
      <c r="L82" s="35">
        <f t="shared" si="1"/>
        <v>58.593103448275869</v>
      </c>
      <c r="M82" s="63">
        <v>62.93333333333333</v>
      </c>
    </row>
    <row r="83" spans="2:13" x14ac:dyDescent="0.25">
      <c r="B83" s="31">
        <v>66</v>
      </c>
      <c r="C83" s="32">
        <v>4.3</v>
      </c>
      <c r="D83" s="32" t="s">
        <v>4</v>
      </c>
      <c r="E83" s="37">
        <f t="shared" ref="E83:E97" si="2">(($C$10/C83)/1000)*3600</f>
        <v>50.232558139534881</v>
      </c>
      <c r="F83" s="12">
        <v>63.529411764705884</v>
      </c>
      <c r="I83" s="31">
        <v>66</v>
      </c>
      <c r="J83" s="32">
        <v>3.3</v>
      </c>
      <c r="K83" s="32" t="s">
        <v>6</v>
      </c>
      <c r="L83" s="35">
        <f t="shared" ref="L83:L97" si="3">(($K$10/J83)/1000)*3600</f>
        <v>51.490909090909099</v>
      </c>
      <c r="M83" s="63">
        <v>62.93333333333333</v>
      </c>
    </row>
    <row r="84" spans="2:13" x14ac:dyDescent="0.25">
      <c r="B84" s="31">
        <v>67</v>
      </c>
      <c r="C84" s="32">
        <v>3.8</v>
      </c>
      <c r="D84" s="32" t="s">
        <v>3</v>
      </c>
      <c r="E84" s="37">
        <f t="shared" si="2"/>
        <v>56.842105263157897</v>
      </c>
      <c r="F84" s="12">
        <v>63.529411764705884</v>
      </c>
      <c r="I84" s="31">
        <v>67</v>
      </c>
      <c r="J84" s="32">
        <v>2.6</v>
      </c>
      <c r="K84" s="32" t="s">
        <v>6</v>
      </c>
      <c r="L84" s="35">
        <f t="shared" si="3"/>
        <v>65.353846153846149</v>
      </c>
      <c r="M84" s="63">
        <v>62.93333333333333</v>
      </c>
    </row>
    <row r="85" spans="2:13" x14ac:dyDescent="0.25">
      <c r="B85" s="31">
        <v>68</v>
      </c>
      <c r="C85" s="32">
        <v>3.9</v>
      </c>
      <c r="D85" s="32" t="s">
        <v>3</v>
      </c>
      <c r="E85" s="37">
        <f t="shared" si="2"/>
        <v>55.384615384615387</v>
      </c>
      <c r="F85" s="12">
        <v>63.529411764705884</v>
      </c>
      <c r="I85" s="31">
        <v>68</v>
      </c>
      <c r="J85" s="32">
        <v>3.8</v>
      </c>
      <c r="K85" s="32" t="s">
        <v>6</v>
      </c>
      <c r="L85" s="35">
        <f t="shared" si="3"/>
        <v>44.715789473684218</v>
      </c>
      <c r="M85" s="63">
        <v>62.93333333333333</v>
      </c>
    </row>
    <row r="86" spans="2:13" x14ac:dyDescent="0.25">
      <c r="B86" s="31">
        <v>69</v>
      </c>
      <c r="C86" s="32">
        <v>4.0999999999999996</v>
      </c>
      <c r="D86" s="32" t="s">
        <v>3</v>
      </c>
      <c r="E86" s="37">
        <f t="shared" si="2"/>
        <v>52.682926829268297</v>
      </c>
      <c r="F86" s="12">
        <v>63.529411764705884</v>
      </c>
      <c r="I86" s="31">
        <v>69</v>
      </c>
      <c r="J86" s="32">
        <v>3</v>
      </c>
      <c r="K86" s="32" t="s">
        <v>6</v>
      </c>
      <c r="L86" s="35">
        <f t="shared" si="3"/>
        <v>56.640000000000008</v>
      </c>
      <c r="M86" s="63">
        <v>62.93333333333333</v>
      </c>
    </row>
    <row r="87" spans="2:13" x14ac:dyDescent="0.25">
      <c r="B87" s="31">
        <v>70</v>
      </c>
      <c r="C87" s="32">
        <v>5.0999999999999996</v>
      </c>
      <c r="D87" s="32" t="s">
        <v>5</v>
      </c>
      <c r="E87" s="37">
        <f t="shared" si="2"/>
        <v>42.352941176470594</v>
      </c>
      <c r="F87" s="12">
        <v>65.454545454545467</v>
      </c>
      <c r="I87" s="31">
        <v>70</v>
      </c>
      <c r="J87" s="32">
        <v>2.6</v>
      </c>
      <c r="K87" s="32" t="s">
        <v>6</v>
      </c>
      <c r="L87" s="35">
        <f t="shared" si="3"/>
        <v>65.353846153846149</v>
      </c>
      <c r="M87" s="63">
        <v>62.93333333333333</v>
      </c>
    </row>
    <row r="88" spans="2:13" x14ac:dyDescent="0.25">
      <c r="B88" s="31">
        <v>71</v>
      </c>
      <c r="C88" s="32">
        <v>4.2</v>
      </c>
      <c r="D88" s="32" t="s">
        <v>5</v>
      </c>
      <c r="E88" s="37">
        <f t="shared" si="2"/>
        <v>51.428571428571423</v>
      </c>
      <c r="F88" s="12">
        <v>67.5</v>
      </c>
      <c r="I88" s="31">
        <v>71</v>
      </c>
      <c r="J88" s="32">
        <v>3.2</v>
      </c>
      <c r="K88" s="32" t="s">
        <v>4</v>
      </c>
      <c r="L88" s="35">
        <f t="shared" si="3"/>
        <v>53.099999999999994</v>
      </c>
      <c r="M88" s="63">
        <v>65.353846153846149</v>
      </c>
    </row>
    <row r="89" spans="2:13" x14ac:dyDescent="0.25">
      <c r="B89" s="31">
        <v>72</v>
      </c>
      <c r="C89" s="32">
        <v>4.5999999999999996</v>
      </c>
      <c r="D89" s="32" t="s">
        <v>4</v>
      </c>
      <c r="E89" s="37">
        <f t="shared" si="2"/>
        <v>46.956521739130437</v>
      </c>
      <c r="F89" s="12">
        <v>67.5</v>
      </c>
      <c r="I89" s="31">
        <v>72</v>
      </c>
      <c r="J89" s="32">
        <v>3.2</v>
      </c>
      <c r="K89" s="32" t="s">
        <v>4</v>
      </c>
      <c r="L89" s="35">
        <f t="shared" si="3"/>
        <v>53.099999999999994</v>
      </c>
      <c r="M89" s="63">
        <v>65.353846153846149</v>
      </c>
    </row>
    <row r="90" spans="2:13" x14ac:dyDescent="0.25">
      <c r="B90" s="31">
        <v>73</v>
      </c>
      <c r="C90" s="32">
        <v>3.8</v>
      </c>
      <c r="D90" s="32" t="s">
        <v>4</v>
      </c>
      <c r="E90" s="37">
        <f t="shared" si="2"/>
        <v>56.842105263157897</v>
      </c>
      <c r="F90" s="12">
        <v>67.5</v>
      </c>
      <c r="I90" s="31">
        <v>73</v>
      </c>
      <c r="J90" s="32">
        <v>3.1</v>
      </c>
      <c r="K90" s="32" t="s">
        <v>4</v>
      </c>
      <c r="L90" s="35">
        <f t="shared" si="3"/>
        <v>54.812903225806458</v>
      </c>
      <c r="M90" s="63">
        <v>65.353846153846149</v>
      </c>
    </row>
    <row r="91" spans="2:13" x14ac:dyDescent="0.25">
      <c r="B91" s="31">
        <v>74</v>
      </c>
      <c r="C91" s="32">
        <v>3.6</v>
      </c>
      <c r="D91" s="32" t="s">
        <v>3</v>
      </c>
      <c r="E91" s="37">
        <f t="shared" si="2"/>
        <v>60</v>
      </c>
      <c r="F91" s="12">
        <v>67.5</v>
      </c>
      <c r="I91" s="31">
        <v>74</v>
      </c>
      <c r="J91" s="32">
        <v>3.3</v>
      </c>
      <c r="K91" s="32" t="s">
        <v>4</v>
      </c>
      <c r="L91" s="35">
        <f t="shared" si="3"/>
        <v>51.490909090909099</v>
      </c>
      <c r="M91" s="63">
        <v>65.353846153846149</v>
      </c>
    </row>
    <row r="92" spans="2:13" x14ac:dyDescent="0.25">
      <c r="B92" s="31">
        <v>75</v>
      </c>
      <c r="C92" s="32">
        <v>3.2</v>
      </c>
      <c r="D92" s="32" t="s">
        <v>3</v>
      </c>
      <c r="E92" s="37">
        <f t="shared" si="2"/>
        <v>67.5</v>
      </c>
      <c r="F92" s="12">
        <v>67.5</v>
      </c>
      <c r="I92" s="31">
        <v>75</v>
      </c>
      <c r="J92" s="32">
        <v>3.8</v>
      </c>
      <c r="K92" s="32" t="s">
        <v>4</v>
      </c>
      <c r="L92" s="35">
        <f t="shared" si="3"/>
        <v>44.715789473684218</v>
      </c>
      <c r="M92" s="63">
        <v>65.353846153846149</v>
      </c>
    </row>
    <row r="93" spans="2:13" x14ac:dyDescent="0.25">
      <c r="B93" s="31">
        <v>76</v>
      </c>
      <c r="C93" s="32">
        <v>4.0999999999999996</v>
      </c>
      <c r="D93" s="32" t="s">
        <v>3</v>
      </c>
      <c r="E93" s="37">
        <f t="shared" si="2"/>
        <v>52.682926829268297</v>
      </c>
      <c r="F93" s="12">
        <v>67.5</v>
      </c>
      <c r="I93" s="31">
        <v>76</v>
      </c>
      <c r="J93" s="32">
        <v>2.9</v>
      </c>
      <c r="K93" s="32" t="s">
        <v>4</v>
      </c>
      <c r="L93" s="35">
        <f t="shared" si="3"/>
        <v>58.593103448275869</v>
      </c>
      <c r="M93" s="63">
        <v>65.353846153846149</v>
      </c>
    </row>
    <row r="94" spans="2:13" x14ac:dyDescent="0.25">
      <c r="B94" s="31">
        <v>77</v>
      </c>
      <c r="C94" s="32">
        <v>4.5999999999999996</v>
      </c>
      <c r="D94" s="32" t="s">
        <v>5</v>
      </c>
      <c r="E94" s="37">
        <f t="shared" si="2"/>
        <v>46.956521739130437</v>
      </c>
      <c r="F94" s="12">
        <v>67.5</v>
      </c>
      <c r="I94" s="31">
        <v>77</v>
      </c>
      <c r="J94" s="32">
        <v>2.8</v>
      </c>
      <c r="K94" s="32" t="s">
        <v>4</v>
      </c>
      <c r="L94" s="35">
        <f t="shared" si="3"/>
        <v>60.68571428571429</v>
      </c>
      <c r="M94" s="63">
        <v>65.353846153846149</v>
      </c>
    </row>
    <row r="95" spans="2:13" x14ac:dyDescent="0.25">
      <c r="B95" s="31">
        <v>78</v>
      </c>
      <c r="C95" s="32">
        <v>3.9</v>
      </c>
      <c r="D95" s="32" t="s">
        <v>5</v>
      </c>
      <c r="E95" s="37">
        <f t="shared" si="2"/>
        <v>55.384615384615387</v>
      </c>
      <c r="F95" s="12">
        <v>69.677419354838719</v>
      </c>
      <c r="I95" s="31">
        <v>78</v>
      </c>
      <c r="J95" s="32">
        <v>2.9</v>
      </c>
      <c r="K95" s="32" t="s">
        <v>5</v>
      </c>
      <c r="L95" s="35">
        <f t="shared" si="3"/>
        <v>58.593103448275869</v>
      </c>
      <c r="M95" s="63">
        <v>67.968000000000004</v>
      </c>
    </row>
    <row r="96" spans="2:13" x14ac:dyDescent="0.25">
      <c r="B96" s="31">
        <v>79</v>
      </c>
      <c r="C96" s="32">
        <v>4.2</v>
      </c>
      <c r="D96" s="32" t="s">
        <v>5</v>
      </c>
      <c r="E96" s="37">
        <f t="shared" si="2"/>
        <v>51.428571428571423</v>
      </c>
      <c r="F96" s="12">
        <v>69.677419354838719</v>
      </c>
      <c r="I96" s="31">
        <v>79</v>
      </c>
      <c r="J96" s="32">
        <v>3.5</v>
      </c>
      <c r="K96" s="32" t="s">
        <v>6</v>
      </c>
      <c r="L96" s="35">
        <f t="shared" si="3"/>
        <v>48.548571428571428</v>
      </c>
      <c r="M96" s="63">
        <v>67.968000000000004</v>
      </c>
    </row>
    <row r="97" spans="2:14" ht="15.75" thickBot="1" x14ac:dyDescent="0.3">
      <c r="B97" s="33">
        <v>80</v>
      </c>
      <c r="C97" s="34">
        <v>4.2</v>
      </c>
      <c r="D97" s="34" t="s">
        <v>5</v>
      </c>
      <c r="E97" s="39">
        <f t="shared" si="2"/>
        <v>51.428571428571423</v>
      </c>
      <c r="F97" s="13">
        <v>72</v>
      </c>
      <c r="I97" s="33">
        <v>80</v>
      </c>
      <c r="J97" s="34">
        <v>3.2</v>
      </c>
      <c r="K97" s="34" t="s">
        <v>6</v>
      </c>
      <c r="L97" s="36">
        <f t="shared" si="3"/>
        <v>53.099999999999994</v>
      </c>
      <c r="M97" s="64">
        <v>67.968000000000004</v>
      </c>
    </row>
    <row r="98" spans="2:14" ht="15.75" thickBot="1" x14ac:dyDescent="0.3"/>
    <row r="99" spans="2:14" ht="15" customHeight="1" x14ac:dyDescent="0.25">
      <c r="B99" s="104" t="s">
        <v>33</v>
      </c>
      <c r="C99" s="105"/>
      <c r="D99" s="106" t="s">
        <v>36</v>
      </c>
      <c r="E99" s="106" t="s">
        <v>39</v>
      </c>
      <c r="F99" s="106"/>
      <c r="G99" s="110"/>
      <c r="I99" s="104" t="s">
        <v>33</v>
      </c>
      <c r="J99" s="105"/>
      <c r="K99" s="108" t="s">
        <v>36</v>
      </c>
      <c r="L99" s="106" t="s">
        <v>39</v>
      </c>
      <c r="M99" s="106"/>
      <c r="N99" s="110"/>
    </row>
    <row r="100" spans="2:14" x14ac:dyDescent="0.25">
      <c r="B100" s="65" t="s">
        <v>34</v>
      </c>
      <c r="C100" s="58" t="s">
        <v>35</v>
      </c>
      <c r="D100" s="107"/>
      <c r="E100" s="58" t="s">
        <v>37</v>
      </c>
      <c r="F100" s="58" t="s">
        <v>68</v>
      </c>
      <c r="G100" s="66" t="s">
        <v>38</v>
      </c>
      <c r="I100" s="65" t="s">
        <v>34</v>
      </c>
      <c r="J100" s="58" t="s">
        <v>35</v>
      </c>
      <c r="K100" s="109"/>
      <c r="L100" s="58" t="s">
        <v>37</v>
      </c>
      <c r="M100" s="58" t="s">
        <v>68</v>
      </c>
      <c r="N100" s="66" t="s">
        <v>38</v>
      </c>
    </row>
    <row r="101" spans="2:14" x14ac:dyDescent="0.25">
      <c r="B101" s="67">
        <v>37</v>
      </c>
      <c r="C101" s="54">
        <v>40.9</v>
      </c>
      <c r="D101" s="32">
        <f>(B101+C101)/2</f>
        <v>38.950000000000003</v>
      </c>
      <c r="E101" s="53">
        <f>COUNTIFS($E$18:$E$97,"&gt;=37",$E$18:$E$97,"&lt;41")</f>
        <v>5</v>
      </c>
      <c r="F101" s="32">
        <f>E101/$E$110*100</f>
        <v>6.25</v>
      </c>
      <c r="G101" s="68">
        <f>F101</f>
        <v>6.25</v>
      </c>
      <c r="I101" s="67">
        <v>44</v>
      </c>
      <c r="J101" s="54">
        <f>I101+3</f>
        <v>47</v>
      </c>
      <c r="K101" s="32">
        <f>(I101+J101)/2</f>
        <v>45.5</v>
      </c>
      <c r="L101" s="53">
        <f>COUNTIFS($L$18:$L$97,"&gt;=44",$L$18:$L$97,"&lt;47")</f>
        <v>6</v>
      </c>
      <c r="M101" s="32">
        <f>L101/$E$110*100</f>
        <v>7.5</v>
      </c>
      <c r="N101" s="68">
        <f>M101</f>
        <v>7.5</v>
      </c>
    </row>
    <row r="102" spans="2:14" x14ac:dyDescent="0.25">
      <c r="B102" s="67">
        <v>41</v>
      </c>
      <c r="C102" s="54">
        <f>C101+4</f>
        <v>44.9</v>
      </c>
      <c r="D102" s="32">
        <f t="shared" ref="D102:D109" si="4">(B102+C102)/2</f>
        <v>42.95</v>
      </c>
      <c r="E102" s="53">
        <f>COUNTIFS($E$18:$E$97,"&gt;=41",$E$18:$E$97,"&lt;45")</f>
        <v>1</v>
      </c>
      <c r="F102" s="32">
        <f>E102/$E$110*100</f>
        <v>1.25</v>
      </c>
      <c r="G102" s="68">
        <f>G101+F102</f>
        <v>7.5</v>
      </c>
      <c r="I102" s="67">
        <f>I101+3</f>
        <v>47</v>
      </c>
      <c r="J102" s="54">
        <f>J101+3</f>
        <v>50</v>
      </c>
      <c r="K102" s="32">
        <f t="shared" ref="K102:K108" si="5">(I102+J102)/2</f>
        <v>48.5</v>
      </c>
      <c r="L102" s="53">
        <f>COUNTIFS($L$18:$L$97,"&gt;=47",$L$18:$L$97,"&lt;50")</f>
        <v>7</v>
      </c>
      <c r="M102" s="32">
        <f>L102/$E$110*100</f>
        <v>8.75</v>
      </c>
      <c r="N102" s="68">
        <f>N101+M102</f>
        <v>16.25</v>
      </c>
    </row>
    <row r="103" spans="2:14" x14ac:dyDescent="0.25">
      <c r="B103" s="67">
        <f t="shared" ref="B103:B107" si="6">B102+4</f>
        <v>45</v>
      </c>
      <c r="C103" s="54">
        <f t="shared" ref="C103:C107" si="7">C102+4</f>
        <v>48.9</v>
      </c>
      <c r="D103" s="32">
        <f t="shared" si="4"/>
        <v>46.95</v>
      </c>
      <c r="E103" s="53">
        <f>COUNTIFS($E$18:$E$97,"&gt;=45",$E$18:$E$97,"&lt;49")</f>
        <v>7</v>
      </c>
      <c r="F103" s="32">
        <f>E103/$E$110*100</f>
        <v>8.75</v>
      </c>
      <c r="G103" s="68">
        <f t="shared" ref="G103:G109" si="8">G102+F103</f>
        <v>16.25</v>
      </c>
      <c r="I103" s="67">
        <f t="shared" ref="I103:I107" si="9">I102+3</f>
        <v>50</v>
      </c>
      <c r="J103" s="54">
        <f t="shared" ref="J103:J107" si="10">J102+3</f>
        <v>53</v>
      </c>
      <c r="K103" s="32">
        <f t="shared" si="5"/>
        <v>51.5</v>
      </c>
      <c r="L103" s="53">
        <f>COUNTIFS($L$18:$L$97,"&gt;=50",$L$18:$L$97,"&lt;53")</f>
        <v>6</v>
      </c>
      <c r="M103" s="32">
        <f>L103/$E$110*100</f>
        <v>7.5</v>
      </c>
      <c r="N103" s="68">
        <f t="shared" ref="N103:N108" si="11">N102+M103</f>
        <v>23.75</v>
      </c>
    </row>
    <row r="104" spans="2:14" x14ac:dyDescent="0.25">
      <c r="B104" s="67">
        <f t="shared" si="6"/>
        <v>49</v>
      </c>
      <c r="C104" s="54">
        <f t="shared" si="7"/>
        <v>52.9</v>
      </c>
      <c r="D104" s="32">
        <f t="shared" si="4"/>
        <v>50.95</v>
      </c>
      <c r="E104" s="53">
        <f>COUNTIFS($E$18:$E$97,"&gt;=49",$E$18:$E$97,"&lt;53")</f>
        <v>21</v>
      </c>
      <c r="F104" s="32">
        <f t="shared" ref="F104:F108" si="12">E104/$E$110*100</f>
        <v>26.25</v>
      </c>
      <c r="G104" s="68">
        <f t="shared" si="8"/>
        <v>42.5</v>
      </c>
      <c r="I104" s="67">
        <f t="shared" si="9"/>
        <v>53</v>
      </c>
      <c r="J104" s="54">
        <f t="shared" si="10"/>
        <v>56</v>
      </c>
      <c r="K104" s="32">
        <f t="shared" si="5"/>
        <v>54.5</v>
      </c>
      <c r="L104" s="53">
        <f>COUNTIFS($L$18:$L$97,"&gt;=53",$L$18:$L$97,"&lt;56")</f>
        <v>19</v>
      </c>
      <c r="M104" s="32">
        <f t="shared" ref="M104:M109" si="13">L104/$E$110*100</f>
        <v>23.75</v>
      </c>
      <c r="N104" s="68">
        <f t="shared" si="11"/>
        <v>47.5</v>
      </c>
    </row>
    <row r="105" spans="2:14" x14ac:dyDescent="0.25">
      <c r="B105" s="67">
        <f t="shared" si="6"/>
        <v>53</v>
      </c>
      <c r="C105" s="54">
        <f t="shared" si="7"/>
        <v>56.9</v>
      </c>
      <c r="D105" s="32">
        <f t="shared" si="4"/>
        <v>54.95</v>
      </c>
      <c r="E105" s="53">
        <f>COUNTIFS($E$18:$E$97,"&gt;=53",$E$18:$E$97,"&lt;57")</f>
        <v>12</v>
      </c>
      <c r="F105" s="32">
        <f>E105/$E$110*100</f>
        <v>15</v>
      </c>
      <c r="G105" s="68">
        <f t="shared" si="8"/>
        <v>57.5</v>
      </c>
      <c r="I105" s="67">
        <f t="shared" si="9"/>
        <v>56</v>
      </c>
      <c r="J105" s="54">
        <f t="shared" si="10"/>
        <v>59</v>
      </c>
      <c r="K105" s="32">
        <f t="shared" si="5"/>
        <v>57.5</v>
      </c>
      <c r="L105" s="53">
        <f>COUNTIFS($L$18:$L$97,"&gt;=56",$L$18:$L$97,"&lt;59")</f>
        <v>16</v>
      </c>
      <c r="M105" s="32">
        <f>L105/$E$110*100</f>
        <v>20</v>
      </c>
      <c r="N105" s="68">
        <f t="shared" si="11"/>
        <v>67.5</v>
      </c>
    </row>
    <row r="106" spans="2:14" x14ac:dyDescent="0.25">
      <c r="B106" s="67">
        <f t="shared" si="6"/>
        <v>57</v>
      </c>
      <c r="C106" s="54">
        <f t="shared" si="7"/>
        <v>60.9</v>
      </c>
      <c r="D106" s="32">
        <f t="shared" si="4"/>
        <v>58.95</v>
      </c>
      <c r="E106" s="53">
        <f>COUNTIFS($E$18:$E$97,"&gt;=57",$E$18:$E$97,"&lt;61")</f>
        <v>13</v>
      </c>
      <c r="F106" s="32">
        <f t="shared" si="12"/>
        <v>16.25</v>
      </c>
      <c r="G106" s="68">
        <f t="shared" si="8"/>
        <v>73.75</v>
      </c>
      <c r="I106" s="67">
        <f t="shared" si="9"/>
        <v>59</v>
      </c>
      <c r="J106" s="54">
        <f t="shared" si="10"/>
        <v>62</v>
      </c>
      <c r="K106" s="32">
        <f t="shared" si="5"/>
        <v>60.5</v>
      </c>
      <c r="L106" s="53">
        <f>COUNTIFS($L$18:$L$97,"&gt;=59",$L$18:$L$97,"&lt;62")</f>
        <v>10</v>
      </c>
      <c r="M106" s="32">
        <f t="shared" si="13"/>
        <v>12.5</v>
      </c>
      <c r="N106" s="68">
        <f t="shared" si="11"/>
        <v>80</v>
      </c>
    </row>
    <row r="107" spans="2:14" x14ac:dyDescent="0.25">
      <c r="B107" s="67">
        <f t="shared" si="6"/>
        <v>61</v>
      </c>
      <c r="C107" s="54">
        <f t="shared" si="7"/>
        <v>64.900000000000006</v>
      </c>
      <c r="D107" s="32">
        <f t="shared" si="4"/>
        <v>62.95</v>
      </c>
      <c r="E107" s="53">
        <f>COUNTIFS($E$18:$E$97,"&gt;=61",$E$18:$E$97,"&lt;65")</f>
        <v>10</v>
      </c>
      <c r="F107" s="32">
        <f>E107/$E$110*100</f>
        <v>12.5</v>
      </c>
      <c r="G107" s="68">
        <f t="shared" si="8"/>
        <v>86.25</v>
      </c>
      <c r="I107" s="67">
        <f t="shared" si="9"/>
        <v>62</v>
      </c>
      <c r="J107" s="54">
        <f t="shared" si="10"/>
        <v>65</v>
      </c>
      <c r="K107" s="32">
        <f t="shared" si="5"/>
        <v>63.5</v>
      </c>
      <c r="L107" s="53">
        <f>COUNTIFS($L$18:$L$97,"&gt;=62",$L$18:$L$97,"&lt;65")</f>
        <v>6</v>
      </c>
      <c r="M107" s="32">
        <f>L107/$E$110*100</f>
        <v>7.5</v>
      </c>
      <c r="N107" s="68">
        <f t="shared" si="11"/>
        <v>87.5</v>
      </c>
    </row>
    <row r="108" spans="2:14" ht="15.75" thickBot="1" x14ac:dyDescent="0.3">
      <c r="B108" s="67">
        <f>B107+4</f>
        <v>65</v>
      </c>
      <c r="C108" s="54">
        <f>C107+4</f>
        <v>68.900000000000006</v>
      </c>
      <c r="D108" s="32">
        <f t="shared" si="4"/>
        <v>66.95</v>
      </c>
      <c r="E108" s="53">
        <f>COUNTIFS($E$18:$E$97,"&gt;=65",$E$18:$E$97,"&lt;69")</f>
        <v>8</v>
      </c>
      <c r="F108" s="32">
        <f t="shared" si="12"/>
        <v>10</v>
      </c>
      <c r="G108" s="68">
        <f t="shared" si="8"/>
        <v>96.25</v>
      </c>
      <c r="I108" s="69">
        <f t="shared" ref="I108" si="14">I107+3</f>
        <v>65</v>
      </c>
      <c r="J108" s="70">
        <f t="shared" ref="J108" si="15">J107+3</f>
        <v>68</v>
      </c>
      <c r="K108" s="32">
        <f t="shared" si="5"/>
        <v>66.5</v>
      </c>
      <c r="L108" s="53">
        <f>COUNTIFS($L$18:$L$97,"&gt;=65",$L$18:$L$97,"&lt;=68")</f>
        <v>10</v>
      </c>
      <c r="M108" s="32">
        <f t="shared" si="13"/>
        <v>12.5</v>
      </c>
      <c r="N108" s="71">
        <f t="shared" si="11"/>
        <v>100</v>
      </c>
    </row>
    <row r="109" spans="2:14" ht="15.75" thickBot="1" x14ac:dyDescent="0.3">
      <c r="B109" s="69">
        <f t="shared" ref="B109" si="16">B108+4</f>
        <v>69</v>
      </c>
      <c r="C109" s="70">
        <f t="shared" ref="C109" si="17">C108+4</f>
        <v>72.900000000000006</v>
      </c>
      <c r="D109" s="72">
        <f t="shared" si="4"/>
        <v>70.95</v>
      </c>
      <c r="E109" s="74">
        <f>COUNTIFS($E$18:$E$97,"&gt;=69",$E$18:$E$97,"&lt;73")</f>
        <v>3</v>
      </c>
      <c r="F109" s="72">
        <f>E109/$E$110*100</f>
        <v>3.75</v>
      </c>
      <c r="G109" s="71">
        <f t="shared" si="8"/>
        <v>100</v>
      </c>
      <c r="I109" s="56"/>
      <c r="J109" s="56"/>
      <c r="K109" s="77" t="s">
        <v>76</v>
      </c>
      <c r="L109" s="78">
        <f>SUM(L101:L108)</f>
        <v>80</v>
      </c>
      <c r="M109" s="79">
        <f t="shared" si="13"/>
        <v>100</v>
      </c>
      <c r="N109" s="56"/>
    </row>
    <row r="110" spans="2:14" ht="15.75" thickBot="1" x14ac:dyDescent="0.3">
      <c r="B110" s="11"/>
      <c r="C110" s="11"/>
      <c r="D110" s="73" t="s">
        <v>76</v>
      </c>
      <c r="E110" s="75">
        <f>SUM(E101:E109)</f>
        <v>80</v>
      </c>
      <c r="F110" s="76">
        <f>SUM(F101:F109)</f>
        <v>100</v>
      </c>
    </row>
    <row r="111" spans="2:14" ht="15.75" thickBot="1" x14ac:dyDescent="0.3">
      <c r="B111" s="11"/>
      <c r="C111" s="11"/>
      <c r="E111" s="15"/>
      <c r="F111" s="15"/>
      <c r="K111" s="81" t="s">
        <v>40</v>
      </c>
      <c r="L111" s="82">
        <f>MODE(M18:M97)</f>
        <v>54.812903225806458</v>
      </c>
    </row>
    <row r="112" spans="2:14" x14ac:dyDescent="0.25">
      <c r="B112" s="11"/>
      <c r="C112" s="11"/>
      <c r="D112" s="81" t="s">
        <v>40</v>
      </c>
      <c r="E112" s="82">
        <f>MODE(F18:F97)</f>
        <v>60</v>
      </c>
      <c r="K112" s="65" t="s">
        <v>41</v>
      </c>
      <c r="L112" s="63">
        <f>MEDIAN(M18:M97)</f>
        <v>56.640000000000008</v>
      </c>
    </row>
    <row r="113" spans="4:13" x14ac:dyDescent="0.25">
      <c r="D113" s="65" t="s">
        <v>41</v>
      </c>
      <c r="E113" s="63">
        <f>MEDIAN(F18:F97)</f>
        <v>55.384615384615387</v>
      </c>
      <c r="K113" s="65" t="s">
        <v>46</v>
      </c>
      <c r="L113" s="63">
        <f>HARMEAN(M18:M97)</f>
        <v>55.757178014766239</v>
      </c>
    </row>
    <row r="114" spans="4:13" x14ac:dyDescent="0.25">
      <c r="D114" s="65" t="s">
        <v>46</v>
      </c>
      <c r="E114" s="63">
        <f>HARMEAN(F18:F97)</f>
        <v>54.631678785962656</v>
      </c>
      <c r="K114" s="65" t="s">
        <v>47</v>
      </c>
      <c r="L114" s="63">
        <f>N22</f>
        <v>23.252210526315785</v>
      </c>
    </row>
    <row r="115" spans="4:13" x14ac:dyDescent="0.25">
      <c r="D115" s="65" t="s">
        <v>47</v>
      </c>
      <c r="E115" s="63">
        <f>G22</f>
        <v>34.758620689655174</v>
      </c>
      <c r="K115" s="65" t="s">
        <v>45</v>
      </c>
      <c r="L115" s="63">
        <f>STDEV(M18:M97)</f>
        <v>6.0680063711872547</v>
      </c>
    </row>
    <row r="116" spans="4:13" x14ac:dyDescent="0.25">
      <c r="D116" s="65" t="s">
        <v>45</v>
      </c>
      <c r="E116" s="63">
        <f>STDEV(F18:F97)</f>
        <v>7.9443343360427265</v>
      </c>
      <c r="K116" s="65" t="s">
        <v>42</v>
      </c>
      <c r="L116" s="63">
        <f>PERCENTILE($M$18:$M$97,0.15)</f>
        <v>49.762285714285717</v>
      </c>
    </row>
    <row r="117" spans="4:13" x14ac:dyDescent="0.25">
      <c r="D117" s="65" t="s">
        <v>42</v>
      </c>
      <c r="E117" s="63">
        <f>PERCENTILE($F$18:$F$97,0.15)</f>
        <v>48</v>
      </c>
      <c r="K117" s="65" t="s">
        <v>43</v>
      </c>
      <c r="L117" s="63">
        <f>PERCENTILE($M$18:$M$97,0.5)</f>
        <v>56.640000000000008</v>
      </c>
    </row>
    <row r="118" spans="4:13" x14ac:dyDescent="0.25">
      <c r="D118" s="65" t="s">
        <v>43</v>
      </c>
      <c r="E118" s="63">
        <f>PERCENTILE($F$18:$F$97,0.5)</f>
        <v>55.384615384615387</v>
      </c>
      <c r="K118" s="65" t="s">
        <v>44</v>
      </c>
      <c r="L118" s="63">
        <f>PERCENTILE($M$18:$M$97,0.85)</f>
        <v>62.93333333333333</v>
      </c>
    </row>
    <row r="119" spans="4:13" x14ac:dyDescent="0.25">
      <c r="D119" s="65" t="s">
        <v>44</v>
      </c>
      <c r="E119" s="63">
        <f>PERCENTILE($F$18:$F$97,0.85)</f>
        <v>63.529411764705884</v>
      </c>
      <c r="K119" s="65" t="s">
        <v>69</v>
      </c>
      <c r="L119" s="63">
        <f>PERCENTILE($M$18:$M$97,0.98)</f>
        <v>67.968000000000004</v>
      </c>
    </row>
    <row r="120" spans="4:13" x14ac:dyDescent="0.25">
      <c r="D120" s="65" t="s">
        <v>69</v>
      </c>
      <c r="E120" s="63">
        <f>PERCENTILE($F$18:$F$97,0.98)</f>
        <v>69.677419354838719</v>
      </c>
      <c r="F120" s="55" t="s">
        <v>70</v>
      </c>
      <c r="K120" s="83" t="s">
        <v>48</v>
      </c>
      <c r="L120" s="84">
        <f>L113+1.96*((L115/SQRT(I97)))</f>
        <v>57.086888538686139</v>
      </c>
      <c r="M120" s="1" t="s">
        <v>70</v>
      </c>
    </row>
    <row r="121" spans="4:13" ht="15.75" thickBot="1" x14ac:dyDescent="0.3">
      <c r="D121" s="83" t="s">
        <v>48</v>
      </c>
      <c r="E121" s="84">
        <f>E114+1.96*((E116/SQRT(B97)))</f>
        <v>56.372557803877619</v>
      </c>
      <c r="F121" s="87">
        <f>(E121+E122)/2</f>
        <v>54.631678785962656</v>
      </c>
      <c r="K121" s="85" t="s">
        <v>49</v>
      </c>
      <c r="L121" s="86">
        <f>L113-1.96*((L115/SQRT(I97)))</f>
        <v>54.42746749084634</v>
      </c>
      <c r="M121" s="80">
        <f>(L120+L121)/2</f>
        <v>55.757178014766239</v>
      </c>
    </row>
    <row r="122" spans="4:13" ht="15.75" thickBot="1" x14ac:dyDescent="0.3">
      <c r="D122" s="85" t="s">
        <v>49</v>
      </c>
      <c r="E122" s="86">
        <f>E114-1.96*((E116/SQRT(B97)))</f>
        <v>52.890799768047692</v>
      </c>
      <c r="F122" s="87"/>
    </row>
  </sheetData>
  <sortState ref="M18:M97">
    <sortCondition ref="M18"/>
  </sortState>
  <mergeCells count="28">
    <mergeCell ref="L99:N99"/>
    <mergeCell ref="I8:J8"/>
    <mergeCell ref="I3:J3"/>
    <mergeCell ref="I4:J4"/>
    <mergeCell ref="I5:J5"/>
    <mergeCell ref="I6:J6"/>
    <mergeCell ref="I7:J7"/>
    <mergeCell ref="A3:B3"/>
    <mergeCell ref="A4:B4"/>
    <mergeCell ref="A5:B5"/>
    <mergeCell ref="A6:B6"/>
    <mergeCell ref="A7:B7"/>
    <mergeCell ref="A13:B13"/>
    <mergeCell ref="I9:J9"/>
    <mergeCell ref="I10:J10"/>
    <mergeCell ref="I11:J11"/>
    <mergeCell ref="I12:J12"/>
    <mergeCell ref="I13:J13"/>
    <mergeCell ref="A8:B8"/>
    <mergeCell ref="A9:B9"/>
    <mergeCell ref="A10:B10"/>
    <mergeCell ref="A11:B11"/>
    <mergeCell ref="A12:B12"/>
    <mergeCell ref="B99:C99"/>
    <mergeCell ref="D99:D100"/>
    <mergeCell ref="I99:J99"/>
    <mergeCell ref="K99:K100"/>
    <mergeCell ref="E99:G99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2049" r:id="rId4">
          <objectPr defaultSize="0" autoPict="0" r:id="rId5">
            <anchor moveWithCells="1" sizeWithCells="1">
              <from>
                <xdr:col>5</xdr:col>
                <xdr:colOff>419100</xdr:colOff>
                <xdr:row>113</xdr:row>
                <xdr:rowOff>152400</xdr:rowOff>
              </from>
              <to>
                <xdr:col>9</xdr:col>
                <xdr:colOff>371475</xdr:colOff>
                <xdr:row>115</xdr:row>
                <xdr:rowOff>104775</xdr:rowOff>
              </to>
            </anchor>
          </objectPr>
        </oleObject>
      </mc:Choice>
      <mc:Fallback>
        <oleObject progId="Equation.3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N123"/>
  <sheetViews>
    <sheetView zoomScale="85" zoomScaleNormal="85" workbookViewId="0">
      <selection activeCell="A2" sqref="A2"/>
    </sheetView>
  </sheetViews>
  <sheetFormatPr baseColWidth="10" defaultRowHeight="15" x14ac:dyDescent="0.25"/>
  <cols>
    <col min="2" max="2" width="8.28515625" bestFit="1" customWidth="1"/>
    <col min="3" max="3" width="25.140625" bestFit="1" customWidth="1"/>
    <col min="4" max="4" width="15.85546875" bestFit="1" customWidth="1"/>
    <col min="5" max="5" width="13.7109375" customWidth="1"/>
    <col min="6" max="6" width="16.28515625" bestFit="1" customWidth="1"/>
    <col min="7" max="7" width="18.140625" bestFit="1" customWidth="1"/>
    <col min="11" max="11" width="15.85546875" customWidth="1"/>
    <col min="12" max="13" width="16.28515625" bestFit="1" customWidth="1"/>
    <col min="14" max="14" width="15" bestFit="1" customWidth="1"/>
  </cols>
  <sheetData>
    <row r="1" spans="1:12" x14ac:dyDescent="0.25">
      <c r="A1" s="1" t="s">
        <v>29</v>
      </c>
      <c r="I1" s="98" t="s">
        <v>28</v>
      </c>
      <c r="J1" s="3"/>
      <c r="K1" s="3"/>
      <c r="L1" s="3"/>
    </row>
    <row r="2" spans="1:12" x14ac:dyDescent="0.25">
      <c r="A2" s="1"/>
      <c r="C2" s="3"/>
      <c r="G2" s="1"/>
      <c r="I2" s="3"/>
      <c r="J2" s="3"/>
      <c r="K2" s="3"/>
      <c r="L2" s="3"/>
    </row>
    <row r="3" spans="1:12" x14ac:dyDescent="0.25">
      <c r="A3" s="112" t="s">
        <v>7</v>
      </c>
      <c r="B3" s="112"/>
      <c r="C3" s="4">
        <v>42212</v>
      </c>
      <c r="I3" s="111" t="s">
        <v>7</v>
      </c>
      <c r="J3" s="111"/>
      <c r="K3" s="7">
        <v>42212</v>
      </c>
      <c r="L3" s="3"/>
    </row>
    <row r="4" spans="1:12" x14ac:dyDescent="0.25">
      <c r="A4" s="112" t="s">
        <v>8</v>
      </c>
      <c r="B4" s="112"/>
      <c r="C4" s="5">
        <v>0.65416666666666667</v>
      </c>
      <c r="I4" s="111" t="s">
        <v>8</v>
      </c>
      <c r="J4" s="111"/>
      <c r="K4" s="8">
        <v>0.64027777777777783</v>
      </c>
      <c r="L4" s="3"/>
    </row>
    <row r="5" spans="1:12" x14ac:dyDescent="0.25">
      <c r="A5" s="112" t="s">
        <v>9</v>
      </c>
      <c r="B5" s="112"/>
      <c r="C5" s="5">
        <v>0.66666666666666663</v>
      </c>
      <c r="I5" s="111" t="s">
        <v>9</v>
      </c>
      <c r="J5" s="111"/>
      <c r="K5" s="8">
        <v>0.64930555555555558</v>
      </c>
      <c r="L5" s="3"/>
    </row>
    <row r="6" spans="1:12" x14ac:dyDescent="0.25">
      <c r="A6" s="112" t="s">
        <v>10</v>
      </c>
      <c r="B6" s="112"/>
      <c r="C6" s="3" t="s">
        <v>30</v>
      </c>
      <c r="I6" s="111" t="s">
        <v>10</v>
      </c>
      <c r="J6" s="111"/>
      <c r="K6" s="9" t="s">
        <v>30</v>
      </c>
      <c r="L6" s="3"/>
    </row>
    <row r="7" spans="1:12" x14ac:dyDescent="0.25">
      <c r="A7" s="112" t="s">
        <v>12</v>
      </c>
      <c r="B7" s="112"/>
      <c r="C7" s="3" t="s">
        <v>13</v>
      </c>
      <c r="I7" s="111" t="s">
        <v>12</v>
      </c>
      <c r="J7" s="111"/>
      <c r="K7" s="9" t="s">
        <v>21</v>
      </c>
      <c r="L7" s="3"/>
    </row>
    <row r="8" spans="1:12" x14ac:dyDescent="0.25">
      <c r="A8" s="112" t="s">
        <v>14</v>
      </c>
      <c r="B8" s="112"/>
      <c r="C8" s="3" t="s">
        <v>31</v>
      </c>
      <c r="I8" s="111" t="s">
        <v>14</v>
      </c>
      <c r="J8" s="111"/>
      <c r="K8" s="3" t="s">
        <v>31</v>
      </c>
      <c r="L8" s="3"/>
    </row>
    <row r="9" spans="1:12" x14ac:dyDescent="0.25">
      <c r="A9" s="112" t="s">
        <v>16</v>
      </c>
      <c r="B9" s="112"/>
      <c r="C9" s="3" t="s">
        <v>17</v>
      </c>
      <c r="I9" s="111" t="s">
        <v>16</v>
      </c>
      <c r="J9" s="111"/>
      <c r="K9" s="9" t="s">
        <v>17</v>
      </c>
      <c r="L9" s="3"/>
    </row>
    <row r="10" spans="1:12" x14ac:dyDescent="0.25">
      <c r="A10" s="112" t="s">
        <v>18</v>
      </c>
      <c r="B10" s="112"/>
      <c r="C10" s="6">
        <v>35</v>
      </c>
      <c r="D10" t="s">
        <v>19</v>
      </c>
      <c r="I10" s="111" t="s">
        <v>18</v>
      </c>
      <c r="J10" s="111"/>
      <c r="K10" s="9">
        <v>35</v>
      </c>
      <c r="L10" s="3" t="s">
        <v>19</v>
      </c>
    </row>
    <row r="11" spans="1:12" x14ac:dyDescent="0.25">
      <c r="A11" s="112" t="s">
        <v>20</v>
      </c>
      <c r="B11" s="112"/>
      <c r="C11" s="3" t="s">
        <v>21</v>
      </c>
      <c r="I11" s="111" t="s">
        <v>20</v>
      </c>
      <c r="J11" s="111"/>
      <c r="K11" s="9" t="s">
        <v>13</v>
      </c>
      <c r="L11" s="3"/>
    </row>
    <row r="12" spans="1:12" x14ac:dyDescent="0.25">
      <c r="A12" s="112" t="s">
        <v>22</v>
      </c>
      <c r="B12" s="112"/>
      <c r="C12" s="3" t="s">
        <v>23</v>
      </c>
      <c r="I12" s="111" t="s">
        <v>22</v>
      </c>
      <c r="J12" s="111"/>
      <c r="K12" s="9" t="s">
        <v>26</v>
      </c>
      <c r="L12" s="3"/>
    </row>
    <row r="13" spans="1:12" x14ac:dyDescent="0.25">
      <c r="A13" s="112" t="s">
        <v>24</v>
      </c>
      <c r="B13" s="112"/>
      <c r="C13" s="3" t="s">
        <v>25</v>
      </c>
      <c r="I13" s="111" t="s">
        <v>24</v>
      </c>
      <c r="J13" s="111"/>
      <c r="K13" s="9" t="s">
        <v>25</v>
      </c>
      <c r="L13" s="3"/>
    </row>
    <row r="14" spans="1:12" x14ac:dyDescent="0.25">
      <c r="A14" s="1"/>
      <c r="I14" s="1"/>
    </row>
    <row r="15" spans="1:12" x14ac:dyDescent="0.25">
      <c r="A15" s="1"/>
      <c r="I15" s="1"/>
    </row>
    <row r="16" spans="1:12" ht="15.75" thickBot="1" x14ac:dyDescent="0.3"/>
    <row r="17" spans="2:14" ht="15.75" thickBot="1" x14ac:dyDescent="0.3">
      <c r="B17" s="47" t="s">
        <v>0</v>
      </c>
      <c r="C17" s="48" t="s">
        <v>1</v>
      </c>
      <c r="D17" s="48" t="s">
        <v>2</v>
      </c>
      <c r="E17" s="49" t="s">
        <v>32</v>
      </c>
      <c r="F17" s="90" t="s">
        <v>71</v>
      </c>
      <c r="G17" s="57" t="s">
        <v>72</v>
      </c>
      <c r="I17" s="25" t="s">
        <v>0</v>
      </c>
      <c r="J17" s="26" t="s">
        <v>1</v>
      </c>
      <c r="K17" s="26" t="s">
        <v>2</v>
      </c>
      <c r="L17" s="60" t="s">
        <v>32</v>
      </c>
      <c r="M17" s="97" t="s">
        <v>71</v>
      </c>
      <c r="N17" s="96" t="s">
        <v>72</v>
      </c>
    </row>
    <row r="18" spans="2:14" x14ac:dyDescent="0.25">
      <c r="B18" s="50">
        <v>1</v>
      </c>
      <c r="C18" s="51">
        <v>1.9</v>
      </c>
      <c r="D18" s="51" t="s">
        <v>3</v>
      </c>
      <c r="E18" s="38">
        <f>(($C$10/C18)/1000)*3600</f>
        <v>66.31578947368422</v>
      </c>
      <c r="F18" s="92">
        <v>34.999999999999993</v>
      </c>
      <c r="G18" s="46">
        <f>MAX(E18:E97)</f>
        <v>66.31578947368422</v>
      </c>
      <c r="I18" s="50">
        <v>1</v>
      </c>
      <c r="J18" s="51">
        <v>2.8</v>
      </c>
      <c r="K18" s="51" t="s">
        <v>3</v>
      </c>
      <c r="L18" s="38">
        <f>(($K$10/J18)/1000)*3600</f>
        <v>45</v>
      </c>
      <c r="M18" s="89">
        <v>37.058823529411768</v>
      </c>
      <c r="N18" s="42">
        <f>MAX(L18:L97)</f>
        <v>69.999999999999986</v>
      </c>
    </row>
    <row r="19" spans="2:14" x14ac:dyDescent="0.25">
      <c r="B19" s="31">
        <v>2</v>
      </c>
      <c r="C19" s="32">
        <v>2.8</v>
      </c>
      <c r="D19" s="32" t="s">
        <v>5</v>
      </c>
      <c r="E19" s="35">
        <f t="shared" ref="E19:E82" si="0">(($C$10/C19)/1000)*3600</f>
        <v>45</v>
      </c>
      <c r="F19" s="84">
        <v>34.999999999999993</v>
      </c>
      <c r="G19" s="45" t="s">
        <v>73</v>
      </c>
      <c r="I19" s="31">
        <v>2</v>
      </c>
      <c r="J19" s="32">
        <v>2.2000000000000002</v>
      </c>
      <c r="K19" s="32" t="s">
        <v>3</v>
      </c>
      <c r="L19" s="37">
        <f t="shared" ref="L19:L82" si="1">(($K$10/J19)/1000)*3600</f>
        <v>57.272727272727266</v>
      </c>
      <c r="M19" s="84">
        <v>38.181818181818187</v>
      </c>
      <c r="N19" s="43" t="s">
        <v>73</v>
      </c>
    </row>
    <row r="20" spans="2:14" x14ac:dyDescent="0.25">
      <c r="B20" s="31">
        <v>3</v>
      </c>
      <c r="C20" s="32">
        <v>2.6</v>
      </c>
      <c r="D20" s="32" t="s">
        <v>4</v>
      </c>
      <c r="E20" s="35">
        <f t="shared" si="0"/>
        <v>48.461538461538467</v>
      </c>
      <c r="F20" s="84">
        <v>34.999999999999993</v>
      </c>
      <c r="G20" s="46">
        <f>MIN(E18:E97)</f>
        <v>34.999999999999993</v>
      </c>
      <c r="I20" s="31">
        <v>3</v>
      </c>
      <c r="J20" s="32">
        <v>3.3</v>
      </c>
      <c r="K20" s="32" t="s">
        <v>5</v>
      </c>
      <c r="L20" s="37">
        <f t="shared" si="1"/>
        <v>38.181818181818187</v>
      </c>
      <c r="M20" s="84">
        <v>39.375</v>
      </c>
      <c r="N20" s="42">
        <f>MIN(L18:L97)</f>
        <v>37.058823529411768</v>
      </c>
    </row>
    <row r="21" spans="2:14" x14ac:dyDescent="0.25">
      <c r="B21" s="31">
        <v>4</v>
      </c>
      <c r="C21" s="32">
        <v>1.9</v>
      </c>
      <c r="D21" s="32" t="s">
        <v>3</v>
      </c>
      <c r="E21" s="37">
        <f t="shared" si="0"/>
        <v>66.31578947368422</v>
      </c>
      <c r="F21" s="91">
        <v>34.999999999999993</v>
      </c>
      <c r="G21" s="45" t="s">
        <v>74</v>
      </c>
      <c r="I21" s="31">
        <v>4</v>
      </c>
      <c r="J21" s="32">
        <v>2.7</v>
      </c>
      <c r="K21" s="32" t="s">
        <v>3</v>
      </c>
      <c r="L21" s="37">
        <f t="shared" si="1"/>
        <v>46.666666666666664</v>
      </c>
      <c r="M21" s="84">
        <v>39.375</v>
      </c>
      <c r="N21" s="43" t="s">
        <v>74</v>
      </c>
    </row>
    <row r="22" spans="2:14" x14ac:dyDescent="0.25">
      <c r="B22" s="31">
        <v>5</v>
      </c>
      <c r="C22" s="32">
        <v>2.1</v>
      </c>
      <c r="D22" s="32" t="s">
        <v>3</v>
      </c>
      <c r="E22" s="35">
        <f t="shared" si="0"/>
        <v>59.999999999999986</v>
      </c>
      <c r="F22" s="84">
        <v>34.999999999999993</v>
      </c>
      <c r="G22" s="44">
        <f>G18-G20</f>
        <v>31.315789473684227</v>
      </c>
      <c r="I22" s="31">
        <v>5</v>
      </c>
      <c r="J22" s="32">
        <v>2.4</v>
      </c>
      <c r="K22" s="32" t="s">
        <v>3</v>
      </c>
      <c r="L22" s="37">
        <f t="shared" si="1"/>
        <v>52.5</v>
      </c>
      <c r="M22" s="84">
        <v>39.375</v>
      </c>
      <c r="N22" s="42">
        <f>N18-N20</f>
        <v>32.941176470588218</v>
      </c>
    </row>
    <row r="23" spans="2:14" x14ac:dyDescent="0.25">
      <c r="B23" s="31">
        <v>6</v>
      </c>
      <c r="C23" s="32">
        <v>2.2999999999999998</v>
      </c>
      <c r="D23" s="32" t="s">
        <v>3</v>
      </c>
      <c r="E23" s="35">
        <f t="shared" si="0"/>
        <v>54.782608695652179</v>
      </c>
      <c r="F23" s="84">
        <v>36</v>
      </c>
      <c r="G23" s="45" t="s">
        <v>78</v>
      </c>
      <c r="I23" s="31">
        <v>6</v>
      </c>
      <c r="J23" s="32">
        <v>3</v>
      </c>
      <c r="K23" s="32" t="s">
        <v>3</v>
      </c>
      <c r="L23" s="37">
        <f t="shared" si="1"/>
        <v>41.999999999999993</v>
      </c>
      <c r="M23" s="84">
        <v>40.645161290322577</v>
      </c>
      <c r="N23" s="43" t="s">
        <v>78</v>
      </c>
    </row>
    <row r="24" spans="2:14" x14ac:dyDescent="0.25">
      <c r="B24" s="31">
        <v>7</v>
      </c>
      <c r="C24" s="32">
        <v>2</v>
      </c>
      <c r="D24" s="32" t="s">
        <v>3</v>
      </c>
      <c r="E24" s="35">
        <f t="shared" si="0"/>
        <v>63.000000000000007</v>
      </c>
      <c r="F24" s="93">
        <v>37.058823529411768</v>
      </c>
      <c r="G24" s="94">
        <f>G22/9</f>
        <v>3.4795321637426917</v>
      </c>
      <c r="I24" s="31">
        <v>7</v>
      </c>
      <c r="J24" s="32">
        <v>2.1</v>
      </c>
      <c r="K24" s="32" t="s">
        <v>3</v>
      </c>
      <c r="L24" s="37">
        <f t="shared" si="1"/>
        <v>59.999999999999986</v>
      </c>
      <c r="M24" s="84">
        <v>40.645161290322577</v>
      </c>
      <c r="N24" s="95">
        <f>N22/9</f>
        <v>3.6601307189542465</v>
      </c>
    </row>
    <row r="25" spans="2:14" x14ac:dyDescent="0.25">
      <c r="B25" s="31">
        <v>8</v>
      </c>
      <c r="C25" s="32">
        <v>2.5</v>
      </c>
      <c r="D25" s="32" t="s">
        <v>3</v>
      </c>
      <c r="E25" s="37">
        <f t="shared" si="0"/>
        <v>50.4</v>
      </c>
      <c r="F25" s="84">
        <v>37.058823529411768</v>
      </c>
      <c r="I25" s="31">
        <v>8</v>
      </c>
      <c r="J25" s="32">
        <v>2.6</v>
      </c>
      <c r="K25" s="32" t="s">
        <v>3</v>
      </c>
      <c r="L25" s="37">
        <f t="shared" si="1"/>
        <v>48.461538461538467</v>
      </c>
      <c r="M25" s="84">
        <v>40.645161290322577</v>
      </c>
    </row>
    <row r="26" spans="2:14" x14ac:dyDescent="0.25">
      <c r="B26" s="31">
        <v>9</v>
      </c>
      <c r="C26" s="32">
        <v>2.1</v>
      </c>
      <c r="D26" s="32" t="s">
        <v>5</v>
      </c>
      <c r="E26" s="37">
        <f t="shared" si="0"/>
        <v>59.999999999999986</v>
      </c>
      <c r="F26" s="84">
        <v>37.058823529411768</v>
      </c>
      <c r="I26" s="31">
        <v>9</v>
      </c>
      <c r="J26" s="32">
        <v>2.4</v>
      </c>
      <c r="K26" s="32" t="s">
        <v>3</v>
      </c>
      <c r="L26" s="37">
        <f t="shared" si="1"/>
        <v>52.5</v>
      </c>
      <c r="M26" s="84">
        <v>40.645161290322577</v>
      </c>
    </row>
    <row r="27" spans="2:14" x14ac:dyDescent="0.25">
      <c r="B27" s="31">
        <v>10</v>
      </c>
      <c r="C27" s="32">
        <v>3.4</v>
      </c>
      <c r="D27" s="32" t="s">
        <v>5</v>
      </c>
      <c r="E27" s="37">
        <f t="shared" si="0"/>
        <v>37.058823529411768</v>
      </c>
      <c r="F27" s="84">
        <v>38.181818181818187</v>
      </c>
      <c r="I27" s="31">
        <v>10</v>
      </c>
      <c r="J27" s="32">
        <v>3.1</v>
      </c>
      <c r="K27" s="32" t="s">
        <v>5</v>
      </c>
      <c r="L27" s="37">
        <f t="shared" si="1"/>
        <v>40.645161290322577</v>
      </c>
      <c r="M27" s="84">
        <v>40.645161290322577</v>
      </c>
    </row>
    <row r="28" spans="2:14" x14ac:dyDescent="0.25">
      <c r="B28" s="31">
        <v>11</v>
      </c>
      <c r="C28" s="32">
        <v>3</v>
      </c>
      <c r="D28" s="32" t="s">
        <v>3</v>
      </c>
      <c r="E28" s="37">
        <f t="shared" si="0"/>
        <v>41.999999999999993</v>
      </c>
      <c r="F28" s="84">
        <v>38.181818181818187</v>
      </c>
      <c r="I28" s="31">
        <v>11</v>
      </c>
      <c r="J28" s="32">
        <v>2.9</v>
      </c>
      <c r="K28" s="32" t="s">
        <v>5</v>
      </c>
      <c r="L28" s="37">
        <f t="shared" si="1"/>
        <v>43.448275862068968</v>
      </c>
      <c r="M28" s="84">
        <v>41.999999999999993</v>
      </c>
    </row>
    <row r="29" spans="2:14" x14ac:dyDescent="0.25">
      <c r="B29" s="31">
        <v>12</v>
      </c>
      <c r="C29" s="32">
        <v>2.7</v>
      </c>
      <c r="D29" s="32" t="s">
        <v>4</v>
      </c>
      <c r="E29" s="37">
        <f t="shared" si="0"/>
        <v>46.666666666666664</v>
      </c>
      <c r="F29" s="84">
        <v>38.181818181818187</v>
      </c>
      <c r="I29" s="31">
        <v>12</v>
      </c>
      <c r="J29" s="32">
        <v>2.4</v>
      </c>
      <c r="K29" s="32" t="s">
        <v>3</v>
      </c>
      <c r="L29" s="37">
        <f t="shared" si="1"/>
        <v>52.5</v>
      </c>
      <c r="M29" s="84">
        <v>41.999999999999993</v>
      </c>
    </row>
    <row r="30" spans="2:14" x14ac:dyDescent="0.25">
      <c r="B30" s="31">
        <v>13</v>
      </c>
      <c r="C30" s="32">
        <v>2.5</v>
      </c>
      <c r="D30" s="32" t="s">
        <v>3</v>
      </c>
      <c r="E30" s="37">
        <f t="shared" si="0"/>
        <v>50.4</v>
      </c>
      <c r="F30" s="84">
        <v>39.375</v>
      </c>
      <c r="I30" s="31">
        <v>13</v>
      </c>
      <c r="J30" s="32">
        <v>3.1</v>
      </c>
      <c r="K30" s="32" t="s">
        <v>3</v>
      </c>
      <c r="L30" s="37">
        <f t="shared" si="1"/>
        <v>40.645161290322577</v>
      </c>
      <c r="M30" s="84">
        <v>43.448275862068968</v>
      </c>
    </row>
    <row r="31" spans="2:14" x14ac:dyDescent="0.25">
      <c r="B31" s="31">
        <v>14</v>
      </c>
      <c r="C31" s="32">
        <v>2.2000000000000002</v>
      </c>
      <c r="D31" s="32" t="s">
        <v>5</v>
      </c>
      <c r="E31" s="37">
        <f t="shared" si="0"/>
        <v>57.272727272727266</v>
      </c>
      <c r="F31" s="84">
        <v>39.375</v>
      </c>
      <c r="I31" s="31">
        <v>14</v>
      </c>
      <c r="J31" s="32">
        <v>2.7</v>
      </c>
      <c r="K31" s="32" t="s">
        <v>5</v>
      </c>
      <c r="L31" s="37">
        <f t="shared" si="1"/>
        <v>46.666666666666664</v>
      </c>
      <c r="M31" s="84">
        <v>43.448275862068968</v>
      </c>
    </row>
    <row r="32" spans="2:14" x14ac:dyDescent="0.25">
      <c r="B32" s="31">
        <v>15</v>
      </c>
      <c r="C32" s="32">
        <v>1.9</v>
      </c>
      <c r="D32" s="32" t="s">
        <v>3</v>
      </c>
      <c r="E32" s="37">
        <f t="shared" si="0"/>
        <v>66.31578947368422</v>
      </c>
      <c r="F32" s="84">
        <v>40.645161290322577</v>
      </c>
      <c r="I32" s="31">
        <v>15</v>
      </c>
      <c r="J32" s="32">
        <v>3.1</v>
      </c>
      <c r="K32" s="32" t="s">
        <v>3</v>
      </c>
      <c r="L32" s="37">
        <f t="shared" si="1"/>
        <v>40.645161290322577</v>
      </c>
      <c r="M32" s="84">
        <v>43.448275862068968</v>
      </c>
    </row>
    <row r="33" spans="2:13" x14ac:dyDescent="0.25">
      <c r="B33" s="31">
        <v>16</v>
      </c>
      <c r="C33" s="32">
        <v>2.9</v>
      </c>
      <c r="D33" s="32" t="s">
        <v>5</v>
      </c>
      <c r="E33" s="37">
        <f t="shared" si="0"/>
        <v>43.448275862068968</v>
      </c>
      <c r="F33" s="84">
        <v>40.645161290322577</v>
      </c>
      <c r="I33" s="31">
        <v>16</v>
      </c>
      <c r="J33" s="32">
        <v>2.9</v>
      </c>
      <c r="K33" s="32" t="s">
        <v>5</v>
      </c>
      <c r="L33" s="37">
        <f t="shared" si="1"/>
        <v>43.448275862068968</v>
      </c>
      <c r="M33" s="84">
        <v>43.448275862068968</v>
      </c>
    </row>
    <row r="34" spans="2:13" x14ac:dyDescent="0.25">
      <c r="B34" s="31">
        <v>17</v>
      </c>
      <c r="C34" s="32">
        <v>3.1</v>
      </c>
      <c r="D34" s="32" t="s">
        <v>3</v>
      </c>
      <c r="E34" s="37">
        <f t="shared" si="0"/>
        <v>40.645161290322577</v>
      </c>
      <c r="F34" s="84">
        <v>40.645161290322577</v>
      </c>
      <c r="I34" s="31">
        <v>17</v>
      </c>
      <c r="J34" s="32">
        <v>3.1</v>
      </c>
      <c r="K34" s="32" t="s">
        <v>3</v>
      </c>
      <c r="L34" s="37">
        <f t="shared" si="1"/>
        <v>40.645161290322577</v>
      </c>
      <c r="M34" s="84">
        <v>43.448275862068968</v>
      </c>
    </row>
    <row r="35" spans="2:13" x14ac:dyDescent="0.25">
      <c r="B35" s="31">
        <v>18</v>
      </c>
      <c r="C35" s="32">
        <v>3.1</v>
      </c>
      <c r="D35" s="32" t="s">
        <v>3</v>
      </c>
      <c r="E35" s="37">
        <f t="shared" si="0"/>
        <v>40.645161290322577</v>
      </c>
      <c r="F35" s="84">
        <v>40.645161290322577</v>
      </c>
      <c r="I35" s="31">
        <v>18</v>
      </c>
      <c r="J35" s="32">
        <v>3.2</v>
      </c>
      <c r="K35" s="32" t="s">
        <v>3</v>
      </c>
      <c r="L35" s="37">
        <f t="shared" si="1"/>
        <v>39.375</v>
      </c>
      <c r="M35" s="84">
        <v>43.448275862068968</v>
      </c>
    </row>
    <row r="36" spans="2:13" x14ac:dyDescent="0.25">
      <c r="B36" s="31">
        <v>19</v>
      </c>
      <c r="C36" s="32">
        <v>2.2999999999999998</v>
      </c>
      <c r="D36" s="32" t="s">
        <v>5</v>
      </c>
      <c r="E36" s="37">
        <f t="shared" si="0"/>
        <v>54.782608695652179</v>
      </c>
      <c r="F36" s="84">
        <v>41.999999999999993</v>
      </c>
      <c r="I36" s="31">
        <v>19</v>
      </c>
      <c r="J36" s="32">
        <v>2.4</v>
      </c>
      <c r="K36" s="32" t="s">
        <v>3</v>
      </c>
      <c r="L36" s="37">
        <f t="shared" si="1"/>
        <v>52.5</v>
      </c>
      <c r="M36" s="84">
        <v>45</v>
      </c>
    </row>
    <row r="37" spans="2:13" x14ac:dyDescent="0.25">
      <c r="B37" s="31">
        <v>20</v>
      </c>
      <c r="C37" s="32">
        <v>2.2000000000000002</v>
      </c>
      <c r="D37" s="32" t="s">
        <v>3</v>
      </c>
      <c r="E37" s="37">
        <f t="shared" si="0"/>
        <v>57.272727272727266</v>
      </c>
      <c r="F37" s="84">
        <v>41.999999999999993</v>
      </c>
      <c r="I37" s="31">
        <v>20</v>
      </c>
      <c r="J37" s="32">
        <v>2.5</v>
      </c>
      <c r="K37" s="32" t="s">
        <v>3</v>
      </c>
      <c r="L37" s="37">
        <f t="shared" si="1"/>
        <v>50.4</v>
      </c>
      <c r="M37" s="84">
        <v>45</v>
      </c>
    </row>
    <row r="38" spans="2:13" x14ac:dyDescent="0.25">
      <c r="B38" s="31">
        <v>21</v>
      </c>
      <c r="C38" s="32">
        <v>3</v>
      </c>
      <c r="D38" s="32" t="s">
        <v>3</v>
      </c>
      <c r="E38" s="37">
        <f t="shared" si="0"/>
        <v>41.999999999999993</v>
      </c>
      <c r="F38" s="84">
        <v>41.999999999999993</v>
      </c>
      <c r="I38" s="31">
        <v>21</v>
      </c>
      <c r="J38" s="32">
        <v>3.1</v>
      </c>
      <c r="K38" s="32" t="s">
        <v>3</v>
      </c>
      <c r="L38" s="37">
        <f t="shared" si="1"/>
        <v>40.645161290322577</v>
      </c>
      <c r="M38" s="84">
        <v>45</v>
      </c>
    </row>
    <row r="39" spans="2:13" x14ac:dyDescent="0.25">
      <c r="B39" s="31">
        <v>22</v>
      </c>
      <c r="C39" s="32">
        <v>2.4</v>
      </c>
      <c r="D39" s="32" t="s">
        <v>3</v>
      </c>
      <c r="E39" s="37">
        <f t="shared" si="0"/>
        <v>52.5</v>
      </c>
      <c r="F39" s="84">
        <v>41.999999999999993</v>
      </c>
      <c r="I39" s="31">
        <v>22</v>
      </c>
      <c r="J39" s="32">
        <v>3.2</v>
      </c>
      <c r="K39" s="32" t="s">
        <v>5</v>
      </c>
      <c r="L39" s="37">
        <f t="shared" si="1"/>
        <v>39.375</v>
      </c>
      <c r="M39" s="84">
        <v>46.666666666666664</v>
      </c>
    </row>
    <row r="40" spans="2:13" x14ac:dyDescent="0.25">
      <c r="B40" s="31">
        <v>23</v>
      </c>
      <c r="C40" s="32">
        <v>2.4</v>
      </c>
      <c r="D40" s="32" t="s">
        <v>3</v>
      </c>
      <c r="E40" s="37">
        <f t="shared" si="0"/>
        <v>52.5</v>
      </c>
      <c r="F40" s="84">
        <v>41.999999999999993</v>
      </c>
      <c r="I40" s="31">
        <v>23</v>
      </c>
      <c r="J40" s="32">
        <v>2.4</v>
      </c>
      <c r="K40" s="32" t="s">
        <v>5</v>
      </c>
      <c r="L40" s="37">
        <f t="shared" si="1"/>
        <v>52.5</v>
      </c>
      <c r="M40" s="84">
        <v>46.666666666666664</v>
      </c>
    </row>
    <row r="41" spans="2:13" x14ac:dyDescent="0.25">
      <c r="B41" s="31">
        <v>24</v>
      </c>
      <c r="C41" s="32">
        <v>1.9</v>
      </c>
      <c r="D41" s="32" t="s">
        <v>3</v>
      </c>
      <c r="E41" s="37">
        <f t="shared" si="0"/>
        <v>66.31578947368422</v>
      </c>
      <c r="F41" s="84">
        <v>41.999999999999993</v>
      </c>
      <c r="I41" s="31">
        <v>24</v>
      </c>
      <c r="J41" s="32">
        <v>2</v>
      </c>
      <c r="K41" s="32" t="s">
        <v>4</v>
      </c>
      <c r="L41" s="37">
        <f t="shared" si="1"/>
        <v>63.000000000000007</v>
      </c>
      <c r="M41" s="84">
        <v>46.666666666666664</v>
      </c>
    </row>
    <row r="42" spans="2:13" x14ac:dyDescent="0.25">
      <c r="B42" s="31">
        <v>25</v>
      </c>
      <c r="C42" s="32">
        <v>3.3</v>
      </c>
      <c r="D42" s="32" t="s">
        <v>5</v>
      </c>
      <c r="E42" s="37">
        <f t="shared" si="0"/>
        <v>38.181818181818187</v>
      </c>
      <c r="F42" s="84">
        <v>41.999999999999993</v>
      </c>
      <c r="I42" s="31">
        <v>25</v>
      </c>
      <c r="J42" s="32">
        <v>2.4</v>
      </c>
      <c r="K42" s="32" t="s">
        <v>4</v>
      </c>
      <c r="L42" s="37">
        <f t="shared" si="1"/>
        <v>52.5</v>
      </c>
      <c r="M42" s="84">
        <v>46.666666666666664</v>
      </c>
    </row>
    <row r="43" spans="2:13" x14ac:dyDescent="0.25">
      <c r="B43" s="31">
        <v>26</v>
      </c>
      <c r="C43" s="32">
        <v>2.5</v>
      </c>
      <c r="D43" s="32" t="s">
        <v>5</v>
      </c>
      <c r="E43" s="37">
        <f t="shared" si="0"/>
        <v>50.4</v>
      </c>
      <c r="F43" s="84">
        <v>43.448275862068968</v>
      </c>
      <c r="I43" s="31">
        <v>26</v>
      </c>
      <c r="J43" s="32">
        <v>2.4</v>
      </c>
      <c r="K43" s="32" t="s">
        <v>3</v>
      </c>
      <c r="L43" s="37">
        <f t="shared" si="1"/>
        <v>52.5</v>
      </c>
      <c r="M43" s="84">
        <v>46.666666666666664</v>
      </c>
    </row>
    <row r="44" spans="2:13" x14ac:dyDescent="0.25">
      <c r="B44" s="31">
        <v>27</v>
      </c>
      <c r="C44" s="32">
        <v>2.4</v>
      </c>
      <c r="D44" s="32" t="s">
        <v>3</v>
      </c>
      <c r="E44" s="37">
        <f t="shared" si="0"/>
        <v>52.5</v>
      </c>
      <c r="F44" s="84">
        <v>43.448275862068968</v>
      </c>
      <c r="I44" s="31">
        <v>27</v>
      </c>
      <c r="J44" s="32">
        <v>2.2999999999999998</v>
      </c>
      <c r="K44" s="32" t="s">
        <v>5</v>
      </c>
      <c r="L44" s="37">
        <f t="shared" si="1"/>
        <v>54.782608695652179</v>
      </c>
      <c r="M44" s="84">
        <v>46.666666666666664</v>
      </c>
    </row>
    <row r="45" spans="2:13" x14ac:dyDescent="0.25">
      <c r="B45" s="31">
        <v>28</v>
      </c>
      <c r="C45" s="32">
        <v>2.8</v>
      </c>
      <c r="D45" s="32" t="s">
        <v>5</v>
      </c>
      <c r="E45" s="37">
        <f t="shared" si="0"/>
        <v>45</v>
      </c>
      <c r="F45" s="84">
        <v>43.448275862068968</v>
      </c>
      <c r="I45" s="31">
        <v>28</v>
      </c>
      <c r="J45" s="32">
        <v>2.4</v>
      </c>
      <c r="K45" s="32" t="s">
        <v>3</v>
      </c>
      <c r="L45" s="37">
        <f t="shared" si="1"/>
        <v>52.5</v>
      </c>
      <c r="M45" s="84">
        <v>46.666666666666664</v>
      </c>
    </row>
    <row r="46" spans="2:13" x14ac:dyDescent="0.25">
      <c r="B46" s="31">
        <v>29</v>
      </c>
      <c r="C46" s="32">
        <v>3.2</v>
      </c>
      <c r="D46" s="32" t="s">
        <v>5</v>
      </c>
      <c r="E46" s="37">
        <f t="shared" si="0"/>
        <v>39.375</v>
      </c>
      <c r="F46" s="84">
        <v>45</v>
      </c>
      <c r="I46" s="31">
        <v>29</v>
      </c>
      <c r="J46" s="32">
        <v>2.7</v>
      </c>
      <c r="K46" s="32" t="s">
        <v>3</v>
      </c>
      <c r="L46" s="37">
        <f t="shared" si="1"/>
        <v>46.666666666666664</v>
      </c>
      <c r="M46" s="84">
        <v>48.461538461538467</v>
      </c>
    </row>
    <row r="47" spans="2:13" x14ac:dyDescent="0.25">
      <c r="B47" s="31">
        <v>30</v>
      </c>
      <c r="C47" s="32">
        <v>3.4</v>
      </c>
      <c r="D47" s="32" t="s">
        <v>5</v>
      </c>
      <c r="E47" s="37">
        <f t="shared" si="0"/>
        <v>37.058823529411768</v>
      </c>
      <c r="F47" s="84">
        <v>45</v>
      </c>
      <c r="I47" s="31">
        <v>30</v>
      </c>
      <c r="J47" s="32">
        <v>3</v>
      </c>
      <c r="K47" s="32" t="s">
        <v>3</v>
      </c>
      <c r="L47" s="37">
        <f t="shared" si="1"/>
        <v>41.999999999999993</v>
      </c>
      <c r="M47" s="84">
        <v>48.461538461538467</v>
      </c>
    </row>
    <row r="48" spans="2:13" x14ac:dyDescent="0.25">
      <c r="B48" s="31">
        <v>31</v>
      </c>
      <c r="C48" s="32">
        <v>3.3</v>
      </c>
      <c r="D48" s="32" t="s">
        <v>3</v>
      </c>
      <c r="E48" s="37">
        <f t="shared" si="0"/>
        <v>38.181818181818187</v>
      </c>
      <c r="F48" s="84">
        <v>45</v>
      </c>
      <c r="I48" s="31">
        <v>31</v>
      </c>
      <c r="J48" s="32">
        <v>3.4</v>
      </c>
      <c r="K48" s="32" t="s">
        <v>5</v>
      </c>
      <c r="L48" s="37">
        <f t="shared" si="1"/>
        <v>37.058823529411768</v>
      </c>
      <c r="M48" s="84">
        <v>48.461538461538467</v>
      </c>
    </row>
    <row r="49" spans="2:13" x14ac:dyDescent="0.25">
      <c r="B49" s="31">
        <v>32</v>
      </c>
      <c r="C49" s="32">
        <v>3.6</v>
      </c>
      <c r="D49" s="32" t="s">
        <v>5</v>
      </c>
      <c r="E49" s="37">
        <f t="shared" si="0"/>
        <v>34.999999999999993</v>
      </c>
      <c r="F49" s="84">
        <v>45</v>
      </c>
      <c r="I49" s="31">
        <v>32</v>
      </c>
      <c r="J49" s="32">
        <v>2.4</v>
      </c>
      <c r="K49" s="32" t="s">
        <v>3</v>
      </c>
      <c r="L49" s="37">
        <f t="shared" si="1"/>
        <v>52.5</v>
      </c>
      <c r="M49" s="84">
        <v>50.4</v>
      </c>
    </row>
    <row r="50" spans="2:13" x14ac:dyDescent="0.25">
      <c r="B50" s="31">
        <v>33</v>
      </c>
      <c r="C50" s="32">
        <v>1.9</v>
      </c>
      <c r="D50" s="32" t="s">
        <v>3</v>
      </c>
      <c r="E50" s="37">
        <f t="shared" si="0"/>
        <v>66.31578947368422</v>
      </c>
      <c r="F50" s="84">
        <v>45</v>
      </c>
      <c r="I50" s="31">
        <v>33</v>
      </c>
      <c r="J50" s="32">
        <v>2.1</v>
      </c>
      <c r="K50" s="32" t="s">
        <v>5</v>
      </c>
      <c r="L50" s="37">
        <f t="shared" si="1"/>
        <v>59.999999999999986</v>
      </c>
      <c r="M50" s="84">
        <v>50.4</v>
      </c>
    </row>
    <row r="51" spans="2:13" x14ac:dyDescent="0.25">
      <c r="B51" s="31">
        <v>34</v>
      </c>
      <c r="C51" s="32">
        <v>2.7</v>
      </c>
      <c r="D51" s="32" t="s">
        <v>5</v>
      </c>
      <c r="E51" s="37">
        <f t="shared" si="0"/>
        <v>46.666666666666664</v>
      </c>
      <c r="F51" s="84">
        <v>45</v>
      </c>
      <c r="I51" s="31">
        <v>34</v>
      </c>
      <c r="J51" s="32">
        <v>2.6</v>
      </c>
      <c r="K51" s="32" t="s">
        <v>5</v>
      </c>
      <c r="L51" s="37">
        <f t="shared" si="1"/>
        <v>48.461538461538467</v>
      </c>
      <c r="M51" s="84">
        <v>50.4</v>
      </c>
    </row>
    <row r="52" spans="2:13" x14ac:dyDescent="0.25">
      <c r="B52" s="31">
        <v>35</v>
      </c>
      <c r="C52" s="32">
        <v>3.6</v>
      </c>
      <c r="D52" s="32" t="s">
        <v>5</v>
      </c>
      <c r="E52" s="37">
        <f t="shared" si="0"/>
        <v>34.999999999999993</v>
      </c>
      <c r="F52" s="84">
        <v>45</v>
      </c>
      <c r="I52" s="31">
        <v>35</v>
      </c>
      <c r="J52" s="32">
        <v>2.2999999999999998</v>
      </c>
      <c r="K52" s="32" t="s">
        <v>4</v>
      </c>
      <c r="L52" s="37">
        <f t="shared" si="1"/>
        <v>54.782608695652179</v>
      </c>
      <c r="M52" s="84">
        <v>52.5</v>
      </c>
    </row>
    <row r="53" spans="2:13" x14ac:dyDescent="0.25">
      <c r="B53" s="31">
        <v>36</v>
      </c>
      <c r="C53" s="32">
        <v>3.6</v>
      </c>
      <c r="D53" s="32" t="s">
        <v>5</v>
      </c>
      <c r="E53" s="37">
        <f t="shared" si="0"/>
        <v>34.999999999999993</v>
      </c>
      <c r="F53" s="84">
        <v>46.666666666666664</v>
      </c>
      <c r="I53" s="31">
        <v>36</v>
      </c>
      <c r="J53" s="32">
        <v>2.1</v>
      </c>
      <c r="K53" s="32" t="s">
        <v>3</v>
      </c>
      <c r="L53" s="37">
        <f t="shared" si="1"/>
        <v>59.999999999999986</v>
      </c>
      <c r="M53" s="84">
        <v>52.5</v>
      </c>
    </row>
    <row r="54" spans="2:13" x14ac:dyDescent="0.25">
      <c r="B54" s="31">
        <v>37</v>
      </c>
      <c r="C54" s="32">
        <v>3.3</v>
      </c>
      <c r="D54" s="32" t="s">
        <v>3</v>
      </c>
      <c r="E54" s="37">
        <f t="shared" si="0"/>
        <v>38.181818181818187</v>
      </c>
      <c r="F54" s="84">
        <v>46.666666666666664</v>
      </c>
      <c r="I54" s="31">
        <v>37</v>
      </c>
      <c r="J54" s="32">
        <v>2.2000000000000002</v>
      </c>
      <c r="K54" s="32" t="s">
        <v>3</v>
      </c>
      <c r="L54" s="37">
        <f t="shared" si="1"/>
        <v>57.272727272727266</v>
      </c>
      <c r="M54" s="84">
        <v>52.5</v>
      </c>
    </row>
    <row r="55" spans="2:13" x14ac:dyDescent="0.25">
      <c r="B55" s="31">
        <v>38</v>
      </c>
      <c r="C55" s="32">
        <v>3.2</v>
      </c>
      <c r="D55" s="32" t="s">
        <v>5</v>
      </c>
      <c r="E55" s="37">
        <f t="shared" si="0"/>
        <v>39.375</v>
      </c>
      <c r="F55" s="84">
        <v>46.666666666666664</v>
      </c>
      <c r="I55" s="31">
        <v>38</v>
      </c>
      <c r="J55" s="32">
        <v>2.4</v>
      </c>
      <c r="K55" s="32" t="s">
        <v>3</v>
      </c>
      <c r="L55" s="37">
        <f t="shared" si="1"/>
        <v>52.5</v>
      </c>
      <c r="M55" s="84">
        <v>52.5</v>
      </c>
    </row>
    <row r="56" spans="2:13" x14ac:dyDescent="0.25">
      <c r="B56" s="31">
        <v>39</v>
      </c>
      <c r="C56" s="32">
        <v>3</v>
      </c>
      <c r="D56" s="32" t="s">
        <v>3</v>
      </c>
      <c r="E56" s="37">
        <f t="shared" si="0"/>
        <v>41.999999999999993</v>
      </c>
      <c r="F56" s="84">
        <v>46.666666666666664</v>
      </c>
      <c r="I56" s="31">
        <v>39</v>
      </c>
      <c r="J56" s="32">
        <v>2.1</v>
      </c>
      <c r="K56" s="32" t="s">
        <v>3</v>
      </c>
      <c r="L56" s="37">
        <f t="shared" si="1"/>
        <v>59.999999999999986</v>
      </c>
      <c r="M56" s="84">
        <v>52.5</v>
      </c>
    </row>
    <row r="57" spans="2:13" x14ac:dyDescent="0.25">
      <c r="B57" s="31">
        <v>40</v>
      </c>
      <c r="C57" s="32">
        <v>2.1</v>
      </c>
      <c r="D57" s="32" t="s">
        <v>3</v>
      </c>
      <c r="E57" s="37">
        <f t="shared" si="0"/>
        <v>59.999999999999986</v>
      </c>
      <c r="F57" s="84">
        <v>46.666666666666664</v>
      </c>
      <c r="I57" s="31">
        <v>40</v>
      </c>
      <c r="J57" s="32">
        <v>2.5</v>
      </c>
      <c r="K57" s="32" t="s">
        <v>3</v>
      </c>
      <c r="L57" s="37">
        <f t="shared" si="1"/>
        <v>50.4</v>
      </c>
      <c r="M57" s="84">
        <v>52.5</v>
      </c>
    </row>
    <row r="58" spans="2:13" x14ac:dyDescent="0.25">
      <c r="B58" s="31">
        <v>41</v>
      </c>
      <c r="C58" s="32">
        <v>3.1</v>
      </c>
      <c r="D58" s="32" t="s">
        <v>4</v>
      </c>
      <c r="E58" s="37">
        <f t="shared" si="0"/>
        <v>40.645161290322577</v>
      </c>
      <c r="F58" s="84">
        <v>46.666666666666664</v>
      </c>
      <c r="I58" s="31">
        <v>41</v>
      </c>
      <c r="J58" s="32">
        <v>2.2999999999999998</v>
      </c>
      <c r="K58" s="32" t="s">
        <v>3</v>
      </c>
      <c r="L58" s="37">
        <f t="shared" si="1"/>
        <v>54.782608695652179</v>
      </c>
      <c r="M58" s="84">
        <v>52.5</v>
      </c>
    </row>
    <row r="59" spans="2:13" x14ac:dyDescent="0.25">
      <c r="B59" s="31">
        <v>42</v>
      </c>
      <c r="C59" s="32">
        <v>3</v>
      </c>
      <c r="D59" s="32" t="s">
        <v>5</v>
      </c>
      <c r="E59" s="37">
        <f t="shared" si="0"/>
        <v>41.999999999999993</v>
      </c>
      <c r="F59" s="84">
        <v>48.461538461538467</v>
      </c>
      <c r="I59" s="31">
        <v>42</v>
      </c>
      <c r="J59" s="32">
        <v>2.1</v>
      </c>
      <c r="K59" s="32" t="s">
        <v>3</v>
      </c>
      <c r="L59" s="37">
        <f t="shared" si="1"/>
        <v>59.999999999999986</v>
      </c>
      <c r="M59" s="84">
        <v>52.5</v>
      </c>
    </row>
    <row r="60" spans="2:13" x14ac:dyDescent="0.25">
      <c r="B60" s="31">
        <v>43</v>
      </c>
      <c r="C60" s="32">
        <v>2.8</v>
      </c>
      <c r="D60" s="32" t="s">
        <v>5</v>
      </c>
      <c r="E60" s="37">
        <f t="shared" si="0"/>
        <v>45</v>
      </c>
      <c r="F60" s="84">
        <v>48.461538461538467</v>
      </c>
      <c r="I60" s="31">
        <v>43</v>
      </c>
      <c r="J60" s="32">
        <v>1.9</v>
      </c>
      <c r="K60" s="32" t="s">
        <v>3</v>
      </c>
      <c r="L60" s="37">
        <f t="shared" si="1"/>
        <v>66.31578947368422</v>
      </c>
      <c r="M60" s="84">
        <v>52.5</v>
      </c>
    </row>
    <row r="61" spans="2:13" x14ac:dyDescent="0.25">
      <c r="B61" s="31">
        <v>44</v>
      </c>
      <c r="C61" s="32">
        <v>2.2000000000000002</v>
      </c>
      <c r="D61" s="32" t="s">
        <v>3</v>
      </c>
      <c r="E61" s="37">
        <f t="shared" si="0"/>
        <v>57.272727272727266</v>
      </c>
      <c r="F61" s="84">
        <v>48.461538461538467</v>
      </c>
      <c r="I61" s="31">
        <v>44</v>
      </c>
      <c r="J61" s="32">
        <v>2.5</v>
      </c>
      <c r="K61" s="32" t="s">
        <v>3</v>
      </c>
      <c r="L61" s="37">
        <f t="shared" si="1"/>
        <v>50.4</v>
      </c>
      <c r="M61" s="84">
        <v>52.5</v>
      </c>
    </row>
    <row r="62" spans="2:13" x14ac:dyDescent="0.25">
      <c r="B62" s="31">
        <v>45</v>
      </c>
      <c r="C62" s="32">
        <v>2.2000000000000002</v>
      </c>
      <c r="D62" s="32" t="s">
        <v>3</v>
      </c>
      <c r="E62" s="37">
        <f t="shared" si="0"/>
        <v>57.272727272727266</v>
      </c>
      <c r="F62" s="84">
        <v>48.461538461538467</v>
      </c>
      <c r="I62" s="31">
        <v>45</v>
      </c>
      <c r="J62" s="32">
        <v>2.6</v>
      </c>
      <c r="K62" s="32" t="s">
        <v>5</v>
      </c>
      <c r="L62" s="37">
        <f t="shared" si="1"/>
        <v>48.461538461538467</v>
      </c>
      <c r="M62" s="84">
        <v>52.5</v>
      </c>
    </row>
    <row r="63" spans="2:13" x14ac:dyDescent="0.25">
      <c r="B63" s="31">
        <v>46</v>
      </c>
      <c r="C63" s="32">
        <v>2</v>
      </c>
      <c r="D63" s="32" t="s">
        <v>5</v>
      </c>
      <c r="E63" s="37">
        <f t="shared" si="0"/>
        <v>63.000000000000007</v>
      </c>
      <c r="F63" s="84">
        <v>48.461538461538467</v>
      </c>
      <c r="I63" s="31">
        <v>46</v>
      </c>
      <c r="J63" s="32">
        <v>2.1</v>
      </c>
      <c r="K63" s="32" t="s">
        <v>3</v>
      </c>
      <c r="L63" s="37">
        <f t="shared" si="1"/>
        <v>59.999999999999986</v>
      </c>
      <c r="M63" s="84">
        <v>52.5</v>
      </c>
    </row>
    <row r="64" spans="2:13" x14ac:dyDescent="0.25">
      <c r="B64" s="31">
        <v>47</v>
      </c>
      <c r="C64" s="32">
        <v>2.6</v>
      </c>
      <c r="D64" s="32" t="s">
        <v>3</v>
      </c>
      <c r="E64" s="37">
        <f t="shared" si="0"/>
        <v>48.461538461538467</v>
      </c>
      <c r="F64" s="84">
        <v>48.461538461538467</v>
      </c>
      <c r="I64" s="31">
        <v>47</v>
      </c>
      <c r="J64" s="32">
        <v>2.2000000000000002</v>
      </c>
      <c r="K64" s="32" t="s">
        <v>3</v>
      </c>
      <c r="L64" s="37">
        <f t="shared" si="1"/>
        <v>57.272727272727266</v>
      </c>
      <c r="M64" s="84">
        <v>52.5</v>
      </c>
    </row>
    <row r="65" spans="2:13" x14ac:dyDescent="0.25">
      <c r="B65" s="31">
        <v>48</v>
      </c>
      <c r="C65" s="32">
        <v>3.1</v>
      </c>
      <c r="D65" s="32" t="s">
        <v>5</v>
      </c>
      <c r="E65" s="37">
        <f t="shared" si="0"/>
        <v>40.645161290322577</v>
      </c>
      <c r="F65" s="84">
        <v>50.4</v>
      </c>
      <c r="I65" s="31">
        <v>48</v>
      </c>
      <c r="J65" s="32">
        <v>2.7</v>
      </c>
      <c r="K65" s="32" t="s">
        <v>5</v>
      </c>
      <c r="L65" s="37">
        <f t="shared" si="1"/>
        <v>46.666666666666664</v>
      </c>
      <c r="M65" s="84">
        <v>54.782608695652179</v>
      </c>
    </row>
    <row r="66" spans="2:13" x14ac:dyDescent="0.25">
      <c r="B66" s="31">
        <v>49</v>
      </c>
      <c r="C66" s="32">
        <v>2.8</v>
      </c>
      <c r="D66" s="32" t="s">
        <v>3</v>
      </c>
      <c r="E66" s="37">
        <f t="shared" si="0"/>
        <v>45</v>
      </c>
      <c r="F66" s="84">
        <v>50.4</v>
      </c>
      <c r="I66" s="31">
        <v>49</v>
      </c>
      <c r="J66" s="32">
        <v>2.9</v>
      </c>
      <c r="K66" s="32" t="s">
        <v>3</v>
      </c>
      <c r="L66" s="37">
        <f t="shared" si="1"/>
        <v>43.448275862068968</v>
      </c>
      <c r="M66" s="84">
        <v>54.782608695652179</v>
      </c>
    </row>
    <row r="67" spans="2:13" x14ac:dyDescent="0.25">
      <c r="B67" s="31">
        <v>50</v>
      </c>
      <c r="C67" s="32">
        <v>2.7</v>
      </c>
      <c r="D67" s="32" t="s">
        <v>4</v>
      </c>
      <c r="E67" s="37">
        <f t="shared" si="0"/>
        <v>46.666666666666664</v>
      </c>
      <c r="F67" s="84">
        <v>50.4</v>
      </c>
      <c r="I67" s="31">
        <v>50</v>
      </c>
      <c r="J67" s="32">
        <v>2.7</v>
      </c>
      <c r="K67" s="32" t="s">
        <v>3</v>
      </c>
      <c r="L67" s="37">
        <f t="shared" si="1"/>
        <v>46.666666666666664</v>
      </c>
      <c r="M67" s="84">
        <v>54.782608695652179</v>
      </c>
    </row>
    <row r="68" spans="2:13" x14ac:dyDescent="0.25">
      <c r="B68" s="31">
        <v>51</v>
      </c>
      <c r="C68" s="32">
        <v>3.6</v>
      </c>
      <c r="D68" s="32" t="s">
        <v>5</v>
      </c>
      <c r="E68" s="37">
        <f t="shared" si="0"/>
        <v>34.999999999999993</v>
      </c>
      <c r="F68" s="84">
        <v>50.4</v>
      </c>
      <c r="I68" s="31">
        <v>51</v>
      </c>
      <c r="J68" s="32">
        <v>2.9</v>
      </c>
      <c r="K68" s="32" t="s">
        <v>3</v>
      </c>
      <c r="L68" s="37">
        <f t="shared" si="1"/>
        <v>43.448275862068968</v>
      </c>
      <c r="M68" s="84">
        <v>54.782608695652179</v>
      </c>
    </row>
    <row r="69" spans="2:13" x14ac:dyDescent="0.25">
      <c r="B69" s="31">
        <v>52</v>
      </c>
      <c r="C69" s="32">
        <v>2.8</v>
      </c>
      <c r="D69" s="32" t="s">
        <v>3</v>
      </c>
      <c r="E69" s="37">
        <f t="shared" si="0"/>
        <v>45</v>
      </c>
      <c r="F69" s="84">
        <v>50.4</v>
      </c>
      <c r="I69" s="31">
        <v>52</v>
      </c>
      <c r="J69" s="32">
        <v>1.9</v>
      </c>
      <c r="K69" s="32" t="s">
        <v>3</v>
      </c>
      <c r="L69" s="37">
        <f t="shared" si="1"/>
        <v>66.31578947368422</v>
      </c>
      <c r="M69" s="84">
        <v>54.782608695652179</v>
      </c>
    </row>
    <row r="70" spans="2:13" x14ac:dyDescent="0.25">
      <c r="B70" s="31">
        <v>53</v>
      </c>
      <c r="C70" s="32">
        <v>3</v>
      </c>
      <c r="D70" s="32" t="s">
        <v>5</v>
      </c>
      <c r="E70" s="37">
        <f t="shared" si="0"/>
        <v>41.999999999999993</v>
      </c>
      <c r="F70" s="84">
        <v>50.4</v>
      </c>
      <c r="I70" s="31">
        <v>53</v>
      </c>
      <c r="J70" s="32">
        <v>2.1</v>
      </c>
      <c r="K70" s="32" t="s">
        <v>5</v>
      </c>
      <c r="L70" s="37">
        <f t="shared" si="1"/>
        <v>59.999999999999986</v>
      </c>
      <c r="M70" s="84">
        <v>54.782608695652179</v>
      </c>
    </row>
    <row r="71" spans="2:13" x14ac:dyDescent="0.25">
      <c r="B71" s="31">
        <v>54</v>
      </c>
      <c r="C71" s="32">
        <v>2.2000000000000002</v>
      </c>
      <c r="D71" s="32" t="s">
        <v>3</v>
      </c>
      <c r="E71" s="37">
        <f t="shared" si="0"/>
        <v>57.272727272727266</v>
      </c>
      <c r="F71" s="84">
        <v>52.5</v>
      </c>
      <c r="I71" s="31">
        <v>54</v>
      </c>
      <c r="J71" s="32">
        <v>2.2000000000000002</v>
      </c>
      <c r="K71" s="32" t="s">
        <v>4</v>
      </c>
      <c r="L71" s="37">
        <f t="shared" si="1"/>
        <v>57.272727272727266</v>
      </c>
      <c r="M71" s="84">
        <v>54.782608695652179</v>
      </c>
    </row>
    <row r="72" spans="2:13" x14ac:dyDescent="0.25">
      <c r="B72" s="31">
        <v>55</v>
      </c>
      <c r="C72" s="32">
        <v>1.9</v>
      </c>
      <c r="D72" s="32" t="s">
        <v>3</v>
      </c>
      <c r="E72" s="37">
        <f t="shared" si="0"/>
        <v>66.31578947368422</v>
      </c>
      <c r="F72" s="84">
        <v>52.5</v>
      </c>
      <c r="I72" s="31">
        <v>55</v>
      </c>
      <c r="J72" s="32">
        <v>2</v>
      </c>
      <c r="K72" s="32" t="s">
        <v>3</v>
      </c>
      <c r="L72" s="37">
        <f t="shared" si="1"/>
        <v>63.000000000000007</v>
      </c>
      <c r="M72" s="84">
        <v>54.782608695652179</v>
      </c>
    </row>
    <row r="73" spans="2:13" x14ac:dyDescent="0.25">
      <c r="B73" s="31">
        <v>56</v>
      </c>
      <c r="C73" s="32">
        <v>2.9</v>
      </c>
      <c r="D73" s="32" t="s">
        <v>4</v>
      </c>
      <c r="E73" s="37">
        <f t="shared" si="0"/>
        <v>43.448275862068968</v>
      </c>
      <c r="F73" s="84">
        <v>52.5</v>
      </c>
      <c r="I73" s="31">
        <v>56</v>
      </c>
      <c r="J73" s="32">
        <v>2.9</v>
      </c>
      <c r="K73" s="32" t="s">
        <v>3</v>
      </c>
      <c r="L73" s="37">
        <f t="shared" si="1"/>
        <v>43.448275862068968</v>
      </c>
      <c r="M73" s="84">
        <v>57.272727272727266</v>
      </c>
    </row>
    <row r="74" spans="2:13" x14ac:dyDescent="0.25">
      <c r="B74" s="31">
        <v>57</v>
      </c>
      <c r="C74" s="32">
        <v>2.6</v>
      </c>
      <c r="D74" s="32" t="s">
        <v>3</v>
      </c>
      <c r="E74" s="37">
        <f t="shared" si="0"/>
        <v>48.461538461538467</v>
      </c>
      <c r="F74" s="84">
        <v>52.5</v>
      </c>
      <c r="I74" s="31">
        <v>57</v>
      </c>
      <c r="J74" s="32">
        <v>2.8</v>
      </c>
      <c r="K74" s="32" t="s">
        <v>5</v>
      </c>
      <c r="L74" s="37">
        <f t="shared" si="1"/>
        <v>45</v>
      </c>
      <c r="M74" s="84">
        <v>57.272727272727266</v>
      </c>
    </row>
    <row r="75" spans="2:13" x14ac:dyDescent="0.25">
      <c r="B75" s="31">
        <v>58</v>
      </c>
      <c r="C75" s="32">
        <v>3.4</v>
      </c>
      <c r="D75" s="32" t="s">
        <v>5</v>
      </c>
      <c r="E75" s="37">
        <f t="shared" si="0"/>
        <v>37.058823529411768</v>
      </c>
      <c r="F75" s="84">
        <v>54.782608695652179</v>
      </c>
      <c r="I75" s="31">
        <v>58</v>
      </c>
      <c r="J75" s="32">
        <v>2.9</v>
      </c>
      <c r="K75" s="32" t="s">
        <v>5</v>
      </c>
      <c r="L75" s="37">
        <f t="shared" si="1"/>
        <v>43.448275862068968</v>
      </c>
      <c r="M75" s="84">
        <v>57.272727272727266</v>
      </c>
    </row>
    <row r="76" spans="2:13" x14ac:dyDescent="0.25">
      <c r="B76" s="31">
        <v>59</v>
      </c>
      <c r="C76" s="32">
        <v>2.2999999999999998</v>
      </c>
      <c r="D76" s="32" t="s">
        <v>3</v>
      </c>
      <c r="E76" s="37">
        <f t="shared" si="0"/>
        <v>54.782608695652179</v>
      </c>
      <c r="F76" s="84">
        <v>54.782608695652179</v>
      </c>
      <c r="I76" s="31">
        <v>59</v>
      </c>
      <c r="J76" s="32">
        <v>2.2000000000000002</v>
      </c>
      <c r="K76" s="32" t="s">
        <v>3</v>
      </c>
      <c r="L76" s="37">
        <f t="shared" si="1"/>
        <v>57.272727272727266</v>
      </c>
      <c r="M76" s="84">
        <v>57.272727272727266</v>
      </c>
    </row>
    <row r="77" spans="2:13" x14ac:dyDescent="0.25">
      <c r="B77" s="31">
        <v>60</v>
      </c>
      <c r="C77" s="32">
        <v>2.4</v>
      </c>
      <c r="D77" s="32" t="s">
        <v>3</v>
      </c>
      <c r="E77" s="37">
        <f t="shared" si="0"/>
        <v>52.5</v>
      </c>
      <c r="F77" s="84">
        <v>54.782608695652179</v>
      </c>
      <c r="I77" s="31">
        <v>60</v>
      </c>
      <c r="J77" s="32">
        <v>2.4</v>
      </c>
      <c r="K77" s="32" t="s">
        <v>3</v>
      </c>
      <c r="L77" s="37">
        <f t="shared" si="1"/>
        <v>52.5</v>
      </c>
      <c r="M77" s="84">
        <v>57.272727272727266</v>
      </c>
    </row>
    <row r="78" spans="2:13" x14ac:dyDescent="0.25">
      <c r="B78" s="31">
        <v>61</v>
      </c>
      <c r="C78" s="32">
        <v>3.5</v>
      </c>
      <c r="D78" s="32" t="s">
        <v>5</v>
      </c>
      <c r="E78" s="37">
        <f t="shared" si="0"/>
        <v>36</v>
      </c>
      <c r="F78" s="84">
        <v>54.782608695652179</v>
      </c>
      <c r="I78" s="31">
        <v>61</v>
      </c>
      <c r="J78" s="32">
        <v>2.2000000000000002</v>
      </c>
      <c r="K78" s="32" t="s">
        <v>5</v>
      </c>
      <c r="L78" s="37">
        <f t="shared" si="1"/>
        <v>57.272727272727266</v>
      </c>
      <c r="M78" s="84">
        <v>57.272727272727266</v>
      </c>
    </row>
    <row r="79" spans="2:13" x14ac:dyDescent="0.25">
      <c r="B79" s="31">
        <v>62</v>
      </c>
      <c r="C79" s="32">
        <v>3.6</v>
      </c>
      <c r="D79" s="32" t="s">
        <v>5</v>
      </c>
      <c r="E79" s="37">
        <f t="shared" si="0"/>
        <v>34.999999999999993</v>
      </c>
      <c r="F79" s="84">
        <v>57.272727272727266</v>
      </c>
      <c r="I79" s="31">
        <v>62</v>
      </c>
      <c r="J79" s="32">
        <v>3.2</v>
      </c>
      <c r="K79" s="32" t="s">
        <v>3</v>
      </c>
      <c r="L79" s="37">
        <f t="shared" si="1"/>
        <v>39.375</v>
      </c>
      <c r="M79" s="84">
        <v>57.272727272727266</v>
      </c>
    </row>
    <row r="80" spans="2:13" x14ac:dyDescent="0.25">
      <c r="B80" s="31">
        <v>63</v>
      </c>
      <c r="C80" s="32">
        <v>3</v>
      </c>
      <c r="D80" s="32" t="s">
        <v>3</v>
      </c>
      <c r="E80" s="37">
        <f t="shared" si="0"/>
        <v>41.999999999999993</v>
      </c>
      <c r="F80" s="84">
        <v>57.272727272727266</v>
      </c>
      <c r="I80" s="31">
        <v>63</v>
      </c>
      <c r="J80" s="32">
        <v>2.4</v>
      </c>
      <c r="K80" s="32" t="s">
        <v>3</v>
      </c>
      <c r="L80" s="37">
        <f t="shared" si="1"/>
        <v>52.5</v>
      </c>
      <c r="M80" s="84">
        <v>57.272727272727266</v>
      </c>
    </row>
    <row r="81" spans="2:13" x14ac:dyDescent="0.25">
      <c r="B81" s="31">
        <v>64</v>
      </c>
      <c r="C81" s="32">
        <v>2.5</v>
      </c>
      <c r="D81" s="32" t="s">
        <v>5</v>
      </c>
      <c r="E81" s="37">
        <f t="shared" si="0"/>
        <v>50.4</v>
      </c>
      <c r="F81" s="84">
        <v>57.272727272727266</v>
      </c>
      <c r="I81" s="31">
        <v>64</v>
      </c>
      <c r="J81" s="32">
        <v>2.2999999999999998</v>
      </c>
      <c r="K81" s="32" t="s">
        <v>3</v>
      </c>
      <c r="L81" s="37">
        <f t="shared" si="1"/>
        <v>54.782608695652179</v>
      </c>
      <c r="M81" s="84">
        <v>59.999999999999986</v>
      </c>
    </row>
    <row r="82" spans="2:13" x14ac:dyDescent="0.25">
      <c r="B82" s="31">
        <v>65</v>
      </c>
      <c r="C82" s="32">
        <v>2.5</v>
      </c>
      <c r="D82" s="32" t="s">
        <v>3</v>
      </c>
      <c r="E82" s="37">
        <f t="shared" si="0"/>
        <v>50.4</v>
      </c>
      <c r="F82" s="84">
        <v>57.272727272727266</v>
      </c>
      <c r="I82" s="31">
        <v>65</v>
      </c>
      <c r="J82" s="32">
        <v>2.7</v>
      </c>
      <c r="K82" s="32" t="s">
        <v>3</v>
      </c>
      <c r="L82" s="37">
        <f t="shared" si="1"/>
        <v>46.666666666666664</v>
      </c>
      <c r="M82" s="84">
        <v>59.999999999999986</v>
      </c>
    </row>
    <row r="83" spans="2:13" x14ac:dyDescent="0.25">
      <c r="B83" s="31">
        <v>66</v>
      </c>
      <c r="C83" s="32">
        <v>2.6</v>
      </c>
      <c r="D83" s="32" t="s">
        <v>3</v>
      </c>
      <c r="E83" s="37">
        <f t="shared" ref="E83:E97" si="2">(($C$10/C83)/1000)*3600</f>
        <v>48.461538461538467</v>
      </c>
      <c r="F83" s="84">
        <v>57.272727272727266</v>
      </c>
      <c r="I83" s="31">
        <v>66</v>
      </c>
      <c r="J83" s="32">
        <v>2.1</v>
      </c>
      <c r="K83" s="32" t="s">
        <v>3</v>
      </c>
      <c r="L83" s="37">
        <f t="shared" ref="L83:L97" si="3">(($K$10/J83)/1000)*3600</f>
        <v>59.999999999999986</v>
      </c>
      <c r="M83" s="84">
        <v>59.999999999999986</v>
      </c>
    </row>
    <row r="84" spans="2:13" x14ac:dyDescent="0.25">
      <c r="B84" s="31">
        <v>67</v>
      </c>
      <c r="C84" s="32">
        <v>3</v>
      </c>
      <c r="D84" s="32" t="s">
        <v>3</v>
      </c>
      <c r="E84" s="37">
        <f t="shared" si="2"/>
        <v>41.999999999999993</v>
      </c>
      <c r="F84" s="84">
        <v>57.272727272727266</v>
      </c>
      <c r="I84" s="31">
        <v>67</v>
      </c>
      <c r="J84" s="32">
        <v>2.2000000000000002</v>
      </c>
      <c r="K84" s="32" t="s">
        <v>3</v>
      </c>
      <c r="L84" s="37">
        <f t="shared" si="3"/>
        <v>57.272727272727266</v>
      </c>
      <c r="M84" s="84">
        <v>59.999999999999986</v>
      </c>
    </row>
    <row r="85" spans="2:13" x14ac:dyDescent="0.25">
      <c r="B85" s="31">
        <v>68</v>
      </c>
      <c r="C85" s="32">
        <v>2.7</v>
      </c>
      <c r="D85" s="32" t="s">
        <v>5</v>
      </c>
      <c r="E85" s="37">
        <f t="shared" si="2"/>
        <v>46.666666666666664</v>
      </c>
      <c r="F85" s="84">
        <v>57.272727272727266</v>
      </c>
      <c r="I85" s="31">
        <v>68</v>
      </c>
      <c r="J85" s="32">
        <v>2.8</v>
      </c>
      <c r="K85" s="32" t="s">
        <v>3</v>
      </c>
      <c r="L85" s="37">
        <f t="shared" si="3"/>
        <v>45</v>
      </c>
      <c r="M85" s="84">
        <v>59.999999999999986</v>
      </c>
    </row>
    <row r="86" spans="2:13" x14ac:dyDescent="0.25">
      <c r="B86" s="31">
        <v>69</v>
      </c>
      <c r="C86" s="32">
        <v>2.8</v>
      </c>
      <c r="D86" s="32" t="s">
        <v>3</v>
      </c>
      <c r="E86" s="37">
        <f t="shared" si="2"/>
        <v>45</v>
      </c>
      <c r="F86" s="84">
        <v>59.999999999999986</v>
      </c>
      <c r="I86" s="31">
        <v>69</v>
      </c>
      <c r="J86" s="32">
        <v>2.2000000000000002</v>
      </c>
      <c r="K86" s="32" t="s">
        <v>4</v>
      </c>
      <c r="L86" s="37">
        <f t="shared" si="3"/>
        <v>57.272727272727266</v>
      </c>
      <c r="M86" s="84">
        <v>59.999999999999986</v>
      </c>
    </row>
    <row r="87" spans="2:13" x14ac:dyDescent="0.25">
      <c r="B87" s="31">
        <v>70</v>
      </c>
      <c r="C87" s="32">
        <v>2.2999999999999998</v>
      </c>
      <c r="D87" s="32" t="s">
        <v>3</v>
      </c>
      <c r="E87" s="37">
        <f t="shared" si="2"/>
        <v>54.782608695652179</v>
      </c>
      <c r="F87" s="84">
        <v>59.999999999999986</v>
      </c>
      <c r="I87" s="31">
        <v>70</v>
      </c>
      <c r="J87" s="32">
        <v>2.2999999999999998</v>
      </c>
      <c r="K87" s="32" t="s">
        <v>5</v>
      </c>
      <c r="L87" s="37">
        <f t="shared" si="3"/>
        <v>54.782608695652179</v>
      </c>
      <c r="M87" s="84">
        <v>59.999999999999986</v>
      </c>
    </row>
    <row r="88" spans="2:13" x14ac:dyDescent="0.25">
      <c r="B88" s="31">
        <v>71</v>
      </c>
      <c r="C88" s="32">
        <v>2.6</v>
      </c>
      <c r="D88" s="32" t="s">
        <v>3</v>
      </c>
      <c r="E88" s="37">
        <f t="shared" si="2"/>
        <v>48.461538461538467</v>
      </c>
      <c r="F88" s="84">
        <v>59.999999999999986</v>
      </c>
      <c r="I88" s="31">
        <v>71</v>
      </c>
      <c r="J88" s="32">
        <v>2.7</v>
      </c>
      <c r="K88" s="32" t="s">
        <v>3</v>
      </c>
      <c r="L88" s="37">
        <f t="shared" si="3"/>
        <v>46.666666666666664</v>
      </c>
      <c r="M88" s="84">
        <v>59.999999999999986</v>
      </c>
    </row>
    <row r="89" spans="2:13" x14ac:dyDescent="0.25">
      <c r="B89" s="31">
        <v>72</v>
      </c>
      <c r="C89" s="32">
        <v>2.9</v>
      </c>
      <c r="D89" s="32" t="s">
        <v>3</v>
      </c>
      <c r="E89" s="37">
        <f t="shared" si="2"/>
        <v>43.448275862068968</v>
      </c>
      <c r="F89" s="84">
        <v>63.000000000000007</v>
      </c>
      <c r="I89" s="31">
        <v>72</v>
      </c>
      <c r="J89" s="32">
        <v>2.2999999999999998</v>
      </c>
      <c r="K89" s="32" t="s">
        <v>3</v>
      </c>
      <c r="L89" s="37">
        <f t="shared" si="3"/>
        <v>54.782608695652179</v>
      </c>
      <c r="M89" s="84">
        <v>59.999999999999986</v>
      </c>
    </row>
    <row r="90" spans="2:13" x14ac:dyDescent="0.25">
      <c r="B90" s="31">
        <v>73</v>
      </c>
      <c r="C90" s="32">
        <v>2.7</v>
      </c>
      <c r="D90" s="32" t="s">
        <v>3</v>
      </c>
      <c r="E90" s="37">
        <f t="shared" si="2"/>
        <v>46.666666666666664</v>
      </c>
      <c r="F90" s="84">
        <v>63.000000000000007</v>
      </c>
      <c r="I90" s="31">
        <v>73</v>
      </c>
      <c r="J90" s="32">
        <v>2.4</v>
      </c>
      <c r="K90" s="32" t="s">
        <v>3</v>
      </c>
      <c r="L90" s="37">
        <f t="shared" si="3"/>
        <v>52.5</v>
      </c>
      <c r="M90" s="84">
        <v>63.000000000000007</v>
      </c>
    </row>
    <row r="91" spans="2:13" x14ac:dyDescent="0.25">
      <c r="B91" s="31">
        <v>74</v>
      </c>
      <c r="C91" s="32">
        <v>2.8</v>
      </c>
      <c r="D91" s="32" t="s">
        <v>3</v>
      </c>
      <c r="E91" s="37">
        <f t="shared" si="2"/>
        <v>45</v>
      </c>
      <c r="F91" s="84">
        <v>66.31578947368422</v>
      </c>
      <c r="I91" s="31">
        <v>74</v>
      </c>
      <c r="J91" s="32">
        <v>2.2999999999999998</v>
      </c>
      <c r="K91" s="32" t="s">
        <v>3</v>
      </c>
      <c r="L91" s="37">
        <f t="shared" si="3"/>
        <v>54.782608695652179</v>
      </c>
      <c r="M91" s="84">
        <v>63.000000000000007</v>
      </c>
    </row>
    <row r="92" spans="2:13" x14ac:dyDescent="0.25">
      <c r="B92" s="31">
        <v>75</v>
      </c>
      <c r="C92" s="32">
        <v>2.2000000000000002</v>
      </c>
      <c r="D92" s="32" t="s">
        <v>3</v>
      </c>
      <c r="E92" s="37">
        <f t="shared" si="2"/>
        <v>57.272727272727266</v>
      </c>
      <c r="F92" s="84">
        <v>66.31578947368422</v>
      </c>
      <c r="I92" s="31">
        <v>75</v>
      </c>
      <c r="J92" s="32">
        <v>2</v>
      </c>
      <c r="K92" s="32" t="s">
        <v>3</v>
      </c>
      <c r="L92" s="37">
        <f t="shared" si="3"/>
        <v>63.000000000000007</v>
      </c>
      <c r="M92" s="84">
        <v>63.000000000000007</v>
      </c>
    </row>
    <row r="93" spans="2:13" x14ac:dyDescent="0.25">
      <c r="B93" s="31">
        <v>76</v>
      </c>
      <c r="C93" s="32">
        <v>2.7</v>
      </c>
      <c r="D93" s="32" t="s">
        <v>4</v>
      </c>
      <c r="E93" s="37">
        <f t="shared" si="2"/>
        <v>46.666666666666664</v>
      </c>
      <c r="F93" s="84">
        <v>66.31578947368422</v>
      </c>
      <c r="I93" s="31">
        <v>76</v>
      </c>
      <c r="J93" s="32">
        <v>1.9</v>
      </c>
      <c r="K93" s="32" t="s">
        <v>3</v>
      </c>
      <c r="L93" s="37">
        <f t="shared" si="3"/>
        <v>66.31578947368422</v>
      </c>
      <c r="M93" s="84">
        <v>63.000000000000007</v>
      </c>
    </row>
    <row r="94" spans="2:13" x14ac:dyDescent="0.25">
      <c r="B94" s="31">
        <v>77</v>
      </c>
      <c r="C94" s="32">
        <v>2.6</v>
      </c>
      <c r="D94" s="32" t="s">
        <v>4</v>
      </c>
      <c r="E94" s="37">
        <f t="shared" si="2"/>
        <v>48.461538461538467</v>
      </c>
      <c r="F94" s="84">
        <v>66.31578947368422</v>
      </c>
      <c r="I94" s="31">
        <v>77</v>
      </c>
      <c r="J94" s="32">
        <v>2.1</v>
      </c>
      <c r="K94" s="32" t="s">
        <v>3</v>
      </c>
      <c r="L94" s="37">
        <f t="shared" si="3"/>
        <v>59.999999999999986</v>
      </c>
      <c r="M94" s="84">
        <v>66.31578947368422</v>
      </c>
    </row>
    <row r="95" spans="2:13" x14ac:dyDescent="0.25">
      <c r="B95" s="31">
        <v>78</v>
      </c>
      <c r="C95" s="32">
        <v>2.5</v>
      </c>
      <c r="D95" s="32" t="s">
        <v>3</v>
      </c>
      <c r="E95" s="37">
        <f t="shared" si="2"/>
        <v>50.4</v>
      </c>
      <c r="F95" s="84">
        <v>66.31578947368422</v>
      </c>
      <c r="I95" s="31">
        <v>78</v>
      </c>
      <c r="J95" s="32">
        <v>2.2999999999999998</v>
      </c>
      <c r="K95" s="32" t="s">
        <v>5</v>
      </c>
      <c r="L95" s="37">
        <f t="shared" si="3"/>
        <v>54.782608695652179</v>
      </c>
      <c r="M95" s="84">
        <v>66.31578947368422</v>
      </c>
    </row>
    <row r="96" spans="2:13" x14ac:dyDescent="0.25">
      <c r="B96" s="31">
        <v>79</v>
      </c>
      <c r="C96" s="32">
        <v>1.9</v>
      </c>
      <c r="D96" s="32" t="s">
        <v>3</v>
      </c>
      <c r="E96" s="37">
        <f t="shared" si="2"/>
        <v>66.31578947368422</v>
      </c>
      <c r="F96" s="84">
        <v>66.31578947368422</v>
      </c>
      <c r="I96" s="31">
        <v>79</v>
      </c>
      <c r="J96" s="32">
        <v>1.8</v>
      </c>
      <c r="K96" s="32" t="s">
        <v>3</v>
      </c>
      <c r="L96" s="37">
        <f t="shared" si="3"/>
        <v>69.999999999999986</v>
      </c>
      <c r="M96" s="84">
        <v>66.31578947368422</v>
      </c>
    </row>
    <row r="97" spans="2:14" ht="15.75" thickBot="1" x14ac:dyDescent="0.3">
      <c r="B97" s="33">
        <v>80</v>
      </c>
      <c r="C97" s="34">
        <v>2.2000000000000002</v>
      </c>
      <c r="D97" s="34" t="s">
        <v>3</v>
      </c>
      <c r="E97" s="39">
        <f t="shared" si="2"/>
        <v>57.272727272727266</v>
      </c>
      <c r="F97" s="86">
        <v>66.31578947368422</v>
      </c>
      <c r="I97" s="33">
        <v>80</v>
      </c>
      <c r="J97" s="34">
        <v>2</v>
      </c>
      <c r="K97" s="34" t="s">
        <v>3</v>
      </c>
      <c r="L97" s="39">
        <f t="shared" si="3"/>
        <v>63.000000000000007</v>
      </c>
      <c r="M97" s="86">
        <v>69.999999999999986</v>
      </c>
    </row>
    <row r="99" spans="2:14" ht="15.75" thickBot="1" x14ac:dyDescent="0.3"/>
    <row r="100" spans="2:14" x14ac:dyDescent="0.25">
      <c r="B100" s="104" t="s">
        <v>33</v>
      </c>
      <c r="C100" s="105"/>
      <c r="D100" s="106" t="s">
        <v>36</v>
      </c>
      <c r="E100" s="106" t="s">
        <v>39</v>
      </c>
      <c r="F100" s="106"/>
      <c r="G100" s="110"/>
      <c r="I100" s="104" t="s">
        <v>33</v>
      </c>
      <c r="J100" s="105"/>
      <c r="K100" s="106" t="s">
        <v>36</v>
      </c>
      <c r="L100" s="106" t="s">
        <v>39</v>
      </c>
      <c r="M100" s="106"/>
      <c r="N100" s="110"/>
    </row>
    <row r="101" spans="2:14" x14ac:dyDescent="0.25">
      <c r="B101" s="65" t="s">
        <v>34</v>
      </c>
      <c r="C101" s="58" t="s">
        <v>35</v>
      </c>
      <c r="D101" s="107"/>
      <c r="E101" s="58" t="s">
        <v>37</v>
      </c>
      <c r="F101" s="58" t="s">
        <v>68</v>
      </c>
      <c r="G101" s="66" t="s">
        <v>38</v>
      </c>
      <c r="I101" s="65" t="s">
        <v>34</v>
      </c>
      <c r="J101" s="58" t="s">
        <v>35</v>
      </c>
      <c r="K101" s="107"/>
      <c r="L101" s="58" t="s">
        <v>37</v>
      </c>
      <c r="M101" s="58" t="s">
        <v>68</v>
      </c>
      <c r="N101" s="66" t="s">
        <v>38</v>
      </c>
    </row>
    <row r="102" spans="2:14" x14ac:dyDescent="0.25">
      <c r="B102" s="67">
        <v>34</v>
      </c>
      <c r="C102" s="54">
        <f>B102+4</f>
        <v>38</v>
      </c>
      <c r="D102" s="32">
        <f>(B102+C102)/2</f>
        <v>36</v>
      </c>
      <c r="E102" s="53">
        <f>COUNTIFS($E$18:$E$97,"&gt;=34",$E$18:$E$97,"&lt;38")</f>
        <v>9</v>
      </c>
      <c r="F102" s="32">
        <f>E102/$E$111*100</f>
        <v>11.25</v>
      </c>
      <c r="G102" s="68">
        <f>F102</f>
        <v>11.25</v>
      </c>
      <c r="I102" s="67">
        <v>36</v>
      </c>
      <c r="J102" s="54">
        <f>I102+4</f>
        <v>40</v>
      </c>
      <c r="K102" s="32">
        <f>(I102+J102)/2</f>
        <v>38</v>
      </c>
      <c r="L102" s="53">
        <f>COUNTIFS($L$18:$L$97,"&gt;=36",$L$18:$L$97,"&lt;40")</f>
        <v>5</v>
      </c>
      <c r="M102" s="32">
        <f>L102/$E$111*100</f>
        <v>6.25</v>
      </c>
      <c r="N102" s="68">
        <f>M102</f>
        <v>6.25</v>
      </c>
    </row>
    <row r="103" spans="2:14" x14ac:dyDescent="0.25">
      <c r="B103" s="67">
        <f>C102</f>
        <v>38</v>
      </c>
      <c r="C103" s="54">
        <f>B103+4</f>
        <v>42</v>
      </c>
      <c r="D103" s="32">
        <f>(B103+C103)/2</f>
        <v>40</v>
      </c>
      <c r="E103" s="53">
        <f>COUNTIFS($E$18:$E$97,"&gt;=38",$E$18:$E$97,"&lt;42")</f>
        <v>9</v>
      </c>
      <c r="F103" s="32">
        <f>E103/$E$111*100</f>
        <v>11.25</v>
      </c>
      <c r="G103" s="68">
        <f>G102+F103</f>
        <v>22.5</v>
      </c>
      <c r="I103" s="67">
        <f>I102+4</f>
        <v>40</v>
      </c>
      <c r="J103" s="54">
        <f>J102+4</f>
        <v>44</v>
      </c>
      <c r="K103" s="32">
        <f>(I103+J103)/2</f>
        <v>42</v>
      </c>
      <c r="L103" s="53">
        <f>COUNTIFS($L$18:$L$97,"&gt;=40",$L$18:$L$97,"&lt;44")</f>
        <v>13</v>
      </c>
      <c r="M103" s="32">
        <f t="shared" ref="M103:M110" si="4">L103/$E$111*100</f>
        <v>16.25</v>
      </c>
      <c r="N103" s="68">
        <f>N102+M103</f>
        <v>22.5</v>
      </c>
    </row>
    <row r="104" spans="2:14" x14ac:dyDescent="0.25">
      <c r="B104" s="67">
        <f t="shared" ref="B104:B110" si="5">C103</f>
        <v>42</v>
      </c>
      <c r="C104" s="54">
        <f t="shared" ref="C104:C110" si="6">B104+4</f>
        <v>46</v>
      </c>
      <c r="D104" s="32">
        <f t="shared" ref="D104:D110" si="7">(B104+C104)/2</f>
        <v>44</v>
      </c>
      <c r="E104" s="53">
        <f>COUNTIFS($E$18:$E$97,"&gt;=42",$E$18:$E$97,"&lt;46")</f>
        <v>17</v>
      </c>
      <c r="F104" s="32">
        <f t="shared" ref="F104:F108" si="8">E104/$E$111*100</f>
        <v>21.25</v>
      </c>
      <c r="G104" s="68">
        <f t="shared" ref="G104:G110" si="9">G103+F104</f>
        <v>43.75</v>
      </c>
      <c r="I104" s="67">
        <f t="shared" ref="I104:I107" si="10">I103+4</f>
        <v>44</v>
      </c>
      <c r="J104" s="54">
        <f t="shared" ref="J104:J107" si="11">J103+4</f>
        <v>48</v>
      </c>
      <c r="K104" s="32">
        <f t="shared" ref="K104:K110" si="12">(I104+J104)/2</f>
        <v>46</v>
      </c>
      <c r="L104" s="53">
        <f>COUNTIFS($L$18:$L$97,"&gt;=44",$L$18:$L$97,"&lt;48")</f>
        <v>10</v>
      </c>
      <c r="M104" s="32">
        <f t="shared" si="4"/>
        <v>12.5</v>
      </c>
      <c r="N104" s="68">
        <f t="shared" ref="N104:N110" si="13">N103+M104</f>
        <v>35</v>
      </c>
    </row>
    <row r="105" spans="2:14" x14ac:dyDescent="0.25">
      <c r="B105" s="67">
        <f t="shared" si="5"/>
        <v>46</v>
      </c>
      <c r="C105" s="54">
        <f t="shared" si="6"/>
        <v>50</v>
      </c>
      <c r="D105" s="32">
        <f t="shared" si="7"/>
        <v>48</v>
      </c>
      <c r="E105" s="53">
        <f>COUNTIFS($E$18:$E$97,"&gt;=46",$E$18:$E$97,"&lt;50")</f>
        <v>12</v>
      </c>
      <c r="F105" s="32">
        <f>E105/$E$111*100</f>
        <v>15</v>
      </c>
      <c r="G105" s="68">
        <f t="shared" si="9"/>
        <v>58.75</v>
      </c>
      <c r="I105" s="67">
        <f t="shared" si="10"/>
        <v>48</v>
      </c>
      <c r="J105" s="54">
        <f t="shared" si="11"/>
        <v>52</v>
      </c>
      <c r="K105" s="32">
        <f t="shared" si="12"/>
        <v>50</v>
      </c>
      <c r="L105" s="53">
        <f>COUNTIFS($L$18:$L$97,"&gt;=48",$L$18:$L$97,"&lt;52")</f>
        <v>6</v>
      </c>
      <c r="M105" s="32">
        <f t="shared" si="4"/>
        <v>7.5</v>
      </c>
      <c r="N105" s="68">
        <f t="shared" si="13"/>
        <v>42.5</v>
      </c>
    </row>
    <row r="106" spans="2:14" x14ac:dyDescent="0.25">
      <c r="B106" s="67">
        <f t="shared" si="5"/>
        <v>50</v>
      </c>
      <c r="C106" s="54">
        <f t="shared" si="6"/>
        <v>54</v>
      </c>
      <c r="D106" s="32">
        <f t="shared" si="7"/>
        <v>52</v>
      </c>
      <c r="E106" s="53">
        <f>COUNTIFS($E$18:$E$97,"&gt;=50",$E$18:$E$97,"&lt;54")</f>
        <v>10</v>
      </c>
      <c r="F106" s="32">
        <f t="shared" si="8"/>
        <v>12.5</v>
      </c>
      <c r="G106" s="68">
        <f t="shared" si="9"/>
        <v>71.25</v>
      </c>
      <c r="I106" s="67">
        <f t="shared" si="10"/>
        <v>52</v>
      </c>
      <c r="J106" s="54">
        <f t="shared" si="11"/>
        <v>56</v>
      </c>
      <c r="K106" s="32">
        <f t="shared" si="12"/>
        <v>54</v>
      </c>
      <c r="L106" s="53">
        <f>COUNTIFS($L$18:$L$97,"&gt;=52",$L$18:$L$97,"&lt;56")</f>
        <v>21</v>
      </c>
      <c r="M106" s="32">
        <f t="shared" si="4"/>
        <v>26.25</v>
      </c>
      <c r="N106" s="68">
        <f t="shared" si="13"/>
        <v>68.75</v>
      </c>
    </row>
    <row r="107" spans="2:14" x14ac:dyDescent="0.25">
      <c r="B107" s="67">
        <f t="shared" si="5"/>
        <v>54</v>
      </c>
      <c r="C107" s="54">
        <f t="shared" si="6"/>
        <v>58</v>
      </c>
      <c r="D107" s="32">
        <f t="shared" si="7"/>
        <v>56</v>
      </c>
      <c r="E107" s="53">
        <f>COUNTIFS($E$18:$E$97,"&gt;=54",$E$18:$E$97,"&lt;58")</f>
        <v>11</v>
      </c>
      <c r="F107" s="32">
        <f>E107/$E$111*100</f>
        <v>13.750000000000002</v>
      </c>
      <c r="G107" s="68">
        <f t="shared" si="9"/>
        <v>85</v>
      </c>
      <c r="I107" s="67">
        <f t="shared" si="10"/>
        <v>56</v>
      </c>
      <c r="J107" s="54">
        <f t="shared" si="11"/>
        <v>60</v>
      </c>
      <c r="K107" s="32">
        <f t="shared" si="12"/>
        <v>58</v>
      </c>
      <c r="L107" s="53">
        <f>COUNTIFS($L$18:$L$97,"&gt;=56",$L$18:$L$97,"&lt;60")</f>
        <v>8</v>
      </c>
      <c r="M107" s="32">
        <f t="shared" si="4"/>
        <v>10</v>
      </c>
      <c r="N107" s="68">
        <f t="shared" si="13"/>
        <v>78.75</v>
      </c>
    </row>
    <row r="108" spans="2:14" x14ac:dyDescent="0.25">
      <c r="B108" s="67">
        <f t="shared" si="5"/>
        <v>58</v>
      </c>
      <c r="C108" s="54">
        <f t="shared" si="6"/>
        <v>62</v>
      </c>
      <c r="D108" s="32">
        <f t="shared" si="7"/>
        <v>60</v>
      </c>
      <c r="E108" s="53">
        <f>COUNTIFS($E$18:$E$97,"&gt;=58",$E$18:$E$97,"&lt;62")</f>
        <v>3</v>
      </c>
      <c r="F108" s="32">
        <f t="shared" si="8"/>
        <v>3.75</v>
      </c>
      <c r="G108" s="68">
        <f t="shared" si="9"/>
        <v>88.75</v>
      </c>
      <c r="I108" s="67">
        <f t="shared" ref="I108:J110" si="14">I107+4</f>
        <v>60</v>
      </c>
      <c r="J108" s="54">
        <f t="shared" si="14"/>
        <v>64</v>
      </c>
      <c r="K108" s="32">
        <f t="shared" si="12"/>
        <v>62</v>
      </c>
      <c r="L108" s="53">
        <f>COUNTIFS($L$18:$L$97,"&gt;=60",$L$18:$L$97,"&lt;64")</f>
        <v>13</v>
      </c>
      <c r="M108" s="32">
        <f t="shared" si="4"/>
        <v>16.25</v>
      </c>
      <c r="N108" s="68">
        <f t="shared" si="13"/>
        <v>95</v>
      </c>
    </row>
    <row r="109" spans="2:14" x14ac:dyDescent="0.25">
      <c r="B109" s="67">
        <f>C108</f>
        <v>62</v>
      </c>
      <c r="C109" s="54">
        <f>B109+4</f>
        <v>66</v>
      </c>
      <c r="D109" s="32">
        <f t="shared" si="7"/>
        <v>64</v>
      </c>
      <c r="E109" s="53">
        <f>COUNTIFS($E$18:$E$97,"&gt;=62",$E$18:$E$97,"&lt;66")</f>
        <v>2</v>
      </c>
      <c r="F109" s="32">
        <f>E109/$E$111*100</f>
        <v>2.5</v>
      </c>
      <c r="G109" s="68">
        <f t="shared" si="9"/>
        <v>91.25</v>
      </c>
      <c r="I109" s="67">
        <f t="shared" si="14"/>
        <v>64</v>
      </c>
      <c r="J109" s="54">
        <f t="shared" si="14"/>
        <v>68</v>
      </c>
      <c r="K109" s="32">
        <f t="shared" si="12"/>
        <v>66</v>
      </c>
      <c r="L109" s="53">
        <f>COUNTIFS($L$18:$L$97,"&gt;=64",$L$18:$L$97,"&lt;68")</f>
        <v>3</v>
      </c>
      <c r="M109" s="32">
        <f t="shared" si="4"/>
        <v>3.75</v>
      </c>
      <c r="N109" s="68">
        <f t="shared" si="13"/>
        <v>98.75</v>
      </c>
    </row>
    <row r="110" spans="2:14" ht="15.75" thickBot="1" x14ac:dyDescent="0.3">
      <c r="B110" s="69">
        <f t="shared" si="5"/>
        <v>66</v>
      </c>
      <c r="C110" s="70">
        <f t="shared" si="6"/>
        <v>70</v>
      </c>
      <c r="D110" s="32">
        <f t="shared" si="7"/>
        <v>68</v>
      </c>
      <c r="E110" s="53">
        <f>COUNTIFS($E$18:$E$97,"&gt;=66",$E$18:$E$97,"&lt;=70")</f>
        <v>7</v>
      </c>
      <c r="F110" s="72">
        <f>E110/$E$111*100</f>
        <v>8.75</v>
      </c>
      <c r="G110" s="71">
        <f t="shared" si="9"/>
        <v>100</v>
      </c>
      <c r="I110" s="69">
        <f t="shared" si="14"/>
        <v>68</v>
      </c>
      <c r="J110" s="70">
        <f t="shared" si="14"/>
        <v>72</v>
      </c>
      <c r="K110" s="32">
        <f t="shared" si="12"/>
        <v>70</v>
      </c>
      <c r="L110" s="74">
        <f>COUNTIFS($L$18:$L$97,"&gt;=68",$L$18:$L$97,"&lt;72")</f>
        <v>1</v>
      </c>
      <c r="M110" s="72">
        <f t="shared" si="4"/>
        <v>1.25</v>
      </c>
      <c r="N110" s="71">
        <f t="shared" si="13"/>
        <v>100</v>
      </c>
    </row>
    <row r="111" spans="2:14" ht="15.75" thickBot="1" x14ac:dyDescent="0.3">
      <c r="D111" s="77" t="s">
        <v>79</v>
      </c>
      <c r="E111" s="102">
        <f>SUM(E102:E110)</f>
        <v>80</v>
      </c>
      <c r="F111" s="103">
        <f>SUM(F102:F110)</f>
        <v>100</v>
      </c>
      <c r="I111" s="56"/>
      <c r="J111" s="56"/>
      <c r="K111" s="99" t="s">
        <v>79</v>
      </c>
      <c r="L111" s="100">
        <f>SUM(L102:L110)</f>
        <v>80</v>
      </c>
      <c r="M111" s="101">
        <f>SUM(M102:M110)</f>
        <v>100</v>
      </c>
      <c r="N111" s="56"/>
    </row>
    <row r="112" spans="2:14" ht="15.75" thickBot="1" x14ac:dyDescent="0.3">
      <c r="E112" s="15"/>
      <c r="F112" s="16"/>
      <c r="L112" s="17"/>
      <c r="M112" s="17"/>
    </row>
    <row r="113" spans="4:13" x14ac:dyDescent="0.25">
      <c r="D113" s="81" t="s">
        <v>40</v>
      </c>
      <c r="E113" s="82">
        <f>MODE(F18:F97)</f>
        <v>41.999999999999993</v>
      </c>
      <c r="K113" s="81" t="s">
        <v>40</v>
      </c>
      <c r="L113" s="82">
        <f>MODE(M18:M97)</f>
        <v>52.5</v>
      </c>
    </row>
    <row r="114" spans="4:13" x14ac:dyDescent="0.25">
      <c r="D114" s="65" t="s">
        <v>41</v>
      </c>
      <c r="E114" s="63">
        <f>MEDIAN(F18:F97)</f>
        <v>46.666666666666664</v>
      </c>
      <c r="K114" s="65" t="s">
        <v>41</v>
      </c>
      <c r="L114" s="63">
        <f>MEDIAN(M18:M97)</f>
        <v>52.5</v>
      </c>
    </row>
    <row r="115" spans="4:13" x14ac:dyDescent="0.25">
      <c r="D115" s="65" t="s">
        <v>46</v>
      </c>
      <c r="E115" s="63">
        <f>HARMEAN(F18:F97)</f>
        <v>47.036864209052773</v>
      </c>
      <c r="K115" s="65" t="s">
        <v>46</v>
      </c>
      <c r="L115" s="63">
        <f>HARMEAN(M18:M97)</f>
        <v>50.551654964894716</v>
      </c>
    </row>
    <row r="116" spans="4:13" x14ac:dyDescent="0.25">
      <c r="D116" s="65" t="s">
        <v>47</v>
      </c>
      <c r="E116" s="63">
        <f>G22</f>
        <v>31.315789473684227</v>
      </c>
      <c r="K116" s="65" t="s">
        <v>47</v>
      </c>
      <c r="L116" s="63">
        <f>N22</f>
        <v>32.941176470588218</v>
      </c>
    </row>
    <row r="117" spans="4:13" x14ac:dyDescent="0.25">
      <c r="D117" s="65" t="s">
        <v>45</v>
      </c>
      <c r="E117" s="63">
        <f>STDEV(F18:F97)</f>
        <v>9.0644880617851271</v>
      </c>
      <c r="K117" s="65" t="s">
        <v>45</v>
      </c>
      <c r="L117" s="63">
        <f>STDEV(M18:M97)</f>
        <v>7.8339562669538383</v>
      </c>
    </row>
    <row r="118" spans="4:13" x14ac:dyDescent="0.25">
      <c r="D118" s="65" t="s">
        <v>42</v>
      </c>
      <c r="E118" s="63">
        <f>PERCENTILE($F$18:$F$97,0.15)</f>
        <v>39.196022727272727</v>
      </c>
      <c r="K118" s="65" t="s">
        <v>42</v>
      </c>
      <c r="L118" s="63">
        <f>PERCENTILE($M$18:$M$97,0.15)</f>
        <v>43.231034482758623</v>
      </c>
    </row>
    <row r="119" spans="4:13" x14ac:dyDescent="0.25">
      <c r="D119" s="65" t="s">
        <v>43</v>
      </c>
      <c r="E119" s="63">
        <f>PERCENTILE($F$18:$F$97,0.5)</f>
        <v>46.666666666666664</v>
      </c>
      <c r="K119" s="65" t="s">
        <v>43</v>
      </c>
      <c r="L119" s="63">
        <f>PERCENTILE($M$18:$M$97,0.5)</f>
        <v>52.5</v>
      </c>
    </row>
    <row r="120" spans="4:13" x14ac:dyDescent="0.25">
      <c r="D120" s="65" t="s">
        <v>44</v>
      </c>
      <c r="E120" s="63">
        <f>PERCENTILE($F$18:$F$97,0.85)</f>
        <v>57.681818181818151</v>
      </c>
      <c r="K120" s="65" t="s">
        <v>44</v>
      </c>
      <c r="L120" s="63">
        <f>PERCENTILE($M$18:$M$97,0.85)</f>
        <v>59.999999999999986</v>
      </c>
    </row>
    <row r="121" spans="4:13" x14ac:dyDescent="0.25">
      <c r="D121" s="65" t="s">
        <v>69</v>
      </c>
      <c r="E121" s="63">
        <f>PERCENTILE($F$18:$F$97,0.98)</f>
        <v>66.31578947368422</v>
      </c>
      <c r="F121" s="55" t="s">
        <v>70</v>
      </c>
      <c r="K121" s="65" t="s">
        <v>69</v>
      </c>
      <c r="L121" s="63">
        <f>PERCENTILE($M$18:$M$97,0.98)</f>
        <v>66.31578947368422</v>
      </c>
      <c r="M121" s="55" t="s">
        <v>70</v>
      </c>
    </row>
    <row r="122" spans="4:13" x14ac:dyDescent="0.25">
      <c r="D122" s="83" t="s">
        <v>48</v>
      </c>
      <c r="E122" s="84">
        <f>E115+1.96*((E117/SQRT(B97)))</f>
        <v>49.023207734816687</v>
      </c>
      <c r="F122" s="88">
        <f>AVERAGE(E122:E123)</f>
        <v>47.036864209052773</v>
      </c>
      <c r="K122" s="83" t="s">
        <v>48</v>
      </c>
      <c r="L122" s="84">
        <f>L115+1.96*((L117/SQRT(I97)))</f>
        <v>52.268346321970306</v>
      </c>
      <c r="M122" s="88">
        <f>AVERAGE(L122:L123)</f>
        <v>50.551654964894716</v>
      </c>
    </row>
    <row r="123" spans="4:13" ht="15.75" thickBot="1" x14ac:dyDescent="0.3">
      <c r="D123" s="85" t="s">
        <v>49</v>
      </c>
      <c r="E123" s="86">
        <f>E115-1.96*((E117/SQRT(B97)))</f>
        <v>45.050520683288859</v>
      </c>
      <c r="K123" s="85" t="s">
        <v>49</v>
      </c>
      <c r="L123" s="86">
        <f>L115-1.96*((L117/SQRT(I97)))</f>
        <v>48.834963607819127</v>
      </c>
    </row>
  </sheetData>
  <sortState ref="M18:M97">
    <sortCondition ref="M18"/>
  </sortState>
  <mergeCells count="28">
    <mergeCell ref="A3:B3"/>
    <mergeCell ref="I3:J3"/>
    <mergeCell ref="A4:B4"/>
    <mergeCell ref="I4:J4"/>
    <mergeCell ref="A5:B5"/>
    <mergeCell ref="I5:J5"/>
    <mergeCell ref="A6:B6"/>
    <mergeCell ref="I6:J6"/>
    <mergeCell ref="A7:B7"/>
    <mergeCell ref="I7:J7"/>
    <mergeCell ref="A8:B8"/>
    <mergeCell ref="I8:J8"/>
    <mergeCell ref="A9:B9"/>
    <mergeCell ref="I9:J9"/>
    <mergeCell ref="A10:B10"/>
    <mergeCell ref="I10:J10"/>
    <mergeCell ref="A11:B11"/>
    <mergeCell ref="I11:J11"/>
    <mergeCell ref="K100:K101"/>
    <mergeCell ref="L100:N100"/>
    <mergeCell ref="A12:B12"/>
    <mergeCell ref="I12:J12"/>
    <mergeCell ref="A13:B13"/>
    <mergeCell ref="I13:J13"/>
    <mergeCell ref="B100:C100"/>
    <mergeCell ref="D100:D101"/>
    <mergeCell ref="E100:G100"/>
    <mergeCell ref="I100:J100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1026" r:id="rId3">
          <objectPr defaultSize="0" autoPict="0" r:id="rId4">
            <anchor moveWithCells="1" sizeWithCells="1">
              <from>
                <xdr:col>5</xdr:col>
                <xdr:colOff>466725</xdr:colOff>
                <xdr:row>113</xdr:row>
                <xdr:rowOff>142875</xdr:rowOff>
              </from>
              <to>
                <xdr:col>9</xdr:col>
                <xdr:colOff>571500</xdr:colOff>
                <xdr:row>115</xdr:row>
                <xdr:rowOff>95250</xdr:rowOff>
              </to>
            </anchor>
          </objectPr>
        </oleObject>
      </mc:Choice>
      <mc:Fallback>
        <oleObject progId="Equation.3" shapeId="1026" r:id="rId3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6:F29"/>
  <sheetViews>
    <sheetView workbookViewId="0">
      <selection activeCell="G32" sqref="G32"/>
    </sheetView>
  </sheetViews>
  <sheetFormatPr baseColWidth="10" defaultRowHeight="15" x14ac:dyDescent="0.25"/>
  <cols>
    <col min="2" max="2" width="31.140625" bestFit="1" customWidth="1"/>
    <col min="3" max="3" width="33.140625" bestFit="1" customWidth="1"/>
    <col min="4" max="4" width="28.5703125" bestFit="1" customWidth="1"/>
    <col min="5" max="5" width="18.85546875" bestFit="1" customWidth="1"/>
    <col min="6" max="6" width="8.42578125" bestFit="1" customWidth="1"/>
  </cols>
  <sheetData>
    <row r="6" spans="2:4" ht="15.75" x14ac:dyDescent="0.25">
      <c r="B6" s="19" t="s">
        <v>50</v>
      </c>
      <c r="C6" s="19" t="s">
        <v>51</v>
      </c>
      <c r="D6" s="19" t="s">
        <v>52</v>
      </c>
    </row>
    <row r="7" spans="2:4" ht="15.75" x14ac:dyDescent="0.25">
      <c r="B7" s="20" t="s">
        <v>53</v>
      </c>
      <c r="C7" s="20" t="s">
        <v>54</v>
      </c>
      <c r="D7" s="20">
        <v>8.5</v>
      </c>
    </row>
    <row r="8" spans="2:4" ht="15.75" x14ac:dyDescent="0.25">
      <c r="B8" s="20" t="s">
        <v>53</v>
      </c>
      <c r="C8" s="20" t="s">
        <v>55</v>
      </c>
      <c r="D8" s="20">
        <v>6.8</v>
      </c>
    </row>
    <row r="9" spans="2:4" ht="15.75" x14ac:dyDescent="0.25">
      <c r="B9" s="20" t="s">
        <v>56</v>
      </c>
      <c r="C9" s="20" t="s">
        <v>54</v>
      </c>
      <c r="D9" s="20">
        <v>8.5</v>
      </c>
    </row>
    <row r="10" spans="2:4" ht="15.75" x14ac:dyDescent="0.25">
      <c r="B10" s="20" t="s">
        <v>56</v>
      </c>
      <c r="C10" s="20" t="s">
        <v>55</v>
      </c>
      <c r="D10" s="20">
        <v>8.5</v>
      </c>
    </row>
    <row r="11" spans="2:4" ht="15.75" x14ac:dyDescent="0.25">
      <c r="B11" s="20" t="s">
        <v>57</v>
      </c>
      <c r="C11" s="20" t="s">
        <v>54</v>
      </c>
      <c r="D11" s="20">
        <v>7.7</v>
      </c>
    </row>
    <row r="12" spans="2:4" ht="15.75" x14ac:dyDescent="0.25">
      <c r="B12" s="20" t="s">
        <v>57</v>
      </c>
      <c r="C12" s="20" t="s">
        <v>55</v>
      </c>
      <c r="D12" s="20">
        <v>7.9</v>
      </c>
    </row>
    <row r="13" spans="2:4" ht="15.75" x14ac:dyDescent="0.25">
      <c r="B13" s="20" t="s">
        <v>58</v>
      </c>
      <c r="C13" s="2"/>
      <c r="D13" s="20">
        <v>8</v>
      </c>
    </row>
    <row r="15" spans="2:4" ht="15.75" x14ac:dyDescent="0.25">
      <c r="B15" s="19" t="s">
        <v>60</v>
      </c>
      <c r="C15" s="19" t="s">
        <v>59</v>
      </c>
    </row>
    <row r="16" spans="2:4" ht="15.75" x14ac:dyDescent="0.25">
      <c r="B16" s="21">
        <v>68.3</v>
      </c>
      <c r="C16" s="21">
        <v>1</v>
      </c>
    </row>
    <row r="17" spans="2:6" ht="15.75" x14ac:dyDescent="0.25">
      <c r="B17" s="21">
        <v>90</v>
      </c>
      <c r="C17" s="21">
        <v>1.64</v>
      </c>
    </row>
    <row r="18" spans="2:6" ht="15.75" x14ac:dyDescent="0.25">
      <c r="B18" s="21">
        <v>95</v>
      </c>
      <c r="C18" s="21">
        <v>1.96</v>
      </c>
    </row>
    <row r="19" spans="2:6" ht="15.75" x14ac:dyDescent="0.25">
      <c r="B19" s="21">
        <v>95.5</v>
      </c>
      <c r="C19" s="21">
        <v>2</v>
      </c>
    </row>
    <row r="20" spans="2:6" ht="15.75" x14ac:dyDescent="0.25">
      <c r="B20" s="21">
        <v>99</v>
      </c>
      <c r="C20" s="21">
        <v>2.58</v>
      </c>
    </row>
    <row r="21" spans="2:6" ht="15.75" x14ac:dyDescent="0.25">
      <c r="B21" s="21">
        <v>99.7</v>
      </c>
      <c r="C21" s="21">
        <v>3</v>
      </c>
    </row>
    <row r="22" spans="2:6" ht="15.75" x14ac:dyDescent="0.25">
      <c r="B22" s="18"/>
    </row>
    <row r="23" spans="2:6" ht="15.75" x14ac:dyDescent="0.25">
      <c r="B23" s="113" t="s">
        <v>61</v>
      </c>
      <c r="C23" s="113"/>
      <c r="D23" s="113"/>
    </row>
    <row r="24" spans="2:6" ht="15.75" x14ac:dyDescent="0.25">
      <c r="B24" s="114" t="s">
        <v>62</v>
      </c>
      <c r="C24" s="114"/>
      <c r="D24" s="23">
        <v>1.96</v>
      </c>
      <c r="E24" s="10">
        <f>'Cll 26 Cr 30'!E116</f>
        <v>7.9443343360427265</v>
      </c>
      <c r="F24" s="10">
        <f>'Cll 13 Cr 68'!E117</f>
        <v>9.0644880617851271</v>
      </c>
    </row>
    <row r="25" spans="2:6" ht="15.75" x14ac:dyDescent="0.25">
      <c r="B25" s="114" t="s">
        <v>63</v>
      </c>
      <c r="C25" s="114"/>
      <c r="D25" s="23">
        <v>7.9</v>
      </c>
    </row>
    <row r="26" spans="2:6" ht="15.75" x14ac:dyDescent="0.25">
      <c r="B26" s="114" t="s">
        <v>64</v>
      </c>
      <c r="C26" s="114"/>
      <c r="D26" s="23">
        <v>2</v>
      </c>
    </row>
    <row r="27" spans="2:6" ht="15.75" x14ac:dyDescent="0.25">
      <c r="B27" s="24" t="s">
        <v>65</v>
      </c>
      <c r="C27" s="23">
        <v>59.938564</v>
      </c>
      <c r="D27" s="23">
        <v>60</v>
      </c>
      <c r="E27" s="22"/>
    </row>
    <row r="29" spans="2:6" x14ac:dyDescent="0.25">
      <c r="E29">
        <f>(D24*E24/D26)^2</f>
        <v>60.613195100331467</v>
      </c>
      <c r="F29">
        <f>(D24*F24/D26)^2</f>
        <v>78.911212046884174</v>
      </c>
    </row>
  </sheetData>
  <mergeCells count="4">
    <mergeCell ref="B23:D23"/>
    <mergeCell ref="B24:C24"/>
    <mergeCell ref="B25:C25"/>
    <mergeCell ref="B26:C2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R42"/>
  <sheetViews>
    <sheetView workbookViewId="0">
      <selection activeCell="H23" sqref="H23"/>
    </sheetView>
  </sheetViews>
  <sheetFormatPr baseColWidth="10" defaultRowHeight="15" x14ac:dyDescent="0.25"/>
  <cols>
    <col min="2" max="2" width="8.28515625" bestFit="1" customWidth="1"/>
    <col min="3" max="3" width="10.140625" bestFit="1" customWidth="1"/>
    <col min="4" max="4" width="11.5703125" bestFit="1" customWidth="1"/>
    <col min="5" max="5" width="9.85546875" bestFit="1" customWidth="1"/>
    <col min="6" max="6" width="8.28515625" bestFit="1" customWidth="1"/>
    <col min="7" max="7" width="10.140625" bestFit="1" customWidth="1"/>
    <col min="8" max="8" width="11.5703125" bestFit="1" customWidth="1"/>
    <col min="9" max="9" width="9.85546875" bestFit="1" customWidth="1"/>
    <col min="11" max="11" width="8.28515625" bestFit="1" customWidth="1"/>
    <col min="13" max="13" width="11.5703125" bestFit="1" customWidth="1"/>
    <col min="14" max="14" width="9.85546875" bestFit="1" customWidth="1"/>
    <col min="15" max="15" width="8.28515625" bestFit="1" customWidth="1"/>
    <col min="16" max="16" width="10.140625" bestFit="1" customWidth="1"/>
    <col min="17" max="17" width="11.5703125" bestFit="1" customWidth="1"/>
    <col min="18" max="18" width="9.85546875" bestFit="1" customWidth="1"/>
  </cols>
  <sheetData>
    <row r="1" spans="2:18" ht="27" customHeight="1" thickBot="1" x14ac:dyDescent="0.3"/>
    <row r="2" spans="2:18" ht="31.5" customHeight="1" thickBot="1" x14ac:dyDescent="0.3">
      <c r="B2" s="25" t="s">
        <v>0</v>
      </c>
      <c r="C2" s="26" t="s">
        <v>1</v>
      </c>
      <c r="D2" s="27" t="s">
        <v>67</v>
      </c>
      <c r="E2" s="28" t="s">
        <v>66</v>
      </c>
      <c r="F2" s="25" t="s">
        <v>0</v>
      </c>
      <c r="G2" s="26" t="s">
        <v>1</v>
      </c>
      <c r="H2" s="27" t="s">
        <v>67</v>
      </c>
      <c r="I2" s="28" t="s">
        <v>66</v>
      </c>
      <c r="K2" s="25" t="s">
        <v>0</v>
      </c>
      <c r="L2" s="26" t="s">
        <v>1</v>
      </c>
      <c r="M2" s="27" t="s">
        <v>67</v>
      </c>
      <c r="N2" s="28" t="s">
        <v>66</v>
      </c>
      <c r="O2" s="25" t="s">
        <v>0</v>
      </c>
      <c r="P2" s="26" t="s">
        <v>1</v>
      </c>
      <c r="Q2" s="27" t="s">
        <v>67</v>
      </c>
      <c r="R2" s="28" t="s">
        <v>66</v>
      </c>
    </row>
    <row r="3" spans="2:18" x14ac:dyDescent="0.25">
      <c r="B3" s="29">
        <v>1</v>
      </c>
      <c r="C3" s="30">
        <v>3</v>
      </c>
      <c r="D3" s="30" t="s">
        <v>3</v>
      </c>
      <c r="E3" s="14">
        <f>(($C$10/C3)/1000)*3600</f>
        <v>5.28</v>
      </c>
      <c r="F3" s="29">
        <v>41</v>
      </c>
      <c r="G3" s="30">
        <v>3.8</v>
      </c>
      <c r="H3" s="30" t="s">
        <v>3</v>
      </c>
      <c r="I3" s="14">
        <f t="shared" ref="I3:I27" si="0">(($C$10/G3)/1000)*3600</f>
        <v>4.1684210526315795</v>
      </c>
      <c r="K3" s="29">
        <v>1</v>
      </c>
      <c r="L3" s="30">
        <v>2.7</v>
      </c>
      <c r="M3" s="30" t="s">
        <v>6</v>
      </c>
      <c r="N3" s="14">
        <f>(($K$10/L3)/1000)*3600</f>
        <v>10.666666666666666</v>
      </c>
      <c r="O3" s="31">
        <v>41</v>
      </c>
      <c r="P3" s="32">
        <v>2.8</v>
      </c>
      <c r="Q3" s="32" t="s">
        <v>4</v>
      </c>
      <c r="R3" s="12">
        <f t="shared" ref="R3:R27" si="1">(($K$10/P3)/1000)*3600</f>
        <v>10.285714285714286</v>
      </c>
    </row>
    <row r="4" spans="2:18" x14ac:dyDescent="0.25">
      <c r="B4" s="31">
        <v>2</v>
      </c>
      <c r="C4" s="32">
        <v>4.5</v>
      </c>
      <c r="D4" s="32" t="s">
        <v>3</v>
      </c>
      <c r="E4" s="12">
        <f t="shared" ref="E4:E42" si="2">(($C$10/C4)/1000)*3600</f>
        <v>3.5200000000000005</v>
      </c>
      <c r="F4" s="31">
        <v>42</v>
      </c>
      <c r="G4" s="32">
        <v>3.8</v>
      </c>
      <c r="H4" s="32" t="s">
        <v>3</v>
      </c>
      <c r="I4" s="12">
        <f t="shared" si="0"/>
        <v>4.1684210526315795</v>
      </c>
      <c r="K4" s="31">
        <v>2</v>
      </c>
      <c r="L4" s="32">
        <v>3.3</v>
      </c>
      <c r="M4" s="32" t="s">
        <v>6</v>
      </c>
      <c r="N4" s="12">
        <f t="shared" ref="N4:N42" si="3">(($K$10/L4)/1000)*3600</f>
        <v>8.7272727272727266</v>
      </c>
      <c r="O4" s="31">
        <v>42</v>
      </c>
      <c r="P4" s="32">
        <v>2.6</v>
      </c>
      <c r="Q4" s="32" t="s">
        <v>6</v>
      </c>
      <c r="R4" s="12">
        <f t="shared" si="1"/>
        <v>11.076923076923075</v>
      </c>
    </row>
    <row r="5" spans="2:18" x14ac:dyDescent="0.25">
      <c r="B5" s="31">
        <v>3</v>
      </c>
      <c r="C5" s="32">
        <v>4.0999999999999996</v>
      </c>
      <c r="D5" s="32" t="s">
        <v>3</v>
      </c>
      <c r="E5" s="12">
        <f t="shared" si="2"/>
        <v>3.8634146341463427</v>
      </c>
      <c r="F5" s="31">
        <v>43</v>
      </c>
      <c r="G5" s="32">
        <v>3.9</v>
      </c>
      <c r="H5" s="32" t="s">
        <v>3</v>
      </c>
      <c r="I5" s="12">
        <f t="shared" si="0"/>
        <v>4.0615384615384622</v>
      </c>
      <c r="K5" s="31">
        <v>3</v>
      </c>
      <c r="L5" s="32">
        <v>3.8</v>
      </c>
      <c r="M5" s="32" t="s">
        <v>6</v>
      </c>
      <c r="N5" s="12">
        <f t="shared" si="3"/>
        <v>7.5789473684210522</v>
      </c>
      <c r="O5" s="31">
        <v>43</v>
      </c>
      <c r="P5" s="32">
        <v>2.9</v>
      </c>
      <c r="Q5" s="32" t="s">
        <v>6</v>
      </c>
      <c r="R5" s="12">
        <f t="shared" si="1"/>
        <v>9.931034482758621</v>
      </c>
    </row>
    <row r="6" spans="2:18" x14ac:dyDescent="0.25">
      <c r="B6" s="31">
        <v>4</v>
      </c>
      <c r="C6" s="32">
        <v>3.6</v>
      </c>
      <c r="D6" s="32" t="s">
        <v>3</v>
      </c>
      <c r="E6" s="12">
        <f t="shared" si="2"/>
        <v>4.4000000000000004</v>
      </c>
      <c r="F6" s="31">
        <v>44</v>
      </c>
      <c r="G6" s="32">
        <v>5.3</v>
      </c>
      <c r="H6" s="32" t="s">
        <v>3</v>
      </c>
      <c r="I6" s="12">
        <f t="shared" si="0"/>
        <v>2.9886792452830195</v>
      </c>
      <c r="K6" s="31">
        <v>4</v>
      </c>
      <c r="L6" s="32">
        <v>3.1</v>
      </c>
      <c r="M6" s="32" t="s">
        <v>6</v>
      </c>
      <c r="N6" s="12">
        <f t="shared" si="3"/>
        <v>9.2903225806451619</v>
      </c>
      <c r="O6" s="31">
        <v>44</v>
      </c>
      <c r="P6" s="32">
        <v>3.1</v>
      </c>
      <c r="Q6" s="32" t="s">
        <v>6</v>
      </c>
      <c r="R6" s="12">
        <f t="shared" si="1"/>
        <v>9.2903225806451619</v>
      </c>
    </row>
    <row r="7" spans="2:18" x14ac:dyDescent="0.25">
      <c r="B7" s="31">
        <v>5</v>
      </c>
      <c r="C7" s="32">
        <v>4</v>
      </c>
      <c r="D7" s="32" t="s">
        <v>3</v>
      </c>
      <c r="E7" s="12">
        <f t="shared" si="2"/>
        <v>3.9600000000000004</v>
      </c>
      <c r="F7" s="31">
        <v>45</v>
      </c>
      <c r="G7" s="32">
        <v>3.2</v>
      </c>
      <c r="H7" s="32" t="s">
        <v>5</v>
      </c>
      <c r="I7" s="12">
        <f t="shared" si="0"/>
        <v>4.9499999999999993</v>
      </c>
      <c r="K7" s="31">
        <v>5</v>
      </c>
      <c r="L7" s="32">
        <v>3</v>
      </c>
      <c r="M7" s="32" t="s">
        <v>6</v>
      </c>
      <c r="N7" s="12">
        <f t="shared" si="3"/>
        <v>9.6</v>
      </c>
      <c r="O7" s="31">
        <v>45</v>
      </c>
      <c r="P7" s="32">
        <v>3.7</v>
      </c>
      <c r="Q7" s="32" t="s">
        <v>5</v>
      </c>
      <c r="R7" s="12">
        <f t="shared" si="1"/>
        <v>7.7837837837837824</v>
      </c>
    </row>
    <row r="8" spans="2:18" x14ac:dyDescent="0.25">
      <c r="B8" s="31">
        <v>6</v>
      </c>
      <c r="C8" s="32">
        <v>3.9</v>
      </c>
      <c r="D8" s="32" t="s">
        <v>3</v>
      </c>
      <c r="E8" s="12">
        <f t="shared" si="2"/>
        <v>4.0615384615384622</v>
      </c>
      <c r="F8" s="31">
        <v>46</v>
      </c>
      <c r="G8" s="32">
        <v>3.2</v>
      </c>
      <c r="H8" s="32" t="s">
        <v>3</v>
      </c>
      <c r="I8" s="12">
        <f t="shared" si="0"/>
        <v>4.9499999999999993</v>
      </c>
      <c r="K8" s="31">
        <v>6</v>
      </c>
      <c r="L8" s="32">
        <v>3.2</v>
      </c>
      <c r="M8" s="32" t="s">
        <v>6</v>
      </c>
      <c r="N8" s="12">
        <f t="shared" si="3"/>
        <v>9</v>
      </c>
      <c r="O8" s="31">
        <v>46</v>
      </c>
      <c r="P8" s="32">
        <v>3.5</v>
      </c>
      <c r="Q8" s="32" t="s">
        <v>5</v>
      </c>
      <c r="R8" s="12">
        <f t="shared" si="1"/>
        <v>8.2285714285714278</v>
      </c>
    </row>
    <row r="9" spans="2:18" x14ac:dyDescent="0.25">
      <c r="B9" s="31">
        <v>7</v>
      </c>
      <c r="C9" s="32">
        <v>3.7</v>
      </c>
      <c r="D9" s="32" t="s">
        <v>4</v>
      </c>
      <c r="E9" s="12">
        <f t="shared" si="2"/>
        <v>4.2810810810810818</v>
      </c>
      <c r="F9" s="31">
        <v>47</v>
      </c>
      <c r="G9" s="32">
        <v>3.4</v>
      </c>
      <c r="H9" s="32" t="s">
        <v>4</v>
      </c>
      <c r="I9" s="12">
        <f t="shared" si="0"/>
        <v>4.658823529411765</v>
      </c>
      <c r="K9" s="31">
        <v>7</v>
      </c>
      <c r="L9" s="32">
        <v>2.5</v>
      </c>
      <c r="M9" s="32" t="s">
        <v>6</v>
      </c>
      <c r="N9" s="12">
        <f t="shared" si="3"/>
        <v>11.520000000000001</v>
      </c>
      <c r="O9" s="31">
        <v>47</v>
      </c>
      <c r="P9" s="32">
        <v>3.3</v>
      </c>
      <c r="Q9" s="32" t="s">
        <v>4</v>
      </c>
      <c r="R9" s="12">
        <f t="shared" si="1"/>
        <v>8.7272727272727266</v>
      </c>
    </row>
    <row r="10" spans="2:18" x14ac:dyDescent="0.25">
      <c r="B10" s="31">
        <v>8</v>
      </c>
      <c r="C10" s="32">
        <v>4.4000000000000004</v>
      </c>
      <c r="D10" s="32" t="s">
        <v>3</v>
      </c>
      <c r="E10" s="12">
        <f t="shared" si="2"/>
        <v>3.6</v>
      </c>
      <c r="F10" s="31">
        <v>48</v>
      </c>
      <c r="G10" s="32">
        <v>3.1</v>
      </c>
      <c r="H10" s="32" t="s">
        <v>3</v>
      </c>
      <c r="I10" s="12">
        <f t="shared" si="0"/>
        <v>5.1096774193548393</v>
      </c>
      <c r="K10" s="31">
        <v>8</v>
      </c>
      <c r="L10" s="32">
        <v>3.2</v>
      </c>
      <c r="M10" s="32" t="s">
        <v>6</v>
      </c>
      <c r="N10" s="12">
        <f t="shared" si="3"/>
        <v>9</v>
      </c>
      <c r="O10" s="31">
        <v>48</v>
      </c>
      <c r="P10" s="32">
        <v>2.9</v>
      </c>
      <c r="Q10" s="32" t="s">
        <v>4</v>
      </c>
      <c r="R10" s="12">
        <f t="shared" si="1"/>
        <v>9.931034482758621</v>
      </c>
    </row>
    <row r="11" spans="2:18" x14ac:dyDescent="0.25">
      <c r="B11" s="31">
        <v>9</v>
      </c>
      <c r="C11" s="32">
        <v>4.3</v>
      </c>
      <c r="D11" s="32" t="s">
        <v>3</v>
      </c>
      <c r="E11" s="12">
        <f t="shared" si="2"/>
        <v>3.6837209302325582</v>
      </c>
      <c r="F11" s="31">
        <v>49</v>
      </c>
      <c r="G11" s="32">
        <v>3.4</v>
      </c>
      <c r="H11" s="32" t="s">
        <v>3</v>
      </c>
      <c r="I11" s="12">
        <f t="shared" si="0"/>
        <v>4.658823529411765</v>
      </c>
      <c r="K11" s="31">
        <v>9</v>
      </c>
      <c r="L11" s="32">
        <v>3</v>
      </c>
      <c r="M11" s="32" t="s">
        <v>6</v>
      </c>
      <c r="N11" s="12">
        <f t="shared" si="3"/>
        <v>9.6</v>
      </c>
      <c r="O11" s="31">
        <v>49</v>
      </c>
      <c r="P11" s="32">
        <v>3.8</v>
      </c>
      <c r="Q11" s="32" t="s">
        <v>4</v>
      </c>
      <c r="R11" s="12">
        <f t="shared" si="1"/>
        <v>7.5789473684210522</v>
      </c>
    </row>
    <row r="12" spans="2:18" x14ac:dyDescent="0.25">
      <c r="B12" s="31">
        <v>10</v>
      </c>
      <c r="C12" s="32">
        <v>3.4</v>
      </c>
      <c r="D12" s="32" t="s">
        <v>3</v>
      </c>
      <c r="E12" s="12">
        <f t="shared" si="2"/>
        <v>4.658823529411765</v>
      </c>
      <c r="F12" s="31">
        <v>50</v>
      </c>
      <c r="G12" s="32">
        <v>4.5</v>
      </c>
      <c r="H12" s="32" t="s">
        <v>4</v>
      </c>
      <c r="I12" s="12">
        <f t="shared" si="0"/>
        <v>3.5200000000000005</v>
      </c>
      <c r="K12" s="31">
        <v>10</v>
      </c>
      <c r="L12" s="32">
        <v>3</v>
      </c>
      <c r="M12" s="32" t="s">
        <v>6</v>
      </c>
      <c r="N12" s="12">
        <f t="shared" si="3"/>
        <v>9.6</v>
      </c>
      <c r="O12" s="31">
        <v>50</v>
      </c>
      <c r="P12" s="32">
        <v>2.7</v>
      </c>
      <c r="Q12" s="32" t="s">
        <v>5</v>
      </c>
      <c r="R12" s="12">
        <f t="shared" si="1"/>
        <v>10.666666666666666</v>
      </c>
    </row>
    <row r="13" spans="2:18" x14ac:dyDescent="0.25">
      <c r="B13" s="31">
        <v>11</v>
      </c>
      <c r="C13" s="32">
        <v>3.4</v>
      </c>
      <c r="D13" s="32" t="s">
        <v>3</v>
      </c>
      <c r="E13" s="12">
        <f t="shared" si="2"/>
        <v>4.658823529411765</v>
      </c>
      <c r="F13" s="31">
        <v>51</v>
      </c>
      <c r="G13" s="32">
        <v>3.7</v>
      </c>
      <c r="H13" s="32" t="s">
        <v>3</v>
      </c>
      <c r="I13" s="12">
        <f t="shared" si="0"/>
        <v>4.2810810810810818</v>
      </c>
      <c r="K13" s="31">
        <v>11</v>
      </c>
      <c r="L13" s="32">
        <v>3.2</v>
      </c>
      <c r="M13" s="32" t="s">
        <v>6</v>
      </c>
      <c r="N13" s="12">
        <f t="shared" si="3"/>
        <v>9</v>
      </c>
      <c r="O13" s="31">
        <v>51</v>
      </c>
      <c r="P13" s="32">
        <v>3</v>
      </c>
      <c r="Q13" s="32" t="s">
        <v>6</v>
      </c>
      <c r="R13" s="12">
        <f t="shared" si="1"/>
        <v>9.6</v>
      </c>
    </row>
    <row r="14" spans="2:18" x14ac:dyDescent="0.25">
      <c r="B14" s="31">
        <v>12</v>
      </c>
      <c r="C14" s="32">
        <v>3.7</v>
      </c>
      <c r="D14" s="32" t="s">
        <v>3</v>
      </c>
      <c r="E14" s="12">
        <f t="shared" si="2"/>
        <v>4.2810810810810818</v>
      </c>
      <c r="F14" s="31">
        <v>52</v>
      </c>
      <c r="G14" s="32">
        <v>4.8</v>
      </c>
      <c r="H14" s="32" t="s">
        <v>4</v>
      </c>
      <c r="I14" s="12">
        <f t="shared" si="0"/>
        <v>3.3000000000000003</v>
      </c>
      <c r="K14" s="31">
        <v>12</v>
      </c>
      <c r="L14" s="32">
        <v>2.8</v>
      </c>
      <c r="M14" s="32" t="s">
        <v>6</v>
      </c>
      <c r="N14" s="12">
        <f t="shared" si="3"/>
        <v>10.285714285714286</v>
      </c>
      <c r="O14" s="31">
        <v>52</v>
      </c>
      <c r="P14" s="32">
        <v>3.7</v>
      </c>
      <c r="Q14" s="32" t="s">
        <v>6</v>
      </c>
      <c r="R14" s="12">
        <f t="shared" si="1"/>
        <v>7.7837837837837824</v>
      </c>
    </row>
    <row r="15" spans="2:18" x14ac:dyDescent="0.25">
      <c r="B15" s="31">
        <v>13</v>
      </c>
      <c r="C15" s="32">
        <v>4.4000000000000004</v>
      </c>
      <c r="D15" s="32" t="s">
        <v>5</v>
      </c>
      <c r="E15" s="12">
        <f t="shared" si="2"/>
        <v>3.6</v>
      </c>
      <c r="F15" s="31">
        <v>53</v>
      </c>
      <c r="G15" s="32">
        <v>4.0999999999999996</v>
      </c>
      <c r="H15" s="32" t="s">
        <v>4</v>
      </c>
      <c r="I15" s="12">
        <f t="shared" si="0"/>
        <v>3.8634146341463427</v>
      </c>
      <c r="K15" s="31">
        <v>13</v>
      </c>
      <c r="L15" s="32">
        <v>3.1</v>
      </c>
      <c r="M15" s="32" t="s">
        <v>6</v>
      </c>
      <c r="N15" s="12">
        <f t="shared" si="3"/>
        <v>9.2903225806451619</v>
      </c>
      <c r="O15" s="31">
        <v>53</v>
      </c>
      <c r="P15" s="32">
        <v>3.6</v>
      </c>
      <c r="Q15" s="32" t="s">
        <v>6</v>
      </c>
      <c r="R15" s="12">
        <f t="shared" si="1"/>
        <v>8</v>
      </c>
    </row>
    <row r="16" spans="2:18" x14ac:dyDescent="0.25">
      <c r="B16" s="31">
        <v>14</v>
      </c>
      <c r="C16" s="32">
        <v>4.4000000000000004</v>
      </c>
      <c r="D16" s="32" t="s">
        <v>4</v>
      </c>
      <c r="E16" s="12">
        <f t="shared" si="2"/>
        <v>3.6</v>
      </c>
      <c r="F16" s="31">
        <v>54</v>
      </c>
      <c r="G16" s="32">
        <v>4.2</v>
      </c>
      <c r="H16" s="32" t="s">
        <v>3</v>
      </c>
      <c r="I16" s="12">
        <f t="shared" si="0"/>
        <v>3.7714285714285718</v>
      </c>
      <c r="K16" s="31">
        <v>14</v>
      </c>
      <c r="L16" s="32">
        <v>2.8</v>
      </c>
      <c r="M16" s="32" t="s">
        <v>4</v>
      </c>
      <c r="N16" s="12">
        <f t="shared" si="3"/>
        <v>10.285714285714286</v>
      </c>
      <c r="O16" s="31">
        <v>54</v>
      </c>
      <c r="P16" s="32">
        <v>3.1</v>
      </c>
      <c r="Q16" s="32" t="s">
        <v>6</v>
      </c>
      <c r="R16" s="12">
        <f t="shared" si="1"/>
        <v>9.2903225806451619</v>
      </c>
    </row>
    <row r="17" spans="2:18" x14ac:dyDescent="0.25">
      <c r="B17" s="31">
        <v>15</v>
      </c>
      <c r="C17" s="32">
        <v>3.5</v>
      </c>
      <c r="D17" s="32" t="s">
        <v>3</v>
      </c>
      <c r="E17" s="12">
        <f t="shared" si="2"/>
        <v>4.5257142857142858</v>
      </c>
      <c r="F17" s="31">
        <v>55</v>
      </c>
      <c r="G17" s="32">
        <v>3.4</v>
      </c>
      <c r="H17" s="32" t="s">
        <v>3</v>
      </c>
      <c r="I17" s="12">
        <f t="shared" si="0"/>
        <v>4.658823529411765</v>
      </c>
      <c r="K17" s="31">
        <v>15</v>
      </c>
      <c r="L17" s="32">
        <v>2.9</v>
      </c>
      <c r="M17" s="32" t="s">
        <v>5</v>
      </c>
      <c r="N17" s="12">
        <f t="shared" si="3"/>
        <v>9.931034482758621</v>
      </c>
      <c r="O17" s="31">
        <v>55</v>
      </c>
      <c r="P17" s="32">
        <v>2.7</v>
      </c>
      <c r="Q17" s="32" t="s">
        <v>4</v>
      </c>
      <c r="R17" s="12">
        <f t="shared" si="1"/>
        <v>10.666666666666666</v>
      </c>
    </row>
    <row r="18" spans="2:18" x14ac:dyDescent="0.25">
      <c r="B18" s="31">
        <v>16</v>
      </c>
      <c r="C18" s="32">
        <v>4.4000000000000004</v>
      </c>
      <c r="D18" s="32" t="s">
        <v>3</v>
      </c>
      <c r="E18" s="12">
        <f t="shared" si="2"/>
        <v>3.6</v>
      </c>
      <c r="F18" s="31">
        <v>56</v>
      </c>
      <c r="G18" s="32">
        <v>3.2</v>
      </c>
      <c r="H18" s="32" t="s">
        <v>3</v>
      </c>
      <c r="I18" s="12">
        <f t="shared" si="0"/>
        <v>4.9499999999999993</v>
      </c>
      <c r="K18" s="31">
        <v>16</v>
      </c>
      <c r="L18" s="32">
        <v>2.7</v>
      </c>
      <c r="M18" s="32" t="s">
        <v>6</v>
      </c>
      <c r="N18" s="12">
        <f t="shared" si="3"/>
        <v>10.666666666666666</v>
      </c>
      <c r="O18" s="31">
        <v>56</v>
      </c>
      <c r="P18" s="32">
        <v>2.6</v>
      </c>
      <c r="Q18" s="32" t="s">
        <v>6</v>
      </c>
      <c r="R18" s="12">
        <f t="shared" si="1"/>
        <v>11.076923076923075</v>
      </c>
    </row>
    <row r="19" spans="2:18" x14ac:dyDescent="0.25">
      <c r="B19" s="31">
        <v>17</v>
      </c>
      <c r="C19" s="32">
        <v>3.6</v>
      </c>
      <c r="D19" s="32" t="s">
        <v>3</v>
      </c>
      <c r="E19" s="12">
        <f t="shared" si="2"/>
        <v>4.4000000000000004</v>
      </c>
      <c r="F19" s="31">
        <v>57</v>
      </c>
      <c r="G19" s="32">
        <v>3.1</v>
      </c>
      <c r="H19" s="32" t="s">
        <v>3</v>
      </c>
      <c r="I19" s="12">
        <f t="shared" si="0"/>
        <v>5.1096774193548393</v>
      </c>
      <c r="K19" s="31">
        <v>17</v>
      </c>
      <c r="L19" s="32">
        <v>3.1</v>
      </c>
      <c r="M19" s="32" t="s">
        <v>6</v>
      </c>
      <c r="N19" s="12">
        <f t="shared" si="3"/>
        <v>9.2903225806451619</v>
      </c>
      <c r="O19" s="31">
        <v>57</v>
      </c>
      <c r="P19" s="32">
        <v>2.8</v>
      </c>
      <c r="Q19" s="32" t="s">
        <v>4</v>
      </c>
      <c r="R19" s="12">
        <f t="shared" si="1"/>
        <v>10.285714285714286</v>
      </c>
    </row>
    <row r="20" spans="2:18" x14ac:dyDescent="0.25">
      <c r="B20" s="31">
        <v>18</v>
      </c>
      <c r="C20" s="32">
        <v>4.0999999999999996</v>
      </c>
      <c r="D20" s="32" t="s">
        <v>3</v>
      </c>
      <c r="E20" s="12">
        <f t="shared" si="2"/>
        <v>3.8634146341463427</v>
      </c>
      <c r="F20" s="31">
        <v>58</v>
      </c>
      <c r="G20" s="32">
        <v>3.4</v>
      </c>
      <c r="H20" s="32" t="s">
        <v>5</v>
      </c>
      <c r="I20" s="12">
        <f t="shared" si="0"/>
        <v>4.658823529411765</v>
      </c>
      <c r="K20" s="31">
        <v>18</v>
      </c>
      <c r="L20" s="32">
        <v>3.2</v>
      </c>
      <c r="M20" s="32" t="s">
        <v>6</v>
      </c>
      <c r="N20" s="12">
        <f t="shared" si="3"/>
        <v>9</v>
      </c>
      <c r="O20" s="31">
        <v>58</v>
      </c>
      <c r="P20" s="32">
        <v>3.2</v>
      </c>
      <c r="Q20" s="32" t="s">
        <v>6</v>
      </c>
      <c r="R20" s="12">
        <f t="shared" si="1"/>
        <v>9</v>
      </c>
    </row>
    <row r="21" spans="2:18" x14ac:dyDescent="0.25">
      <c r="B21" s="31">
        <v>19</v>
      </c>
      <c r="C21" s="32">
        <v>3.5</v>
      </c>
      <c r="D21" s="32" t="s">
        <v>3</v>
      </c>
      <c r="E21" s="12">
        <f t="shared" si="2"/>
        <v>4.5257142857142858</v>
      </c>
      <c r="F21" s="31">
        <v>59</v>
      </c>
      <c r="G21" s="32">
        <v>3.6</v>
      </c>
      <c r="H21" s="32" t="s">
        <v>3</v>
      </c>
      <c r="I21" s="12">
        <f t="shared" si="0"/>
        <v>4.4000000000000004</v>
      </c>
      <c r="K21" s="31">
        <v>19</v>
      </c>
      <c r="L21" s="32">
        <v>2.9</v>
      </c>
      <c r="M21" s="32" t="s">
        <v>6</v>
      </c>
      <c r="N21" s="12">
        <f t="shared" si="3"/>
        <v>9.931034482758621</v>
      </c>
      <c r="O21" s="31">
        <v>59</v>
      </c>
      <c r="P21" s="32">
        <v>2.6</v>
      </c>
      <c r="Q21" s="32" t="s">
        <v>6</v>
      </c>
      <c r="R21" s="12">
        <f t="shared" si="1"/>
        <v>11.076923076923075</v>
      </c>
    </row>
    <row r="22" spans="2:18" x14ac:dyDescent="0.25">
      <c r="B22" s="31">
        <v>20</v>
      </c>
      <c r="C22" s="32">
        <v>4.3</v>
      </c>
      <c r="D22" s="32" t="s">
        <v>3</v>
      </c>
      <c r="E22" s="12">
        <f t="shared" si="2"/>
        <v>3.6837209302325582</v>
      </c>
      <c r="F22" s="31">
        <v>60</v>
      </c>
      <c r="G22" s="32">
        <v>3.2</v>
      </c>
      <c r="H22" s="32" t="s">
        <v>3</v>
      </c>
      <c r="I22" s="12">
        <f t="shared" si="0"/>
        <v>4.9499999999999993</v>
      </c>
      <c r="K22" s="31">
        <v>20</v>
      </c>
      <c r="L22" s="32">
        <v>3</v>
      </c>
      <c r="M22" s="32" t="s">
        <v>5</v>
      </c>
      <c r="N22" s="12">
        <f t="shared" si="3"/>
        <v>9.6</v>
      </c>
      <c r="O22" s="31">
        <v>60</v>
      </c>
      <c r="P22" s="32">
        <v>2.5</v>
      </c>
      <c r="Q22" s="32" t="s">
        <v>4</v>
      </c>
      <c r="R22" s="12">
        <f t="shared" si="1"/>
        <v>11.520000000000001</v>
      </c>
    </row>
    <row r="23" spans="2:18" x14ac:dyDescent="0.25">
      <c r="B23" s="31">
        <v>21</v>
      </c>
      <c r="C23" s="32">
        <v>3.7</v>
      </c>
      <c r="D23" s="32" t="s">
        <v>3</v>
      </c>
      <c r="E23" s="12">
        <f t="shared" si="2"/>
        <v>4.2810810810810818</v>
      </c>
      <c r="F23" s="31">
        <v>61</v>
      </c>
      <c r="G23" s="32">
        <v>3.6</v>
      </c>
      <c r="H23" s="32" t="s">
        <v>3</v>
      </c>
      <c r="I23" s="12">
        <f t="shared" si="0"/>
        <v>4.4000000000000004</v>
      </c>
      <c r="K23" s="31">
        <v>21</v>
      </c>
      <c r="L23" s="32">
        <v>3.2</v>
      </c>
      <c r="M23" s="32" t="s">
        <v>5</v>
      </c>
      <c r="N23" s="12">
        <f t="shared" si="3"/>
        <v>9</v>
      </c>
      <c r="O23" s="31">
        <v>61</v>
      </c>
      <c r="P23" s="32">
        <v>2.6</v>
      </c>
      <c r="Q23" s="32" t="s">
        <v>6</v>
      </c>
      <c r="R23" s="12">
        <f t="shared" si="1"/>
        <v>11.076923076923075</v>
      </c>
    </row>
    <row r="24" spans="2:18" x14ac:dyDescent="0.25">
      <c r="B24" s="31">
        <v>22</v>
      </c>
      <c r="C24" s="32">
        <v>4.2</v>
      </c>
      <c r="D24" s="32" t="s">
        <v>4</v>
      </c>
      <c r="E24" s="12">
        <f t="shared" si="2"/>
        <v>3.7714285714285718</v>
      </c>
      <c r="F24" s="31">
        <v>62</v>
      </c>
      <c r="G24" s="32">
        <v>4.5999999999999996</v>
      </c>
      <c r="H24" s="32" t="s">
        <v>3</v>
      </c>
      <c r="I24" s="12">
        <f t="shared" si="0"/>
        <v>3.4434782608695658</v>
      </c>
      <c r="K24" s="31">
        <v>22</v>
      </c>
      <c r="L24" s="32">
        <v>3.1</v>
      </c>
      <c r="M24" s="32" t="s">
        <v>5</v>
      </c>
      <c r="N24" s="12">
        <f t="shared" si="3"/>
        <v>9.2903225806451619</v>
      </c>
      <c r="O24" s="31">
        <v>62</v>
      </c>
      <c r="P24" s="32">
        <v>3.5</v>
      </c>
      <c r="Q24" s="32" t="s">
        <v>5</v>
      </c>
      <c r="R24" s="12">
        <f t="shared" si="1"/>
        <v>8.2285714285714278</v>
      </c>
    </row>
    <row r="25" spans="2:18" x14ac:dyDescent="0.25">
      <c r="B25" s="31">
        <v>23</v>
      </c>
      <c r="C25" s="32">
        <v>3.9</v>
      </c>
      <c r="D25" s="32" t="s">
        <v>5</v>
      </c>
      <c r="E25" s="12">
        <f t="shared" si="2"/>
        <v>4.0615384615384622</v>
      </c>
      <c r="F25" s="31">
        <v>63</v>
      </c>
      <c r="G25" s="32">
        <v>3.6</v>
      </c>
      <c r="H25" s="32" t="s">
        <v>4</v>
      </c>
      <c r="I25" s="12">
        <f t="shared" si="0"/>
        <v>4.4000000000000004</v>
      </c>
      <c r="K25" s="31">
        <v>23</v>
      </c>
      <c r="L25" s="32">
        <v>2.9</v>
      </c>
      <c r="M25" s="32" t="s">
        <v>6</v>
      </c>
      <c r="N25" s="12">
        <f t="shared" si="3"/>
        <v>9.931034482758621</v>
      </c>
      <c r="O25" s="31">
        <v>63</v>
      </c>
      <c r="P25" s="32">
        <v>3.4</v>
      </c>
      <c r="Q25" s="32" t="s">
        <v>6</v>
      </c>
      <c r="R25" s="12">
        <f t="shared" si="1"/>
        <v>8.4705882352941178</v>
      </c>
    </row>
    <row r="26" spans="2:18" x14ac:dyDescent="0.25">
      <c r="B26" s="31">
        <v>24</v>
      </c>
      <c r="C26" s="32">
        <v>3.5</v>
      </c>
      <c r="D26" s="32" t="s">
        <v>4</v>
      </c>
      <c r="E26" s="12">
        <f t="shared" si="2"/>
        <v>4.5257142857142858</v>
      </c>
      <c r="F26" s="31">
        <v>64</v>
      </c>
      <c r="G26" s="32">
        <v>5.5</v>
      </c>
      <c r="H26" s="32" t="s">
        <v>5</v>
      </c>
      <c r="I26" s="12">
        <f t="shared" si="0"/>
        <v>2.8800000000000003</v>
      </c>
      <c r="K26" s="31">
        <v>24</v>
      </c>
      <c r="L26" s="32">
        <v>2.8</v>
      </c>
      <c r="M26" s="32" t="s">
        <v>6</v>
      </c>
      <c r="N26" s="12">
        <f t="shared" si="3"/>
        <v>10.285714285714286</v>
      </c>
      <c r="O26" s="31">
        <v>64</v>
      </c>
      <c r="P26" s="32">
        <v>2.8</v>
      </c>
      <c r="Q26" s="32" t="s">
        <v>4</v>
      </c>
      <c r="R26" s="12">
        <f t="shared" si="1"/>
        <v>10.285714285714286</v>
      </c>
    </row>
    <row r="27" spans="2:18" x14ac:dyDescent="0.25">
      <c r="B27" s="31">
        <v>25</v>
      </c>
      <c r="C27" s="32">
        <v>4.0999999999999996</v>
      </c>
      <c r="D27" s="32" t="s">
        <v>4</v>
      </c>
      <c r="E27" s="12">
        <f t="shared" si="2"/>
        <v>3.8634146341463427</v>
      </c>
      <c r="F27" s="31">
        <v>65</v>
      </c>
      <c r="G27" s="32">
        <v>5.8</v>
      </c>
      <c r="H27" s="32" t="s">
        <v>5</v>
      </c>
      <c r="I27" s="12">
        <f t="shared" si="0"/>
        <v>2.7310344827586208</v>
      </c>
      <c r="K27" s="31">
        <v>25</v>
      </c>
      <c r="L27" s="32">
        <v>3.5</v>
      </c>
      <c r="M27" s="32" t="s">
        <v>6</v>
      </c>
      <c r="N27" s="12">
        <f t="shared" si="3"/>
        <v>8.2285714285714278</v>
      </c>
      <c r="O27" s="31">
        <v>65</v>
      </c>
      <c r="P27" s="32">
        <v>2.9</v>
      </c>
      <c r="Q27" s="32" t="s">
        <v>6</v>
      </c>
      <c r="R27" s="12">
        <f t="shared" si="1"/>
        <v>9.931034482758621</v>
      </c>
    </row>
    <row r="28" spans="2:18" x14ac:dyDescent="0.25">
      <c r="B28" s="31">
        <v>26</v>
      </c>
      <c r="C28" s="32">
        <v>4.2</v>
      </c>
      <c r="D28" s="32" t="s">
        <v>3</v>
      </c>
      <c r="E28" s="12">
        <f t="shared" si="2"/>
        <v>3.7714285714285718</v>
      </c>
      <c r="F28" s="31">
        <v>66</v>
      </c>
      <c r="G28" s="32">
        <v>4.3</v>
      </c>
      <c r="H28" s="32" t="s">
        <v>4</v>
      </c>
      <c r="I28" s="12">
        <f t="shared" ref="I28:I42" si="4">(($C$10/G28)/1000)*3600</f>
        <v>3.6837209302325582</v>
      </c>
      <c r="K28" s="31">
        <v>26</v>
      </c>
      <c r="L28" s="32">
        <v>3.1</v>
      </c>
      <c r="M28" s="32" t="s">
        <v>6</v>
      </c>
      <c r="N28" s="12">
        <f t="shared" si="3"/>
        <v>9.2903225806451619</v>
      </c>
      <c r="O28" s="31">
        <v>66</v>
      </c>
      <c r="P28" s="32">
        <v>3.3</v>
      </c>
      <c r="Q28" s="32" t="s">
        <v>6</v>
      </c>
      <c r="R28" s="12">
        <f t="shared" ref="R28:R42" si="5">(($K$10/P28)/1000)*3600</f>
        <v>8.7272727272727266</v>
      </c>
    </row>
    <row r="29" spans="2:18" x14ac:dyDescent="0.25">
      <c r="B29" s="31">
        <v>27</v>
      </c>
      <c r="C29" s="32">
        <v>3.4</v>
      </c>
      <c r="D29" s="32" t="s">
        <v>3</v>
      </c>
      <c r="E29" s="12">
        <f t="shared" si="2"/>
        <v>4.658823529411765</v>
      </c>
      <c r="F29" s="31">
        <v>67</v>
      </c>
      <c r="G29" s="32">
        <v>3.8</v>
      </c>
      <c r="H29" s="32" t="s">
        <v>3</v>
      </c>
      <c r="I29" s="12">
        <f t="shared" si="4"/>
        <v>4.1684210526315795</v>
      </c>
      <c r="K29" s="31">
        <v>27</v>
      </c>
      <c r="L29" s="32">
        <v>3.3</v>
      </c>
      <c r="M29" s="32" t="s">
        <v>6</v>
      </c>
      <c r="N29" s="12">
        <f t="shared" si="3"/>
        <v>8.7272727272727266</v>
      </c>
      <c r="O29" s="31">
        <v>67</v>
      </c>
      <c r="P29" s="32">
        <v>2.6</v>
      </c>
      <c r="Q29" s="32" t="s">
        <v>6</v>
      </c>
      <c r="R29" s="12">
        <f t="shared" si="5"/>
        <v>11.076923076923075</v>
      </c>
    </row>
    <row r="30" spans="2:18" x14ac:dyDescent="0.25">
      <c r="B30" s="31">
        <v>28</v>
      </c>
      <c r="C30" s="32">
        <v>3.8</v>
      </c>
      <c r="D30" s="32" t="s">
        <v>3</v>
      </c>
      <c r="E30" s="12">
        <f t="shared" si="2"/>
        <v>4.1684210526315795</v>
      </c>
      <c r="F30" s="31">
        <v>68</v>
      </c>
      <c r="G30" s="32">
        <v>3.9</v>
      </c>
      <c r="H30" s="32" t="s">
        <v>3</v>
      </c>
      <c r="I30" s="12">
        <f t="shared" si="4"/>
        <v>4.0615384615384622</v>
      </c>
      <c r="K30" s="31">
        <v>28</v>
      </c>
      <c r="L30" s="32">
        <v>2.7</v>
      </c>
      <c r="M30" s="32" t="s">
        <v>6</v>
      </c>
      <c r="N30" s="12">
        <f t="shared" si="3"/>
        <v>10.666666666666666</v>
      </c>
      <c r="O30" s="31">
        <v>68</v>
      </c>
      <c r="P30" s="32">
        <v>3.8</v>
      </c>
      <c r="Q30" s="32" t="s">
        <v>6</v>
      </c>
      <c r="R30" s="12">
        <f t="shared" si="5"/>
        <v>7.5789473684210522</v>
      </c>
    </row>
    <row r="31" spans="2:18" x14ac:dyDescent="0.25">
      <c r="B31" s="31">
        <v>29</v>
      </c>
      <c r="C31" s="32">
        <v>3.3</v>
      </c>
      <c r="D31" s="32" t="s">
        <v>5</v>
      </c>
      <c r="E31" s="12">
        <f t="shared" si="2"/>
        <v>4.8000000000000007</v>
      </c>
      <c r="F31" s="31">
        <v>69</v>
      </c>
      <c r="G31" s="32">
        <v>4.0999999999999996</v>
      </c>
      <c r="H31" s="32" t="s">
        <v>3</v>
      </c>
      <c r="I31" s="12">
        <f t="shared" si="4"/>
        <v>3.8634146341463427</v>
      </c>
      <c r="K31" s="31">
        <v>29</v>
      </c>
      <c r="L31" s="32">
        <v>2.8</v>
      </c>
      <c r="M31" s="32" t="s">
        <v>6</v>
      </c>
      <c r="N31" s="12">
        <f t="shared" si="3"/>
        <v>10.285714285714286</v>
      </c>
      <c r="O31" s="31">
        <v>69</v>
      </c>
      <c r="P31" s="32">
        <v>3</v>
      </c>
      <c r="Q31" s="32" t="s">
        <v>6</v>
      </c>
      <c r="R31" s="12">
        <f t="shared" si="5"/>
        <v>9.6</v>
      </c>
    </row>
    <row r="32" spans="2:18" x14ac:dyDescent="0.25">
      <c r="B32" s="31">
        <v>30</v>
      </c>
      <c r="C32" s="32">
        <v>3.6</v>
      </c>
      <c r="D32" s="32" t="s">
        <v>4</v>
      </c>
      <c r="E32" s="12">
        <f t="shared" si="2"/>
        <v>4.4000000000000004</v>
      </c>
      <c r="F32" s="31">
        <v>70</v>
      </c>
      <c r="G32" s="32">
        <v>5.0999999999999996</v>
      </c>
      <c r="H32" s="32" t="s">
        <v>5</v>
      </c>
      <c r="I32" s="12">
        <f t="shared" si="4"/>
        <v>3.105882352941177</v>
      </c>
      <c r="K32" s="31">
        <v>30</v>
      </c>
      <c r="L32" s="32">
        <v>3</v>
      </c>
      <c r="M32" s="32" t="s">
        <v>4</v>
      </c>
      <c r="N32" s="12">
        <f t="shared" si="3"/>
        <v>9.6</v>
      </c>
      <c r="O32" s="31">
        <v>70</v>
      </c>
      <c r="P32" s="32">
        <v>2.6</v>
      </c>
      <c r="Q32" s="32" t="s">
        <v>6</v>
      </c>
      <c r="R32" s="12">
        <f t="shared" si="5"/>
        <v>11.076923076923075</v>
      </c>
    </row>
    <row r="33" spans="2:18" x14ac:dyDescent="0.25">
      <c r="B33" s="31">
        <v>31</v>
      </c>
      <c r="C33" s="32">
        <v>3.2</v>
      </c>
      <c r="D33" s="32" t="s">
        <v>3</v>
      </c>
      <c r="E33" s="12">
        <f t="shared" si="2"/>
        <v>4.9499999999999993</v>
      </c>
      <c r="F33" s="31">
        <v>71</v>
      </c>
      <c r="G33" s="32">
        <v>4.2</v>
      </c>
      <c r="H33" s="32" t="s">
        <v>5</v>
      </c>
      <c r="I33" s="12">
        <f t="shared" si="4"/>
        <v>3.7714285714285718</v>
      </c>
      <c r="K33" s="31">
        <v>31</v>
      </c>
      <c r="L33" s="32">
        <v>2.8</v>
      </c>
      <c r="M33" s="32" t="s">
        <v>4</v>
      </c>
      <c r="N33" s="12">
        <f t="shared" si="3"/>
        <v>10.285714285714286</v>
      </c>
      <c r="O33" s="31">
        <v>71</v>
      </c>
      <c r="P33" s="32">
        <v>3.2</v>
      </c>
      <c r="Q33" s="32" t="s">
        <v>4</v>
      </c>
      <c r="R33" s="12">
        <f t="shared" si="5"/>
        <v>9</v>
      </c>
    </row>
    <row r="34" spans="2:18" x14ac:dyDescent="0.25">
      <c r="B34" s="31">
        <v>32</v>
      </c>
      <c r="C34" s="32">
        <v>5.5</v>
      </c>
      <c r="D34" s="32" t="s">
        <v>5</v>
      </c>
      <c r="E34" s="12">
        <f t="shared" si="2"/>
        <v>2.8800000000000003</v>
      </c>
      <c r="F34" s="31">
        <v>72</v>
      </c>
      <c r="G34" s="32">
        <v>4.5999999999999996</v>
      </c>
      <c r="H34" s="32" t="s">
        <v>4</v>
      </c>
      <c r="I34" s="12">
        <f t="shared" si="4"/>
        <v>3.4434782608695658</v>
      </c>
      <c r="K34" s="31">
        <v>32</v>
      </c>
      <c r="L34" s="32">
        <v>2.5</v>
      </c>
      <c r="M34" s="32" t="s">
        <v>6</v>
      </c>
      <c r="N34" s="12">
        <f t="shared" si="3"/>
        <v>11.520000000000001</v>
      </c>
      <c r="O34" s="31">
        <v>72</v>
      </c>
      <c r="P34" s="32">
        <v>3.2</v>
      </c>
      <c r="Q34" s="32" t="s">
        <v>4</v>
      </c>
      <c r="R34" s="12">
        <f t="shared" si="5"/>
        <v>9</v>
      </c>
    </row>
    <row r="35" spans="2:18" x14ac:dyDescent="0.25">
      <c r="B35" s="31">
        <v>33</v>
      </c>
      <c r="C35" s="32">
        <v>5.5</v>
      </c>
      <c r="D35" s="32" t="s">
        <v>4</v>
      </c>
      <c r="E35" s="12">
        <f t="shared" si="2"/>
        <v>2.8800000000000003</v>
      </c>
      <c r="F35" s="31">
        <v>73</v>
      </c>
      <c r="G35" s="32">
        <v>3.8</v>
      </c>
      <c r="H35" s="32" t="s">
        <v>4</v>
      </c>
      <c r="I35" s="12">
        <f t="shared" si="4"/>
        <v>4.1684210526315795</v>
      </c>
      <c r="K35" s="31">
        <v>33</v>
      </c>
      <c r="L35" s="32">
        <v>2.6</v>
      </c>
      <c r="M35" s="32" t="s">
        <v>6</v>
      </c>
      <c r="N35" s="12">
        <f t="shared" si="3"/>
        <v>11.076923076923075</v>
      </c>
      <c r="O35" s="31">
        <v>73</v>
      </c>
      <c r="P35" s="32">
        <v>3.1</v>
      </c>
      <c r="Q35" s="32" t="s">
        <v>4</v>
      </c>
      <c r="R35" s="12">
        <f t="shared" si="5"/>
        <v>9.2903225806451619</v>
      </c>
    </row>
    <row r="36" spans="2:18" x14ac:dyDescent="0.25">
      <c r="B36" s="31">
        <v>34</v>
      </c>
      <c r="C36" s="32">
        <v>4.5</v>
      </c>
      <c r="D36" s="32" t="s">
        <v>4</v>
      </c>
      <c r="E36" s="12">
        <f t="shared" si="2"/>
        <v>3.5200000000000005</v>
      </c>
      <c r="F36" s="31">
        <v>74</v>
      </c>
      <c r="G36" s="32">
        <v>3.6</v>
      </c>
      <c r="H36" s="32" t="s">
        <v>3</v>
      </c>
      <c r="I36" s="12">
        <f t="shared" si="4"/>
        <v>4.4000000000000004</v>
      </c>
      <c r="K36" s="31">
        <v>34</v>
      </c>
      <c r="L36" s="32">
        <v>3.1</v>
      </c>
      <c r="M36" s="32" t="s">
        <v>6</v>
      </c>
      <c r="N36" s="12">
        <f t="shared" si="3"/>
        <v>9.2903225806451619</v>
      </c>
      <c r="O36" s="31">
        <v>74</v>
      </c>
      <c r="P36" s="32">
        <v>3.3</v>
      </c>
      <c r="Q36" s="32" t="s">
        <v>4</v>
      </c>
      <c r="R36" s="12">
        <f t="shared" si="5"/>
        <v>8.7272727272727266</v>
      </c>
    </row>
    <row r="37" spans="2:18" x14ac:dyDescent="0.25">
      <c r="B37" s="31">
        <v>35</v>
      </c>
      <c r="C37" s="32">
        <v>3.2</v>
      </c>
      <c r="D37" s="32" t="s">
        <v>3</v>
      </c>
      <c r="E37" s="12">
        <f t="shared" si="2"/>
        <v>4.9499999999999993</v>
      </c>
      <c r="F37" s="31">
        <v>75</v>
      </c>
      <c r="G37" s="32">
        <v>3.2</v>
      </c>
      <c r="H37" s="32" t="s">
        <v>3</v>
      </c>
      <c r="I37" s="12">
        <f t="shared" si="4"/>
        <v>4.9499999999999993</v>
      </c>
      <c r="K37" s="31">
        <v>35</v>
      </c>
      <c r="L37" s="32">
        <v>3.5</v>
      </c>
      <c r="M37" s="32" t="s">
        <v>5</v>
      </c>
      <c r="N37" s="12">
        <f t="shared" si="3"/>
        <v>8.2285714285714278</v>
      </c>
      <c r="O37" s="31">
        <v>75</v>
      </c>
      <c r="P37" s="32">
        <v>3.8</v>
      </c>
      <c r="Q37" s="32" t="s">
        <v>4</v>
      </c>
      <c r="R37" s="12">
        <f t="shared" si="5"/>
        <v>7.5789473684210522</v>
      </c>
    </row>
    <row r="38" spans="2:18" x14ac:dyDescent="0.25">
      <c r="B38" s="31">
        <v>36</v>
      </c>
      <c r="C38" s="32">
        <v>3.9</v>
      </c>
      <c r="D38" s="32" t="s">
        <v>3</v>
      </c>
      <c r="E38" s="12">
        <f t="shared" si="2"/>
        <v>4.0615384615384622</v>
      </c>
      <c r="F38" s="31">
        <v>76</v>
      </c>
      <c r="G38" s="32">
        <v>4.0999999999999996</v>
      </c>
      <c r="H38" s="32" t="s">
        <v>3</v>
      </c>
      <c r="I38" s="12">
        <f t="shared" si="4"/>
        <v>3.8634146341463427</v>
      </c>
      <c r="K38" s="31">
        <v>36</v>
      </c>
      <c r="L38" s="32">
        <v>3.3</v>
      </c>
      <c r="M38" s="32" t="s">
        <v>6</v>
      </c>
      <c r="N38" s="12">
        <f t="shared" si="3"/>
        <v>8.7272727272727266</v>
      </c>
      <c r="O38" s="31">
        <v>76</v>
      </c>
      <c r="P38" s="32">
        <v>2.9</v>
      </c>
      <c r="Q38" s="32" t="s">
        <v>4</v>
      </c>
      <c r="R38" s="12">
        <f t="shared" si="5"/>
        <v>9.931034482758621</v>
      </c>
    </row>
    <row r="39" spans="2:18" x14ac:dyDescent="0.25">
      <c r="B39" s="31">
        <v>37</v>
      </c>
      <c r="C39" s="32">
        <v>3.6</v>
      </c>
      <c r="D39" s="32" t="s">
        <v>4</v>
      </c>
      <c r="E39" s="12">
        <f t="shared" si="2"/>
        <v>4.4000000000000004</v>
      </c>
      <c r="F39" s="31">
        <v>77</v>
      </c>
      <c r="G39" s="32">
        <v>4.5999999999999996</v>
      </c>
      <c r="H39" s="32" t="s">
        <v>5</v>
      </c>
      <c r="I39" s="12">
        <f t="shared" si="4"/>
        <v>3.4434782608695658</v>
      </c>
      <c r="K39" s="31">
        <v>37</v>
      </c>
      <c r="L39" s="32">
        <v>3.1</v>
      </c>
      <c r="M39" s="32" t="s">
        <v>6</v>
      </c>
      <c r="N39" s="12">
        <f t="shared" si="3"/>
        <v>9.2903225806451619</v>
      </c>
      <c r="O39" s="31">
        <v>77</v>
      </c>
      <c r="P39" s="32">
        <v>2.8</v>
      </c>
      <c r="Q39" s="32" t="s">
        <v>4</v>
      </c>
      <c r="R39" s="12">
        <f t="shared" si="5"/>
        <v>10.285714285714286</v>
      </c>
    </row>
    <row r="40" spans="2:18" x14ac:dyDescent="0.25">
      <c r="B40" s="31">
        <v>38</v>
      </c>
      <c r="C40" s="32">
        <v>4.0999999999999996</v>
      </c>
      <c r="D40" s="32" t="s">
        <v>3</v>
      </c>
      <c r="E40" s="12">
        <f t="shared" si="2"/>
        <v>3.8634146341463427</v>
      </c>
      <c r="F40" s="31">
        <v>78</v>
      </c>
      <c r="G40" s="32">
        <v>3.9</v>
      </c>
      <c r="H40" s="32" t="s">
        <v>5</v>
      </c>
      <c r="I40" s="12">
        <f t="shared" si="4"/>
        <v>4.0615384615384622</v>
      </c>
      <c r="K40" s="31">
        <v>38</v>
      </c>
      <c r="L40" s="32">
        <v>2.8</v>
      </c>
      <c r="M40" s="32" t="s">
        <v>6</v>
      </c>
      <c r="N40" s="12">
        <f t="shared" si="3"/>
        <v>10.285714285714286</v>
      </c>
      <c r="O40" s="31">
        <v>78</v>
      </c>
      <c r="P40" s="32">
        <v>2.9</v>
      </c>
      <c r="Q40" s="32" t="s">
        <v>5</v>
      </c>
      <c r="R40" s="12">
        <f t="shared" si="5"/>
        <v>9.931034482758621</v>
      </c>
    </row>
    <row r="41" spans="2:18" x14ac:dyDescent="0.25">
      <c r="B41" s="31">
        <v>39</v>
      </c>
      <c r="C41" s="32">
        <v>3.7</v>
      </c>
      <c r="D41" s="32" t="s">
        <v>5</v>
      </c>
      <c r="E41" s="12">
        <f t="shared" si="2"/>
        <v>4.2810810810810818</v>
      </c>
      <c r="F41" s="31">
        <v>79</v>
      </c>
      <c r="G41" s="32">
        <v>4.2</v>
      </c>
      <c r="H41" s="32" t="s">
        <v>5</v>
      </c>
      <c r="I41" s="12">
        <f t="shared" si="4"/>
        <v>3.7714285714285718</v>
      </c>
      <c r="K41" s="31">
        <v>39</v>
      </c>
      <c r="L41" s="32">
        <v>2.7</v>
      </c>
      <c r="M41" s="32" t="s">
        <v>4</v>
      </c>
      <c r="N41" s="12">
        <f t="shared" si="3"/>
        <v>10.666666666666666</v>
      </c>
      <c r="O41" s="31">
        <v>79</v>
      </c>
      <c r="P41" s="32">
        <v>3.5</v>
      </c>
      <c r="Q41" s="32" t="s">
        <v>6</v>
      </c>
      <c r="R41" s="12">
        <f t="shared" si="5"/>
        <v>8.2285714285714278</v>
      </c>
    </row>
    <row r="42" spans="2:18" ht="15.75" thickBot="1" x14ac:dyDescent="0.3">
      <c r="B42" s="33">
        <v>40</v>
      </c>
      <c r="C42" s="34">
        <v>4.2</v>
      </c>
      <c r="D42" s="34" t="s">
        <v>3</v>
      </c>
      <c r="E42" s="13">
        <f t="shared" si="2"/>
        <v>3.7714285714285718</v>
      </c>
      <c r="F42" s="33">
        <v>80</v>
      </c>
      <c r="G42" s="34">
        <v>4.2</v>
      </c>
      <c r="H42" s="34" t="s">
        <v>5</v>
      </c>
      <c r="I42" s="13">
        <f t="shared" si="4"/>
        <v>3.7714285714285718</v>
      </c>
      <c r="K42" s="33">
        <v>40</v>
      </c>
      <c r="L42" s="34">
        <v>3</v>
      </c>
      <c r="M42" s="34" t="s">
        <v>4</v>
      </c>
      <c r="N42" s="13">
        <f t="shared" si="3"/>
        <v>9.6</v>
      </c>
      <c r="O42" s="33">
        <v>80</v>
      </c>
      <c r="P42" s="34">
        <v>3.2</v>
      </c>
      <c r="Q42" s="34" t="s">
        <v>6</v>
      </c>
      <c r="R42" s="13">
        <f t="shared" si="5"/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Cll 26 Cr 30</vt:lpstr>
      <vt:lpstr>Cll 13 Cr 68</vt:lpstr>
      <vt:lpstr>Hoja3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alejadro Correa</dc:creator>
  <cp:lastModifiedBy>USER</cp:lastModifiedBy>
  <cp:lastPrinted>2015-10-29T20:09:22Z</cp:lastPrinted>
  <dcterms:created xsi:type="dcterms:W3CDTF">2015-07-23T16:46:46Z</dcterms:created>
  <dcterms:modified xsi:type="dcterms:W3CDTF">2015-10-29T20:10:23Z</dcterms:modified>
</cp:coreProperties>
</file>