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ristian\Desktop\"/>
    </mc:Choice>
  </mc:AlternateContent>
  <xr:revisionPtr revIDLastSave="0" documentId="10_ncr:8100000_{ABADE672-4908-4D99-9ACD-7D20AF4FC22A}" xr6:coauthVersionLast="34" xr6:coauthVersionMax="34" xr10:uidLastSave="{00000000-0000-0000-0000-000000000000}"/>
  <bookViews>
    <workbookView xWindow="0" yWindow="0" windowWidth="20490" windowHeight="7545" activeTab="5" xr2:uid="{00000000-000D-0000-FFFF-FFFF00000000}"/>
  </bookViews>
  <sheets>
    <sheet name="Metodología" sheetId="5" r:id="rId1"/>
    <sheet name="Cronograma" sheetId="2" r:id="rId2"/>
    <sheet name="Recursos" sheetId="3" r:id="rId3"/>
    <sheet name="Presupuesto" sheetId="4" r:id="rId4"/>
    <sheet name="Datos" sheetId="7" r:id="rId5"/>
    <sheet name="Análisis dimensional" sheetId="6" r:id="rId6"/>
    <sheet name="Inventario de cargas" sheetId="8" r:id="rId7"/>
    <sheet name="Inventario de cargas (WORD)" sheetId="11" r:id="rId8"/>
    <sheet name="Componentes Sistema " sheetId="9" r:id="rId9"/>
    <sheet name="PERCPM" sheetId="10" r:id="rId10"/>
    <sheet name="Parámetros" sheetId="28" r:id="rId11"/>
    <sheet name="EPS" sheetId="27" r:id="rId12"/>
    <sheet name="Metodología Conesa Mod." sheetId="22" r:id="rId13"/>
    <sheet name="Matriz de identificación" sheetId="19" r:id="rId14"/>
    <sheet name="Calificación de la actividad" sheetId="21" r:id="rId15"/>
    <sheet name="Matriz de calificación" sheetId="20" r:id="rId16"/>
    <sheet name="Flujos de caja" sheetId="29" r:id="rId17"/>
  </sheets>
  <calcPr calcId="162913"/>
</workbook>
</file>

<file path=xl/calcChain.xml><?xml version="1.0" encoding="utf-8"?>
<calcChain xmlns="http://schemas.openxmlformats.org/spreadsheetml/2006/main">
  <c r="K24" i="7" l="1"/>
  <c r="L24" i="7"/>
  <c r="L26" i="7" s="1"/>
  <c r="K25" i="7"/>
  <c r="K26" i="7" s="1"/>
  <c r="L25" i="7"/>
  <c r="E1" i="29"/>
  <c r="R22" i="29"/>
  <c r="K27" i="7" l="1"/>
  <c r="E62" i="29"/>
  <c r="F62" i="29" s="1"/>
  <c r="G62" i="29" s="1"/>
  <c r="H62" i="29" s="1"/>
  <c r="I62" i="29" s="1"/>
  <c r="J62" i="29" s="1"/>
  <c r="K62" i="29" s="1"/>
  <c r="L62" i="29" s="1"/>
  <c r="M62" i="29" s="1"/>
  <c r="N62" i="29" s="1"/>
  <c r="D54" i="29" l="1"/>
  <c r="J46" i="29" s="1"/>
  <c r="J51" i="29" s="1"/>
  <c r="E44" i="29"/>
  <c r="F44" i="29" s="1"/>
  <c r="G44" i="29" s="1"/>
  <c r="H44" i="29" s="1"/>
  <c r="I44" i="29" s="1"/>
  <c r="J44" i="29" s="1"/>
  <c r="K44" i="29" s="1"/>
  <c r="L44" i="29" s="1"/>
  <c r="M44" i="29" s="1"/>
  <c r="N44" i="29" s="1"/>
  <c r="E41" i="29"/>
  <c r="F41" i="29" s="1"/>
  <c r="G41" i="29" s="1"/>
  <c r="H41" i="29" s="1"/>
  <c r="I41" i="29" s="1"/>
  <c r="J41" i="29" s="1"/>
  <c r="K41" i="29" s="1"/>
  <c r="L41" i="29" s="1"/>
  <c r="M41" i="29" s="1"/>
  <c r="N41" i="29" s="1"/>
  <c r="D33" i="29"/>
  <c r="I18" i="29"/>
  <c r="E10" i="29"/>
  <c r="F10" i="29" s="1"/>
  <c r="G10" i="29" s="1"/>
  <c r="H10" i="29" s="1"/>
  <c r="I10" i="29" s="1"/>
  <c r="J10" i="29" s="1"/>
  <c r="K10" i="29" s="1"/>
  <c r="L10" i="29" s="1"/>
  <c r="M10" i="29" s="1"/>
  <c r="N10" i="29" s="1"/>
  <c r="D6" i="29"/>
  <c r="D12" i="29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E3" i="29"/>
  <c r="E6" i="29" l="1"/>
  <c r="D14" i="29"/>
  <c r="D43" i="29"/>
  <c r="D48" i="29" s="1"/>
  <c r="F3" i="29"/>
  <c r="E12" i="29" l="1"/>
  <c r="E43" i="29" s="1"/>
  <c r="F6" i="29"/>
  <c r="F12" i="29" s="1"/>
  <c r="G3" i="29"/>
  <c r="D49" i="29"/>
  <c r="D50" i="29" s="1"/>
  <c r="D56" i="29" s="1"/>
  <c r="D15" i="29"/>
  <c r="D16" i="29" s="1"/>
  <c r="D19" i="29" s="1"/>
  <c r="E14" i="29" l="1"/>
  <c r="E15" i="29" s="1"/>
  <c r="E16" i="29" s="1"/>
  <c r="E19" i="29" s="1"/>
  <c r="E64" i="29" s="1"/>
  <c r="D63" i="29"/>
  <c r="D64" i="29"/>
  <c r="H3" i="29"/>
  <c r="G6" i="29"/>
  <c r="G12" i="29" s="1"/>
  <c r="F43" i="29"/>
  <c r="F14" i="29"/>
  <c r="H6" i="29" l="1"/>
  <c r="H12" i="29" s="1"/>
  <c r="I3" i="29"/>
  <c r="F15" i="29"/>
  <c r="F16" i="29" s="1"/>
  <c r="F19" i="29" s="1"/>
  <c r="G43" i="29"/>
  <c r="G14" i="29"/>
  <c r="D65" i="29"/>
  <c r="F64" i="29" l="1"/>
  <c r="G15" i="29"/>
  <c r="G16" i="29" s="1"/>
  <c r="G19" i="29" s="1"/>
  <c r="G64" i="29" s="1"/>
  <c r="I6" i="29"/>
  <c r="I12" i="29" s="1"/>
  <c r="J3" i="29"/>
  <c r="H43" i="29"/>
  <c r="H14" i="29"/>
  <c r="J6" i="29" l="1"/>
  <c r="J12" i="29" s="1"/>
  <c r="K3" i="29"/>
  <c r="I14" i="29"/>
  <c r="I43" i="29"/>
  <c r="H15" i="29"/>
  <c r="H16" i="29" s="1"/>
  <c r="H19" i="29" s="1"/>
  <c r="H64" i="29" l="1"/>
  <c r="I15" i="29"/>
  <c r="I16" i="29" s="1"/>
  <c r="I19" i="29" s="1"/>
  <c r="K6" i="29"/>
  <c r="K12" i="29" s="1"/>
  <c r="L3" i="29"/>
  <c r="J43" i="29"/>
  <c r="J14" i="29"/>
  <c r="I64" i="29" l="1"/>
  <c r="J15" i="29"/>
  <c r="J16" i="29" s="1"/>
  <c r="J19" i="29" s="1"/>
  <c r="J64" i="29" s="1"/>
  <c r="L6" i="29"/>
  <c r="L12" i="29" s="1"/>
  <c r="M3" i="29"/>
  <c r="K43" i="29"/>
  <c r="K14" i="29"/>
  <c r="M6" i="29" l="1"/>
  <c r="M12" i="29" s="1"/>
  <c r="N3" i="29"/>
  <c r="N6" i="29" s="1"/>
  <c r="N12" i="29" s="1"/>
  <c r="L43" i="29"/>
  <c r="L14" i="29"/>
  <c r="K15" i="29"/>
  <c r="K16" i="29" s="1"/>
  <c r="K19" i="29" s="1"/>
  <c r="K64" i="29" s="1"/>
  <c r="L15" i="29" l="1"/>
  <c r="L16" i="29" s="1"/>
  <c r="L19" i="29" s="1"/>
  <c r="L64" i="29" s="1"/>
  <c r="N43" i="29"/>
  <c r="N14" i="29"/>
  <c r="M43" i="29"/>
  <c r="M14" i="29"/>
  <c r="M15" i="29" l="1"/>
  <c r="M16" i="29" s="1"/>
  <c r="M19" i="29" s="1"/>
  <c r="M64" i="29" s="1"/>
  <c r="N15" i="29"/>
  <c r="N16" i="29" s="1"/>
  <c r="N19" i="29" s="1"/>
  <c r="D21" i="29" l="1"/>
  <c r="D22" i="29" s="1"/>
  <c r="N64" i="29"/>
  <c r="AH27" i="20" l="1"/>
  <c r="AH22" i="20"/>
  <c r="AH23" i="20"/>
  <c r="AH29" i="20"/>
  <c r="AH30" i="20"/>
  <c r="AG23" i="20"/>
  <c r="AG24" i="20"/>
  <c r="AG25" i="20"/>
  <c r="AG26" i="20"/>
  <c r="AG22" i="20"/>
  <c r="AG20" i="20"/>
  <c r="AG21" i="20"/>
  <c r="AG14" i="20"/>
  <c r="AG15" i="20"/>
  <c r="AH15" i="20"/>
  <c r="AD22" i="20"/>
  <c r="AD23" i="20"/>
  <c r="AD15" i="20"/>
  <c r="AA15" i="20"/>
  <c r="AB22" i="20"/>
  <c r="AB14" i="20"/>
  <c r="AB15" i="20"/>
  <c r="AA330" i="21"/>
  <c r="AA332" i="21"/>
  <c r="AA331" i="21"/>
  <c r="AA341" i="21"/>
  <c r="X13" i="20"/>
  <c r="O289" i="21"/>
  <c r="O288" i="21"/>
  <c r="O290" i="21"/>
  <c r="O299" i="21"/>
  <c r="W32" i="20"/>
  <c r="W22" i="20"/>
  <c r="AD274" i="21"/>
  <c r="AD276" i="21"/>
  <c r="AD275" i="21"/>
  <c r="AA275" i="21"/>
  <c r="AA274" i="21"/>
  <c r="AA276" i="21"/>
  <c r="AD285" i="21"/>
  <c r="AA285" i="21"/>
  <c r="S15" i="20"/>
  <c r="Q22" i="20"/>
  <c r="O218" i="21"/>
  <c r="O220" i="21"/>
  <c r="O219" i="21"/>
  <c r="O229" i="21"/>
  <c r="R190" i="21"/>
  <c r="R192" i="21"/>
  <c r="R191" i="21"/>
  <c r="R201" i="21"/>
  <c r="N15" i="20"/>
  <c r="P15" i="20"/>
  <c r="U178" i="21"/>
  <c r="U176" i="21"/>
  <c r="U187" i="21"/>
  <c r="U150" i="21"/>
  <c r="U149" i="21"/>
  <c r="U177" i="21" s="1"/>
  <c r="U148" i="21"/>
  <c r="U159" i="21"/>
  <c r="M15" i="20"/>
  <c r="U134" i="21"/>
  <c r="U136" i="21"/>
  <c r="U135" i="21"/>
  <c r="U145" i="21"/>
  <c r="K15" i="20"/>
  <c r="J22" i="20"/>
  <c r="I22" i="20"/>
  <c r="H22" i="20"/>
  <c r="G22" i="20"/>
  <c r="F22" i="20"/>
  <c r="E22" i="20"/>
  <c r="L107" i="21"/>
  <c r="L106" i="21"/>
  <c r="I106" i="21"/>
  <c r="I108" i="21"/>
  <c r="I107" i="21"/>
  <c r="O92" i="21"/>
  <c r="O103" i="21"/>
  <c r="O94" i="21"/>
  <c r="O89" i="21"/>
  <c r="O80" i="21"/>
  <c r="O78" i="21"/>
  <c r="O66" i="21"/>
  <c r="O64" i="21"/>
  <c r="O75" i="21"/>
  <c r="O52" i="21"/>
  <c r="O50" i="21"/>
  <c r="O61" i="21"/>
  <c r="R38" i="21"/>
  <c r="R36" i="21"/>
  <c r="R47" i="21"/>
  <c r="I23" i="21"/>
  <c r="I21" i="21"/>
  <c r="I32" i="21"/>
  <c r="O7" i="21"/>
  <c r="O9" i="21"/>
  <c r="O8" i="21"/>
  <c r="R37" i="21" s="1"/>
  <c r="O51" i="21" s="1"/>
  <c r="O65" i="21" s="1"/>
  <c r="O79" i="21" s="1"/>
  <c r="O93" i="21" s="1"/>
  <c r="L8" i="21"/>
  <c r="I8" i="21"/>
  <c r="I7" i="21"/>
  <c r="L7" i="21" s="1"/>
  <c r="L9" i="21"/>
  <c r="I9" i="21"/>
  <c r="O18" i="21"/>
  <c r="D22" i="20" s="1"/>
  <c r="L18" i="21"/>
  <c r="D27" i="20" s="1"/>
  <c r="I18" i="21"/>
  <c r="D23" i="20" s="1"/>
  <c r="I22" i="21" l="1"/>
  <c r="H60" i="9" l="1"/>
  <c r="H58" i="9" l="1"/>
  <c r="H56" i="9"/>
  <c r="H57" i="9" s="1"/>
  <c r="H61" i="9" s="1"/>
  <c r="D34" i="29" s="1"/>
  <c r="D30" i="6"/>
  <c r="C30" i="6"/>
  <c r="I31" i="9"/>
  <c r="E34" i="29" l="1"/>
  <c r="F34" i="29" s="1"/>
  <c r="G50" i="9"/>
  <c r="G51" i="9" s="1"/>
  <c r="H59" i="9"/>
  <c r="H62" i="9" s="1"/>
  <c r="I39" i="9"/>
  <c r="J39" i="9" s="1"/>
  <c r="I38" i="9"/>
  <c r="J38" i="9" s="1"/>
  <c r="F22" i="7"/>
  <c r="J7" i="9"/>
  <c r="J10" i="9" s="1"/>
  <c r="J11" i="9" s="1"/>
  <c r="J12" i="9" s="1"/>
  <c r="J32" i="9"/>
  <c r="J33" i="9"/>
  <c r="J34" i="9"/>
  <c r="J35" i="9"/>
  <c r="J36" i="9"/>
  <c r="J37" i="9"/>
  <c r="J31" i="9"/>
  <c r="D27" i="29" s="1"/>
  <c r="E45" i="29" l="1"/>
  <c r="G42" i="29"/>
  <c r="E27" i="29"/>
  <c r="F27" i="29" s="1"/>
  <c r="G27" i="29" s="1"/>
  <c r="D35" i="29"/>
  <c r="F45" i="29"/>
  <c r="G34" i="29"/>
  <c r="J40" i="9"/>
  <c r="J41" i="9" s="1"/>
  <c r="J42" i="9" s="1"/>
  <c r="AD16" i="20"/>
  <c r="AG16" i="20"/>
  <c r="AD17" i="20"/>
  <c r="AG17" i="20"/>
  <c r="AD18" i="20"/>
  <c r="AG18" i="20"/>
  <c r="AD19" i="20"/>
  <c r="AG19" i="20"/>
  <c r="AD20" i="20"/>
  <c r="AD21" i="20"/>
  <c r="AB16" i="20"/>
  <c r="AB17" i="20"/>
  <c r="AB18" i="20"/>
  <c r="AB19" i="20"/>
  <c r="AB20" i="20"/>
  <c r="AB21" i="20"/>
  <c r="H46" i="29" l="1"/>
  <c r="H51" i="29" s="1"/>
  <c r="F46" i="29"/>
  <c r="F51" i="29" s="1"/>
  <c r="G46" i="29"/>
  <c r="G51" i="29" s="1"/>
  <c r="E46" i="29"/>
  <c r="I46" i="29"/>
  <c r="I51" i="29" s="1"/>
  <c r="G45" i="29"/>
  <c r="H34" i="29"/>
  <c r="G54" i="29"/>
  <c r="J42" i="29" s="1"/>
  <c r="H27" i="29"/>
  <c r="I27" i="29" s="1"/>
  <c r="J27" i="29" s="1"/>
  <c r="AD7" i="20"/>
  <c r="AD8" i="20"/>
  <c r="AD9" i="20"/>
  <c r="AD10" i="20"/>
  <c r="AD11" i="20"/>
  <c r="AD12" i="20"/>
  <c r="AD14" i="20"/>
  <c r="AD24" i="20"/>
  <c r="AD25" i="20"/>
  <c r="AD26" i="20"/>
  <c r="AD27" i="20"/>
  <c r="AD28" i="20"/>
  <c r="AD36" i="20"/>
  <c r="AD37" i="20"/>
  <c r="AG7" i="20"/>
  <c r="AG8" i="20"/>
  <c r="AG9" i="20"/>
  <c r="AG10" i="20"/>
  <c r="AG11" i="20"/>
  <c r="AG12" i="20"/>
  <c r="AG27" i="20"/>
  <c r="AG28" i="20"/>
  <c r="AG36" i="20"/>
  <c r="AG37" i="20"/>
  <c r="AB37" i="20"/>
  <c r="AB36" i="20"/>
  <c r="AB28" i="20"/>
  <c r="AB27" i="20"/>
  <c r="AB26" i="20"/>
  <c r="AB25" i="20"/>
  <c r="AB24" i="20"/>
  <c r="AB23" i="20"/>
  <c r="AB12" i="20"/>
  <c r="AB11" i="20"/>
  <c r="AB10" i="20"/>
  <c r="AB9" i="20"/>
  <c r="AB8" i="20"/>
  <c r="AB7" i="20"/>
  <c r="L218" i="21"/>
  <c r="F192" i="21"/>
  <c r="F201" i="21"/>
  <c r="Q6" i="20" s="1"/>
  <c r="C89" i="21"/>
  <c r="F48" i="29" l="1"/>
  <c r="F49" i="29" s="1"/>
  <c r="F52" i="29" s="1"/>
  <c r="G48" i="29"/>
  <c r="G49" i="29" s="1"/>
  <c r="G52" i="29" s="1"/>
  <c r="E51" i="29"/>
  <c r="E48" i="29"/>
  <c r="I34" i="29"/>
  <c r="H45" i="29"/>
  <c r="H48" i="29" s="1"/>
  <c r="K27" i="29"/>
  <c r="L27" i="29" s="1"/>
  <c r="M27" i="29" s="1"/>
  <c r="J54" i="29"/>
  <c r="R177" i="21"/>
  <c r="L331" i="21"/>
  <c r="O331" i="21" s="1"/>
  <c r="R331" i="21" s="1"/>
  <c r="U331" i="21" s="1"/>
  <c r="L330" i="21"/>
  <c r="O330" i="21" s="1"/>
  <c r="R330" i="21" s="1"/>
  <c r="U330" i="21" s="1"/>
  <c r="X330" i="21" s="1"/>
  <c r="I331" i="21"/>
  <c r="I330" i="21"/>
  <c r="C331" i="21"/>
  <c r="F331" i="21" s="1"/>
  <c r="C330" i="21"/>
  <c r="F330" i="21" s="1"/>
  <c r="X332" i="21"/>
  <c r="X331" i="21"/>
  <c r="U332" i="21"/>
  <c r="R332" i="21"/>
  <c r="O332" i="21"/>
  <c r="L332" i="21"/>
  <c r="I332" i="21"/>
  <c r="F332" i="21"/>
  <c r="C332" i="21"/>
  <c r="B329" i="21"/>
  <c r="C317" i="21"/>
  <c r="F317" i="21" s="1"/>
  <c r="I317" i="21" s="1"/>
  <c r="L317" i="21" s="1"/>
  <c r="C316" i="21"/>
  <c r="F316" i="21" s="1"/>
  <c r="I316" i="21" s="1"/>
  <c r="L316" i="21" s="1"/>
  <c r="O316" i="21" s="1"/>
  <c r="O318" i="21"/>
  <c r="O317" i="21"/>
  <c r="L318" i="21"/>
  <c r="I318" i="21"/>
  <c r="F318" i="21"/>
  <c r="C318" i="21"/>
  <c r="O327" i="21"/>
  <c r="Z35" i="20" s="1"/>
  <c r="L327" i="21"/>
  <c r="Z33" i="20" s="1"/>
  <c r="I327" i="21"/>
  <c r="Z32" i="20" s="1"/>
  <c r="F327" i="21"/>
  <c r="Z31" i="20" s="1"/>
  <c r="C327" i="21"/>
  <c r="Z30" i="20" s="1"/>
  <c r="B315" i="21"/>
  <c r="U304" i="21"/>
  <c r="I303" i="21"/>
  <c r="L303" i="21" s="1"/>
  <c r="O303" i="21" s="1"/>
  <c r="R303" i="21" s="1"/>
  <c r="I302" i="21"/>
  <c r="L302" i="21" s="1"/>
  <c r="O302" i="21" s="1"/>
  <c r="R302" i="21" s="1"/>
  <c r="U302" i="21" s="1"/>
  <c r="C303" i="21"/>
  <c r="C302" i="21"/>
  <c r="U303" i="21"/>
  <c r="R304" i="21"/>
  <c r="O304" i="21"/>
  <c r="L304" i="21"/>
  <c r="I304" i="21"/>
  <c r="F304" i="21"/>
  <c r="F303" i="21"/>
  <c r="F302" i="21"/>
  <c r="C304" i="21"/>
  <c r="U313" i="21"/>
  <c r="Y34" i="20" s="1"/>
  <c r="R313" i="21"/>
  <c r="Y33" i="20" s="1"/>
  <c r="O313" i="21"/>
  <c r="Y31" i="20" s="1"/>
  <c r="L313" i="21"/>
  <c r="Y30" i="20" s="1"/>
  <c r="I313" i="21"/>
  <c r="Y29" i="20" s="1"/>
  <c r="F313" i="21"/>
  <c r="Y6" i="20" s="1"/>
  <c r="C313" i="21"/>
  <c r="Y5" i="20" s="1"/>
  <c r="C289" i="21"/>
  <c r="F289" i="21" s="1"/>
  <c r="I289" i="21" s="1"/>
  <c r="C288" i="21"/>
  <c r="F288" i="21" s="1"/>
  <c r="I288" i="21" s="1"/>
  <c r="L288" i="21" s="1"/>
  <c r="L289" i="21"/>
  <c r="L290" i="21"/>
  <c r="I290" i="21"/>
  <c r="F290" i="21"/>
  <c r="C290" i="21"/>
  <c r="B287" i="21"/>
  <c r="I275" i="21"/>
  <c r="L275" i="21" s="1"/>
  <c r="O275" i="21" s="1"/>
  <c r="R275" i="21" s="1"/>
  <c r="I274" i="21"/>
  <c r="L274" i="21" s="1"/>
  <c r="O274" i="21" s="1"/>
  <c r="R274" i="21" s="1"/>
  <c r="U275" i="21"/>
  <c r="X275" i="21"/>
  <c r="X276" i="21"/>
  <c r="U276" i="21"/>
  <c r="R276" i="21"/>
  <c r="O276" i="21"/>
  <c r="L276" i="21"/>
  <c r="I276" i="21"/>
  <c r="C275" i="21"/>
  <c r="F275" i="21" s="1"/>
  <c r="C274" i="21"/>
  <c r="F274" i="21" s="1"/>
  <c r="F276" i="21"/>
  <c r="C276" i="21"/>
  <c r="B273" i="21"/>
  <c r="L271" i="21"/>
  <c r="V34" i="20" s="1"/>
  <c r="I271" i="21"/>
  <c r="V33" i="20" s="1"/>
  <c r="F271" i="21"/>
  <c r="V31" i="20" s="1"/>
  <c r="C271" i="21"/>
  <c r="V30" i="20" s="1"/>
  <c r="B259" i="21"/>
  <c r="C247" i="21"/>
  <c r="C261" i="21" s="1"/>
  <c r="F261" i="21" s="1"/>
  <c r="I261" i="21" s="1"/>
  <c r="C246" i="21"/>
  <c r="F246" i="21" s="1"/>
  <c r="L247" i="21"/>
  <c r="L261" i="21" s="1"/>
  <c r="L248" i="21"/>
  <c r="L262" i="21" s="1"/>
  <c r="I248" i="21"/>
  <c r="I262" i="21" s="1"/>
  <c r="F248" i="21"/>
  <c r="F262" i="21" s="1"/>
  <c r="C248" i="21"/>
  <c r="C262" i="21" s="1"/>
  <c r="B245" i="21"/>
  <c r="R233" i="21"/>
  <c r="O233" i="21"/>
  <c r="C233" i="21"/>
  <c r="F233" i="21" s="1"/>
  <c r="I233" i="21" s="1"/>
  <c r="L233" i="21" s="1"/>
  <c r="C232" i="21"/>
  <c r="F232" i="21" s="1"/>
  <c r="I232" i="21" s="1"/>
  <c r="L232" i="21" s="1"/>
  <c r="O232" i="21" s="1"/>
  <c r="R232" i="21" s="1"/>
  <c r="R234" i="21"/>
  <c r="O234" i="21"/>
  <c r="L234" i="21"/>
  <c r="I234" i="21"/>
  <c r="F234" i="21"/>
  <c r="C234" i="21"/>
  <c r="B231" i="21"/>
  <c r="C219" i="21"/>
  <c r="F219" i="21" s="1"/>
  <c r="I219" i="21" s="1"/>
  <c r="C218" i="21"/>
  <c r="F218" i="21" s="1"/>
  <c r="I218" i="21" s="1"/>
  <c r="L220" i="21"/>
  <c r="L219" i="21"/>
  <c r="I220" i="21"/>
  <c r="F220" i="21"/>
  <c r="C220" i="21"/>
  <c r="B217" i="21"/>
  <c r="L205" i="21"/>
  <c r="C205" i="21"/>
  <c r="F205" i="21" s="1"/>
  <c r="I205" i="21" s="1"/>
  <c r="C204" i="21"/>
  <c r="F204" i="21" s="1"/>
  <c r="I204" i="21" s="1"/>
  <c r="L204" i="21" s="1"/>
  <c r="L206" i="21"/>
  <c r="I206" i="21"/>
  <c r="F206" i="21"/>
  <c r="C206" i="21"/>
  <c r="L215" i="21"/>
  <c r="R35" i="20" s="1"/>
  <c r="I215" i="21"/>
  <c r="R33" i="20" s="1"/>
  <c r="B203" i="21"/>
  <c r="O192" i="21"/>
  <c r="O191" i="21"/>
  <c r="L192" i="21"/>
  <c r="I191" i="21"/>
  <c r="I190" i="21"/>
  <c r="I192" i="21"/>
  <c r="C190" i="21"/>
  <c r="F190" i="21" s="1"/>
  <c r="C191" i="21"/>
  <c r="F191" i="21" s="1"/>
  <c r="C192" i="21"/>
  <c r="B189" i="21"/>
  <c r="O201" i="21"/>
  <c r="Q35" i="20" s="1"/>
  <c r="L201" i="21"/>
  <c r="Q31" i="20" s="1"/>
  <c r="I201" i="21"/>
  <c r="Q30" i="20" s="1"/>
  <c r="C201" i="21"/>
  <c r="Q5" i="20" s="1"/>
  <c r="R178" i="21"/>
  <c r="O178" i="21"/>
  <c r="L178" i="21"/>
  <c r="I178" i="21"/>
  <c r="F178" i="21"/>
  <c r="C177" i="21"/>
  <c r="F177" i="21" s="1"/>
  <c r="C176" i="21"/>
  <c r="F176" i="21" s="1"/>
  <c r="C178" i="21"/>
  <c r="R187" i="21"/>
  <c r="P35" i="20" s="1"/>
  <c r="O187" i="21"/>
  <c r="P33" i="20" s="1"/>
  <c r="L187" i="21"/>
  <c r="P31" i="20" s="1"/>
  <c r="I187" i="21"/>
  <c r="P30" i="20" s="1"/>
  <c r="F187" i="21"/>
  <c r="P6" i="20" s="1"/>
  <c r="C187" i="21"/>
  <c r="P5" i="20" s="1"/>
  <c r="B175" i="21"/>
  <c r="O163" i="21"/>
  <c r="L163" i="21"/>
  <c r="C163" i="21"/>
  <c r="F163" i="21" s="1"/>
  <c r="I163" i="21" s="1"/>
  <c r="I177" i="21" s="1"/>
  <c r="C162" i="21"/>
  <c r="F162" i="21" s="1"/>
  <c r="I162" i="21" s="1"/>
  <c r="I176" i="21" s="1"/>
  <c r="O164" i="21"/>
  <c r="L164" i="21"/>
  <c r="I164" i="21"/>
  <c r="F164" i="21"/>
  <c r="C164" i="21"/>
  <c r="B161" i="21"/>
  <c r="B147" i="21"/>
  <c r="R159" i="21"/>
  <c r="N35" i="20" s="1"/>
  <c r="O159" i="21"/>
  <c r="N33" i="20" s="1"/>
  <c r="L159" i="21"/>
  <c r="N31" i="20" s="1"/>
  <c r="I159" i="21"/>
  <c r="N30" i="20" s="1"/>
  <c r="F159" i="21"/>
  <c r="N6" i="20" s="1"/>
  <c r="C159" i="21"/>
  <c r="N5" i="20" s="1"/>
  <c r="R136" i="21"/>
  <c r="R150" i="21" s="1"/>
  <c r="R135" i="21"/>
  <c r="R149" i="21" s="1"/>
  <c r="O136" i="21"/>
  <c r="O150" i="21" s="1"/>
  <c r="L136" i="21"/>
  <c r="L150" i="21" s="1"/>
  <c r="I135" i="21"/>
  <c r="L135" i="21" s="1"/>
  <c r="O135" i="21" s="1"/>
  <c r="I134" i="21"/>
  <c r="L134" i="21" s="1"/>
  <c r="O134" i="21" s="1"/>
  <c r="R134" i="21" s="1"/>
  <c r="I136" i="21"/>
  <c r="I150" i="21" s="1"/>
  <c r="C135" i="21"/>
  <c r="F135" i="21" s="1"/>
  <c r="C134" i="21"/>
  <c r="F134" i="21" s="1"/>
  <c r="F136" i="21"/>
  <c r="F150" i="21" s="1"/>
  <c r="C136" i="21"/>
  <c r="C150" i="21" s="1"/>
  <c r="O145" i="21"/>
  <c r="M33" i="20" s="1"/>
  <c r="L145" i="21"/>
  <c r="M31" i="20" s="1"/>
  <c r="I145" i="21"/>
  <c r="M30" i="20" s="1"/>
  <c r="F145" i="21"/>
  <c r="M6" i="20" s="1"/>
  <c r="C145" i="21"/>
  <c r="M5" i="20" s="1"/>
  <c r="B133" i="21"/>
  <c r="C121" i="21"/>
  <c r="F121" i="21" s="1"/>
  <c r="I121" i="21" s="1"/>
  <c r="L121" i="21" s="1"/>
  <c r="C120" i="21"/>
  <c r="F120" i="21" s="1"/>
  <c r="I120" i="21" s="1"/>
  <c r="L120" i="21" s="1"/>
  <c r="O120" i="21" s="1"/>
  <c r="O121" i="21"/>
  <c r="O122" i="21"/>
  <c r="L122" i="21"/>
  <c r="I122" i="21"/>
  <c r="F122" i="21"/>
  <c r="C122" i="21"/>
  <c r="B119" i="21"/>
  <c r="O108" i="21"/>
  <c r="L108" i="21"/>
  <c r="O107" i="21"/>
  <c r="O106" i="21"/>
  <c r="O117" i="21"/>
  <c r="K33" i="20" s="1"/>
  <c r="L117" i="21"/>
  <c r="K31" i="20" s="1"/>
  <c r="I117" i="21"/>
  <c r="C107" i="21"/>
  <c r="F107" i="21" s="1"/>
  <c r="C106" i="21"/>
  <c r="F106" i="21" s="1"/>
  <c r="F108" i="21"/>
  <c r="C108" i="21"/>
  <c r="B105" i="21"/>
  <c r="C93" i="21"/>
  <c r="F93" i="21" s="1"/>
  <c r="I93" i="21" s="1"/>
  <c r="C92" i="21"/>
  <c r="F92" i="21" s="1"/>
  <c r="I92" i="21" s="1"/>
  <c r="L92" i="21" s="1"/>
  <c r="C94" i="21"/>
  <c r="B91" i="21"/>
  <c r="C79" i="21"/>
  <c r="F79" i="21" s="1"/>
  <c r="I79" i="21" s="1"/>
  <c r="C78" i="21"/>
  <c r="F78" i="21" s="1"/>
  <c r="I78" i="21" s="1"/>
  <c r="L78" i="21" s="1"/>
  <c r="C80" i="21"/>
  <c r="L103" i="21"/>
  <c r="J35" i="20" s="1"/>
  <c r="I103" i="21"/>
  <c r="J33" i="20" s="1"/>
  <c r="F103" i="21"/>
  <c r="J31" i="20" s="1"/>
  <c r="L89" i="21"/>
  <c r="I35" i="20" s="1"/>
  <c r="I89" i="21"/>
  <c r="I33" i="20" s="1"/>
  <c r="F89" i="21"/>
  <c r="I31" i="20" s="1"/>
  <c r="C66" i="21"/>
  <c r="C65" i="21"/>
  <c r="F65" i="21" s="1"/>
  <c r="I65" i="21" s="1"/>
  <c r="C64" i="21"/>
  <c r="F64" i="21" s="1"/>
  <c r="I64" i="21" s="1"/>
  <c r="L64" i="21" s="1"/>
  <c r="L75" i="21"/>
  <c r="H35" i="20" s="1"/>
  <c r="I75" i="21"/>
  <c r="H33" i="20" s="1"/>
  <c r="F75" i="21"/>
  <c r="H31" i="20" s="1"/>
  <c r="C75" i="21"/>
  <c r="H30" i="20" s="1"/>
  <c r="B77" i="21"/>
  <c r="B63" i="21"/>
  <c r="L52" i="21"/>
  <c r="L66" i="21" s="1"/>
  <c r="L80" i="21" s="1"/>
  <c r="L94" i="21" s="1"/>
  <c r="L51" i="21"/>
  <c r="L65" i="21" s="1"/>
  <c r="L79" i="21" s="1"/>
  <c r="L93" i="21" s="1"/>
  <c r="I52" i="21"/>
  <c r="I66" i="21" s="1"/>
  <c r="I80" i="21" s="1"/>
  <c r="I94" i="21" s="1"/>
  <c r="F52" i="21"/>
  <c r="F66" i="21" s="1"/>
  <c r="F80" i="21" s="1"/>
  <c r="F94" i="21" s="1"/>
  <c r="C52" i="21"/>
  <c r="C50" i="21"/>
  <c r="F50" i="21" s="1"/>
  <c r="I50" i="21" s="1"/>
  <c r="L50" i="21" s="1"/>
  <c r="C51" i="21"/>
  <c r="F51" i="21" s="1"/>
  <c r="I51" i="21" s="1"/>
  <c r="O38" i="21"/>
  <c r="O37" i="21"/>
  <c r="B49" i="21"/>
  <c r="C37" i="21"/>
  <c r="F37" i="21" s="1"/>
  <c r="I37" i="21" s="1"/>
  <c r="L37" i="21" s="1"/>
  <c r="C36" i="21"/>
  <c r="F36" i="21" s="1"/>
  <c r="I36" i="21" s="1"/>
  <c r="L36" i="21" s="1"/>
  <c r="O36" i="21" s="1"/>
  <c r="O47" i="21"/>
  <c r="F35" i="20" s="1"/>
  <c r="L38" i="21"/>
  <c r="I38" i="21"/>
  <c r="F38" i="21"/>
  <c r="L47" i="21"/>
  <c r="F33" i="20" s="1"/>
  <c r="I47" i="21"/>
  <c r="F32" i="20" s="1"/>
  <c r="C38" i="21"/>
  <c r="B35" i="21"/>
  <c r="B20" i="21"/>
  <c r="F23" i="21"/>
  <c r="C23" i="21"/>
  <c r="C21" i="21"/>
  <c r="F21" i="21" s="1"/>
  <c r="C22" i="21"/>
  <c r="F22" i="21" s="1"/>
  <c r="F8" i="21"/>
  <c r="F7" i="21"/>
  <c r="C8" i="21"/>
  <c r="C7" i="21"/>
  <c r="C9" i="21"/>
  <c r="F9" i="21"/>
  <c r="B6" i="21"/>
  <c r="F50" i="29" l="1"/>
  <c r="F56" i="29" s="1"/>
  <c r="F63" i="29" s="1"/>
  <c r="F65" i="29" s="1"/>
  <c r="G50" i="29"/>
  <c r="G56" i="29" s="1"/>
  <c r="G63" i="29" s="1"/>
  <c r="G65" i="29" s="1"/>
  <c r="L46" i="29"/>
  <c r="L51" i="29" s="1"/>
  <c r="M42" i="29"/>
  <c r="M46" i="29"/>
  <c r="M51" i="29" s="1"/>
  <c r="K46" i="29"/>
  <c r="K51" i="29" s="1"/>
  <c r="N27" i="29"/>
  <c r="M54" i="29"/>
  <c r="H49" i="29"/>
  <c r="H52" i="29" s="1"/>
  <c r="E49" i="29"/>
  <c r="E52" i="29" s="1"/>
  <c r="I45" i="29"/>
  <c r="I48" i="29" s="1"/>
  <c r="J34" i="29"/>
  <c r="P45" i="20"/>
  <c r="P41" i="20"/>
  <c r="H45" i="20"/>
  <c r="H41" i="20"/>
  <c r="Y45" i="20"/>
  <c r="Y41" i="20"/>
  <c r="Z45" i="20"/>
  <c r="Z41" i="20"/>
  <c r="N45" i="20"/>
  <c r="N41" i="20"/>
  <c r="Q45" i="20"/>
  <c r="Q41" i="20"/>
  <c r="V45" i="20"/>
  <c r="V41" i="20"/>
  <c r="F247" i="21"/>
  <c r="I247" i="21" s="1"/>
  <c r="C260" i="21"/>
  <c r="F260" i="21" s="1"/>
  <c r="L177" i="21"/>
  <c r="O177" i="21" s="1"/>
  <c r="L191" i="21"/>
  <c r="L176" i="21"/>
  <c r="O176" i="21" s="1"/>
  <c r="R176" i="21" s="1"/>
  <c r="L190" i="21"/>
  <c r="O190" i="21" s="1"/>
  <c r="L162" i="21"/>
  <c r="O162" i="21" s="1"/>
  <c r="C148" i="21"/>
  <c r="F148" i="21" s="1"/>
  <c r="I149" i="21"/>
  <c r="L149" i="21" s="1"/>
  <c r="O149" i="21" s="1"/>
  <c r="I148" i="21"/>
  <c r="L148" i="21" s="1"/>
  <c r="O148" i="21" s="1"/>
  <c r="R148" i="21" s="1"/>
  <c r="C149" i="21"/>
  <c r="F149" i="21" s="1"/>
  <c r="C18" i="21"/>
  <c r="F18" i="21"/>
  <c r="D31" i="20" s="1"/>
  <c r="C32" i="21"/>
  <c r="E30" i="20" s="1"/>
  <c r="F32" i="21"/>
  <c r="E31" i="20" s="1"/>
  <c r="C47" i="21"/>
  <c r="F30" i="20" s="1"/>
  <c r="F47" i="21"/>
  <c r="F31" i="20" s="1"/>
  <c r="C61" i="21"/>
  <c r="G30" i="20" s="1"/>
  <c r="F61" i="21"/>
  <c r="G31" i="20" s="1"/>
  <c r="I61" i="21"/>
  <c r="G33" i="20" s="1"/>
  <c r="L61" i="21"/>
  <c r="G35" i="20" s="1"/>
  <c r="I30" i="20"/>
  <c r="C103" i="21"/>
  <c r="J30" i="20" s="1"/>
  <c r="C117" i="21"/>
  <c r="F117" i="21"/>
  <c r="K6" i="20" s="1"/>
  <c r="F131" i="21"/>
  <c r="L31" i="20" s="1"/>
  <c r="I131" i="21"/>
  <c r="L32" i="20" s="1"/>
  <c r="L131" i="21"/>
  <c r="L33" i="20" s="1"/>
  <c r="O131" i="21"/>
  <c r="L35" i="20" s="1"/>
  <c r="I246" i="21"/>
  <c r="R145" i="21"/>
  <c r="M35" i="20" s="1"/>
  <c r="M45" i="20" s="1"/>
  <c r="C173" i="21"/>
  <c r="O30" i="20" s="1"/>
  <c r="F173" i="21"/>
  <c r="O31" i="20" s="1"/>
  <c r="I173" i="21"/>
  <c r="O33" i="20" s="1"/>
  <c r="L173" i="21"/>
  <c r="O34" i="20" s="1"/>
  <c r="O173" i="21"/>
  <c r="O35" i="20" s="1"/>
  <c r="C215" i="21"/>
  <c r="R30" i="20" s="1"/>
  <c r="F215" i="21"/>
  <c r="C229" i="21"/>
  <c r="S30" i="20" s="1"/>
  <c r="F229" i="21"/>
  <c r="S31" i="20" s="1"/>
  <c r="I229" i="21"/>
  <c r="S33" i="20" s="1"/>
  <c r="L229" i="21"/>
  <c r="S35" i="20" s="1"/>
  <c r="C243" i="21"/>
  <c r="F243" i="21"/>
  <c r="T30" i="20" s="1"/>
  <c r="I243" i="21"/>
  <c r="T31" i="20" s="1"/>
  <c r="L243" i="21"/>
  <c r="T33" i="20" s="1"/>
  <c r="O243" i="21"/>
  <c r="T34" i="20" s="1"/>
  <c r="R243" i="21"/>
  <c r="T35" i="20" s="1"/>
  <c r="C257" i="21"/>
  <c r="U30" i="20" s="1"/>
  <c r="F257" i="21"/>
  <c r="U31" i="20" s="1"/>
  <c r="I257" i="21"/>
  <c r="U33" i="20" s="1"/>
  <c r="L257" i="21"/>
  <c r="U34" i="20" s="1"/>
  <c r="U274" i="21"/>
  <c r="X274" i="21" s="1"/>
  <c r="C285" i="21"/>
  <c r="W5" i="20" s="1"/>
  <c r="F285" i="21"/>
  <c r="W6" i="20" s="1"/>
  <c r="I285" i="21"/>
  <c r="W29" i="20" s="1"/>
  <c r="L285" i="21"/>
  <c r="W30" i="20" s="1"/>
  <c r="O285" i="21"/>
  <c r="W31" i="20" s="1"/>
  <c r="R285" i="21"/>
  <c r="W33" i="20" s="1"/>
  <c r="U285" i="21"/>
  <c r="W34" i="20" s="1"/>
  <c r="X285" i="21"/>
  <c r="W35" i="20" s="1"/>
  <c r="C299" i="21"/>
  <c r="X30" i="20" s="1"/>
  <c r="F299" i="21"/>
  <c r="X31" i="20" s="1"/>
  <c r="I299" i="21"/>
  <c r="X33" i="20" s="1"/>
  <c r="L299" i="21"/>
  <c r="X35" i="20" s="1"/>
  <c r="B301" i="21"/>
  <c r="Y38" i="20"/>
  <c r="C341" i="21"/>
  <c r="AA5" i="20" s="1"/>
  <c r="F341" i="21"/>
  <c r="AA6" i="20" s="1"/>
  <c r="I341" i="21"/>
  <c r="AA13" i="20" s="1"/>
  <c r="L341" i="21"/>
  <c r="AA30" i="20" s="1"/>
  <c r="O341" i="21"/>
  <c r="AA31" i="20" s="1"/>
  <c r="R341" i="21"/>
  <c r="AA32" i="20" s="1"/>
  <c r="U341" i="21"/>
  <c r="AA33" i="20" s="1"/>
  <c r="X341" i="21"/>
  <c r="AA35" i="20" s="1"/>
  <c r="D51" i="10"/>
  <c r="H50" i="29" l="1"/>
  <c r="H56" i="29" s="1"/>
  <c r="H63" i="29" s="1"/>
  <c r="H65" i="29" s="1"/>
  <c r="E50" i="29"/>
  <c r="E56" i="29" s="1"/>
  <c r="E63" i="29" s="1"/>
  <c r="E65" i="29" s="1"/>
  <c r="I49" i="29"/>
  <c r="I52" i="29" s="1"/>
  <c r="J45" i="29"/>
  <c r="J48" i="29" s="1"/>
  <c r="K34" i="29"/>
  <c r="N46" i="29"/>
  <c r="N51" i="29" s="1"/>
  <c r="X41" i="20"/>
  <c r="AG33" i="20"/>
  <c r="AB32" i="20"/>
  <c r="AD35" i="20"/>
  <c r="AD32" i="20"/>
  <c r="M41" i="20"/>
  <c r="AB35" i="20"/>
  <c r="U45" i="20"/>
  <c r="U41" i="20"/>
  <c r="I38" i="20"/>
  <c r="I45" i="20"/>
  <c r="I41" i="20"/>
  <c r="G45" i="20"/>
  <c r="G41" i="20"/>
  <c r="E45" i="20"/>
  <c r="E41" i="20"/>
  <c r="AG32" i="20"/>
  <c r="AB33" i="20"/>
  <c r="AD13" i="20"/>
  <c r="AG13" i="20"/>
  <c r="AH13" i="20" s="1"/>
  <c r="AB13" i="20"/>
  <c r="W45" i="20"/>
  <c r="W41" i="20"/>
  <c r="J45" i="20"/>
  <c r="J41" i="20"/>
  <c r="O45" i="20"/>
  <c r="O41" i="20"/>
  <c r="AB6" i="20"/>
  <c r="AD6" i="20"/>
  <c r="AG6" i="20"/>
  <c r="AG35" i="20"/>
  <c r="AD33" i="20"/>
  <c r="AE33" i="20" s="1"/>
  <c r="X45" i="20"/>
  <c r="X46" i="20" s="1"/>
  <c r="AA45" i="20"/>
  <c r="AA41" i="20"/>
  <c r="S41" i="20"/>
  <c r="S45" i="20"/>
  <c r="AG34" i="20"/>
  <c r="AB34" i="20"/>
  <c r="AD34" i="20"/>
  <c r="F45" i="20"/>
  <c r="F41" i="20"/>
  <c r="T29" i="20"/>
  <c r="R31" i="20"/>
  <c r="AG31" i="20" s="1"/>
  <c r="K5" i="20"/>
  <c r="D30" i="20"/>
  <c r="L246" i="21"/>
  <c r="I260" i="21"/>
  <c r="L260" i="21" s="1"/>
  <c r="Y42" i="20"/>
  <c r="J38" i="20"/>
  <c r="S38" i="20"/>
  <c r="V38" i="20"/>
  <c r="F38" i="20"/>
  <c r="H38" i="20"/>
  <c r="W38" i="20"/>
  <c r="Q38" i="20"/>
  <c r="Q42" i="20"/>
  <c r="Z46" i="20"/>
  <c r="Z38" i="20"/>
  <c r="AA38" i="20"/>
  <c r="O38" i="20"/>
  <c r="P38" i="20"/>
  <c r="P42" i="20"/>
  <c r="H46" i="20"/>
  <c r="X38" i="20"/>
  <c r="G38" i="20"/>
  <c r="N38" i="20"/>
  <c r="M38" i="20"/>
  <c r="U38" i="20"/>
  <c r="E38" i="20"/>
  <c r="I50" i="29" l="1"/>
  <c r="I56" i="29" s="1"/>
  <c r="I63" i="29" s="1"/>
  <c r="I65" i="29" s="1"/>
  <c r="N47" i="29"/>
  <c r="N53" i="29" s="1"/>
  <c r="N42" i="29" s="1"/>
  <c r="L34" i="29"/>
  <c r="K45" i="29"/>
  <c r="K48" i="29" s="1"/>
  <c r="J49" i="29"/>
  <c r="J52" i="29" s="1"/>
  <c r="AH35" i="20"/>
  <c r="AH32" i="20"/>
  <c r="R41" i="20"/>
  <c r="AH34" i="20"/>
  <c r="AB31" i="20"/>
  <c r="L45" i="20"/>
  <c r="L41" i="20"/>
  <c r="AE32" i="20"/>
  <c r="AE34" i="20"/>
  <c r="AD31" i="20"/>
  <c r="AH31" i="20" s="1"/>
  <c r="R45" i="20"/>
  <c r="R46" i="20" s="1"/>
  <c r="AH33" i="20"/>
  <c r="D38" i="20"/>
  <c r="D45" i="20"/>
  <c r="D41" i="20"/>
  <c r="AG30" i="20"/>
  <c r="AB30" i="20"/>
  <c r="AD30" i="20"/>
  <c r="T45" i="20"/>
  <c r="T41" i="20"/>
  <c r="AD29" i="20"/>
  <c r="AG29" i="20"/>
  <c r="AB29" i="20"/>
  <c r="K41" i="20"/>
  <c r="AD5" i="20"/>
  <c r="AG5" i="20"/>
  <c r="AB5" i="20"/>
  <c r="K45" i="20"/>
  <c r="AH6" i="20"/>
  <c r="AE35" i="20"/>
  <c r="T38" i="20"/>
  <c r="R38" i="20"/>
  <c r="L38" i="20"/>
  <c r="K38" i="20"/>
  <c r="V46" i="20"/>
  <c r="V42" i="20"/>
  <c r="Z42" i="20"/>
  <c r="M42" i="20"/>
  <c r="M46" i="20"/>
  <c r="U46" i="20"/>
  <c r="J42" i="20"/>
  <c r="Y46" i="20"/>
  <c r="X42" i="20"/>
  <c r="O42" i="20"/>
  <c r="O46" i="20"/>
  <c r="N42" i="20"/>
  <c r="G42" i="20"/>
  <c r="Q46" i="20"/>
  <c r="J46" i="20"/>
  <c r="E42" i="20"/>
  <c r="E46" i="20"/>
  <c r="G46" i="20"/>
  <c r="AA46" i="20"/>
  <c r="AA42" i="20"/>
  <c r="N46" i="20"/>
  <c r="R42" i="20"/>
  <c r="H42" i="20"/>
  <c r="W42" i="20"/>
  <c r="W46" i="20"/>
  <c r="F42" i="20"/>
  <c r="F46" i="20"/>
  <c r="P46" i="20"/>
  <c r="U42" i="20"/>
  <c r="S42" i="20"/>
  <c r="S46" i="20"/>
  <c r="K49" i="29" l="1"/>
  <c r="K52" i="29" s="1"/>
  <c r="M34" i="29"/>
  <c r="L45" i="29"/>
  <c r="L48" i="29" s="1"/>
  <c r="J50" i="29"/>
  <c r="J56" i="29" s="1"/>
  <c r="K46" i="20"/>
  <c r="T42" i="20"/>
  <c r="AH5" i="20"/>
  <c r="D46" i="20"/>
  <c r="L42" i="20"/>
  <c r="K42" i="20"/>
  <c r="AE29" i="20"/>
  <c r="D42" i="20"/>
  <c r="AE5" i="20"/>
  <c r="T46" i="20"/>
  <c r="AE31" i="20"/>
  <c r="AE30" i="20"/>
  <c r="L46" i="20"/>
  <c r="K50" i="29" l="1"/>
  <c r="K56" i="29" s="1"/>
  <c r="K63" i="29" s="1"/>
  <c r="K65" i="29" s="1"/>
  <c r="L49" i="29"/>
  <c r="L52" i="29" s="1"/>
  <c r="N34" i="29"/>
  <c r="N45" i="29" s="1"/>
  <c r="N48" i="29" s="1"/>
  <c r="M45" i="29"/>
  <c r="M48" i="29" s="1"/>
  <c r="J63" i="29"/>
  <c r="J65" i="29" s="1"/>
  <c r="F81" i="10"/>
  <c r="E81" i="10"/>
  <c r="D81" i="10"/>
  <c r="D64" i="10"/>
  <c r="D62" i="10"/>
  <c r="D72" i="10"/>
  <c r="F72" i="10"/>
  <c r="E72" i="10"/>
  <c r="F62" i="10"/>
  <c r="E62" i="10"/>
  <c r="F46" i="10"/>
  <c r="F44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5" i="10"/>
  <c r="F31" i="10"/>
  <c r="F30" i="10"/>
  <c r="M49" i="29" l="1"/>
  <c r="M52" i="29" s="1"/>
  <c r="N49" i="29"/>
  <c r="N52" i="29" s="1"/>
  <c r="L50" i="29"/>
  <c r="L56" i="29" s="1"/>
  <c r="E54" i="10"/>
  <c r="F54" i="10" s="1"/>
  <c r="E56" i="10"/>
  <c r="F56" i="10" s="1"/>
  <c r="D73" i="10" s="1"/>
  <c r="E55" i="10"/>
  <c r="F55" i="10" s="1"/>
  <c r="D82" i="10" s="1"/>
  <c r="E53" i="10"/>
  <c r="F53" i="10" s="1"/>
  <c r="E51" i="10"/>
  <c r="F51" i="10" s="1"/>
  <c r="D63" i="10" s="1"/>
  <c r="D61" i="10" s="1"/>
  <c r="D65" i="10" s="1"/>
  <c r="E52" i="10"/>
  <c r="F52" i="10" s="1"/>
  <c r="N50" i="29" l="1"/>
  <c r="N56" i="29" s="1"/>
  <c r="N63" i="29" s="1"/>
  <c r="N65" i="29" s="1"/>
  <c r="M50" i="29"/>
  <c r="M56" i="29" s="1"/>
  <c r="M63" i="29" s="1"/>
  <c r="M65" i="29" s="1"/>
  <c r="D70" i="29" s="1"/>
  <c r="L63" i="29"/>
  <c r="L65" i="29" s="1"/>
  <c r="F61" i="10"/>
  <c r="F65" i="10" s="1"/>
  <c r="E61" i="10"/>
  <c r="E65" i="10" s="1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8" i="10"/>
  <c r="D58" i="29" l="1"/>
  <c r="D59" i="29" s="1"/>
  <c r="D69" i="29"/>
  <c r="D71" i="29" s="1"/>
  <c r="D68" i="29"/>
  <c r="D72" i="29"/>
  <c r="D52" i="10"/>
  <c r="D54" i="10"/>
  <c r="DG32" i="8"/>
  <c r="DG33" i="8"/>
  <c r="DG34" i="8"/>
  <c r="DG35" i="8"/>
  <c r="DG31" i="8"/>
  <c r="DF35" i="8"/>
  <c r="DF34" i="8"/>
  <c r="DF33" i="8"/>
  <c r="DF32" i="8"/>
  <c r="DF31" i="8"/>
  <c r="DE34" i="8"/>
  <c r="DE33" i="8"/>
  <c r="DE32" i="8"/>
  <c r="DE31" i="8"/>
  <c r="D55" i="10" l="1"/>
  <c r="D53" i="10"/>
  <c r="D56" i="10"/>
  <c r="DE35" i="8"/>
  <c r="D34" i="8"/>
  <c r="DA21" i="8"/>
  <c r="CD21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Q21" i="8"/>
  <c r="CR21" i="8"/>
  <c r="CS21" i="8"/>
  <c r="CT21" i="8"/>
  <c r="CU21" i="8"/>
  <c r="CV21" i="8"/>
  <c r="CW21" i="8"/>
  <c r="CX21" i="8"/>
  <c r="CY21" i="8"/>
  <c r="CZ21" i="8"/>
  <c r="CC21" i="8"/>
  <c r="CB21" i="8"/>
  <c r="CA21" i="8"/>
  <c r="AV21" i="8"/>
  <c r="AU21" i="8"/>
  <c r="AT21" i="8"/>
  <c r="Y21" i="8"/>
  <c r="X21" i="8"/>
  <c r="W21" i="8"/>
  <c r="V21" i="8"/>
  <c r="U21" i="8"/>
  <c r="T21" i="8"/>
  <c r="S21" i="8"/>
  <c r="R21" i="8"/>
  <c r="I78" i="11"/>
  <c r="G78" i="11"/>
  <c r="J78" i="11" s="1"/>
  <c r="F77" i="11"/>
  <c r="E77" i="11"/>
  <c r="D77" i="11"/>
  <c r="I76" i="11"/>
  <c r="G76" i="11"/>
  <c r="J76" i="11" s="1"/>
  <c r="I75" i="11"/>
  <c r="G75" i="11"/>
  <c r="J75" i="11" s="1"/>
  <c r="I74" i="11"/>
  <c r="G74" i="11"/>
  <c r="H74" i="11" s="1"/>
  <c r="K74" i="11" s="1"/>
  <c r="I73" i="11"/>
  <c r="G73" i="11"/>
  <c r="D72" i="11"/>
  <c r="I71" i="11"/>
  <c r="G71" i="11"/>
  <c r="J71" i="11" s="1"/>
  <c r="I70" i="11"/>
  <c r="G70" i="11"/>
  <c r="H70" i="11" s="1"/>
  <c r="K70" i="11" s="1"/>
  <c r="I69" i="11"/>
  <c r="G69" i="11"/>
  <c r="J69" i="11" s="1"/>
  <c r="I68" i="11"/>
  <c r="G68" i="11"/>
  <c r="J68" i="11" s="1"/>
  <c r="I67" i="11"/>
  <c r="G67" i="11"/>
  <c r="H67" i="11" s="1"/>
  <c r="K67" i="11" s="1"/>
  <c r="I66" i="11"/>
  <c r="G66" i="11"/>
  <c r="H66" i="11" s="1"/>
  <c r="K66" i="11" s="1"/>
  <c r="F65" i="11"/>
  <c r="I65" i="11" s="1"/>
  <c r="I64" i="11"/>
  <c r="G64" i="11"/>
  <c r="H64" i="11" s="1"/>
  <c r="K64" i="11" s="1"/>
  <c r="I63" i="11"/>
  <c r="G63" i="11"/>
  <c r="H63" i="11" s="1"/>
  <c r="K63" i="11" s="1"/>
  <c r="I62" i="11"/>
  <c r="G62" i="11"/>
  <c r="J62" i="11" s="1"/>
  <c r="I61" i="11"/>
  <c r="G61" i="11"/>
  <c r="J61" i="11" s="1"/>
  <c r="I60" i="11"/>
  <c r="G60" i="11"/>
  <c r="H60" i="11" s="1"/>
  <c r="K60" i="11" s="1"/>
  <c r="I59" i="11"/>
  <c r="G59" i="11"/>
  <c r="H59" i="11" s="1"/>
  <c r="K59" i="11" s="1"/>
  <c r="I58" i="11"/>
  <c r="G58" i="11"/>
  <c r="J58" i="11" s="1"/>
  <c r="I57" i="11"/>
  <c r="G57" i="11"/>
  <c r="J57" i="11" s="1"/>
  <c r="I56" i="11"/>
  <c r="G56" i="11"/>
  <c r="H56" i="11" s="1"/>
  <c r="K56" i="11" s="1"/>
  <c r="G55" i="11"/>
  <c r="H55" i="11" s="1"/>
  <c r="E55" i="11"/>
  <c r="I55" i="11" s="1"/>
  <c r="I54" i="11"/>
  <c r="G54" i="11"/>
  <c r="J54" i="11" s="1"/>
  <c r="I53" i="11"/>
  <c r="G53" i="11"/>
  <c r="J53" i="11" s="1"/>
  <c r="D52" i="11"/>
  <c r="J51" i="11"/>
  <c r="H51" i="11"/>
  <c r="K51" i="11" s="1"/>
  <c r="F50" i="11"/>
  <c r="I50" i="11" s="1"/>
  <c r="I49" i="11"/>
  <c r="G49" i="11"/>
  <c r="J49" i="11" s="1"/>
  <c r="F48" i="11"/>
  <c r="G48" i="11" s="1"/>
  <c r="H48" i="11" s="1"/>
  <c r="K48" i="11" s="1"/>
  <c r="F47" i="11"/>
  <c r="I46" i="11"/>
  <c r="G46" i="11"/>
  <c r="H46" i="11" s="1"/>
  <c r="K46" i="11" s="1"/>
  <c r="I45" i="11"/>
  <c r="G45" i="11"/>
  <c r="H45" i="11" s="1"/>
  <c r="K45" i="11" s="1"/>
  <c r="I44" i="11"/>
  <c r="G44" i="11"/>
  <c r="J44" i="11" s="1"/>
  <c r="I43" i="11"/>
  <c r="G43" i="11"/>
  <c r="H43" i="11" s="1"/>
  <c r="K43" i="11" s="1"/>
  <c r="G42" i="11"/>
  <c r="H42" i="11" s="1"/>
  <c r="E42" i="11"/>
  <c r="I42" i="11" s="1"/>
  <c r="G41" i="11"/>
  <c r="H41" i="11" s="1"/>
  <c r="E41" i="11"/>
  <c r="I40" i="11"/>
  <c r="G40" i="11"/>
  <c r="J40" i="11" s="1"/>
  <c r="I39" i="11"/>
  <c r="G39" i="11"/>
  <c r="J39" i="11" s="1"/>
  <c r="CB38" i="11"/>
  <c r="CA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H38" i="11"/>
  <c r="AG38" i="11"/>
  <c r="AF38" i="11"/>
  <c r="T37" i="11"/>
  <c r="S37" i="11"/>
  <c r="R37" i="11"/>
  <c r="I38" i="11"/>
  <c r="G38" i="11"/>
  <c r="H38" i="11" s="1"/>
  <c r="K38" i="11" s="1"/>
  <c r="CZ37" i="11"/>
  <c r="CZ38" i="11" s="1"/>
  <c r="CY37" i="11"/>
  <c r="CY38" i="11" s="1"/>
  <c r="CX37" i="11"/>
  <c r="CX38" i="11" s="1"/>
  <c r="CW37" i="11"/>
  <c r="CW38" i="11" s="1"/>
  <c r="CV37" i="11"/>
  <c r="CV38" i="11" s="1"/>
  <c r="CU37" i="11"/>
  <c r="CU38" i="11" s="1"/>
  <c r="CT37" i="11"/>
  <c r="CT38" i="11" s="1"/>
  <c r="CS37" i="11"/>
  <c r="CS38" i="11" s="1"/>
  <c r="CR37" i="11"/>
  <c r="CR38" i="11" s="1"/>
  <c r="CQ37" i="11"/>
  <c r="CQ38" i="11" s="1"/>
  <c r="CP37" i="11"/>
  <c r="CP38" i="11" s="1"/>
  <c r="CO37" i="11"/>
  <c r="CO38" i="11" s="1"/>
  <c r="CN37" i="11"/>
  <c r="CN38" i="11" s="1"/>
  <c r="CM37" i="11"/>
  <c r="CM38" i="11" s="1"/>
  <c r="CL37" i="11"/>
  <c r="CL38" i="11" s="1"/>
  <c r="CK37" i="11"/>
  <c r="CK38" i="11" s="1"/>
  <c r="CJ37" i="11"/>
  <c r="CJ38" i="11" s="1"/>
  <c r="CI37" i="11"/>
  <c r="CI38" i="11" s="1"/>
  <c r="CH37" i="11"/>
  <c r="CH38" i="11" s="1"/>
  <c r="CG37" i="11"/>
  <c r="CG38" i="11" s="1"/>
  <c r="CF37" i="11"/>
  <c r="CF38" i="11" s="1"/>
  <c r="CE37" i="11"/>
  <c r="CE38" i="11" s="1"/>
  <c r="CD37" i="11"/>
  <c r="CD38" i="11" s="1"/>
  <c r="CC37" i="11"/>
  <c r="CC38" i="11" s="1"/>
  <c r="BU37" i="11"/>
  <c r="BU38" i="11" s="1"/>
  <c r="AK37" i="11"/>
  <c r="AK38" i="11" s="1"/>
  <c r="AI37" i="11"/>
  <c r="AI38" i="11" s="1"/>
  <c r="W36" i="11"/>
  <c r="W37" i="11" s="1"/>
  <c r="U36" i="11"/>
  <c r="V36" i="11" s="1"/>
  <c r="I37" i="11"/>
  <c r="G37" i="11"/>
  <c r="H37" i="11" s="1"/>
  <c r="K37" i="11" s="1"/>
  <c r="CB36" i="11"/>
  <c r="CA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H36" i="11"/>
  <c r="AG36" i="11"/>
  <c r="AF36" i="11"/>
  <c r="T35" i="11"/>
  <c r="S35" i="11"/>
  <c r="R35" i="11"/>
  <c r="I36" i="11"/>
  <c r="G36" i="11"/>
  <c r="J36" i="11" s="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C35" i="11"/>
  <c r="BU35" i="11"/>
  <c r="AK35" i="11"/>
  <c r="AI35" i="11"/>
  <c r="AJ35" i="11" s="1"/>
  <c r="AM35" i="11" s="1"/>
  <c r="W34" i="11"/>
  <c r="U34" i="11"/>
  <c r="V34" i="11" s="1"/>
  <c r="Y34" i="11" s="1"/>
  <c r="CZ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D34" i="11"/>
  <c r="CC34" i="11"/>
  <c r="BU34" i="11"/>
  <c r="AK34" i="11"/>
  <c r="AI34" i="11"/>
  <c r="AL34" i="11" s="1"/>
  <c r="W33" i="11"/>
  <c r="U33" i="11"/>
  <c r="V33" i="11" s="1"/>
  <c r="Y33" i="11" s="1"/>
  <c r="D34" i="11"/>
  <c r="CZ33" i="11"/>
  <c r="CY33" i="11"/>
  <c r="CX33" i="11"/>
  <c r="CW33" i="11"/>
  <c r="CV33" i="11"/>
  <c r="CU33" i="11"/>
  <c r="CT33" i="11"/>
  <c r="CS33" i="11"/>
  <c r="CR33" i="11"/>
  <c r="CQ33" i="11"/>
  <c r="CP33" i="11"/>
  <c r="CO33" i="11"/>
  <c r="CN33" i="11"/>
  <c r="CM33" i="11"/>
  <c r="CL33" i="11"/>
  <c r="CK33" i="11"/>
  <c r="CJ33" i="11"/>
  <c r="CI33" i="11"/>
  <c r="CH33" i="11"/>
  <c r="CG33" i="11"/>
  <c r="CF33" i="11"/>
  <c r="CE33" i="11"/>
  <c r="CD33" i="11"/>
  <c r="CC33" i="11"/>
  <c r="BU33" i="11"/>
  <c r="AK33" i="11"/>
  <c r="AI33" i="11"/>
  <c r="AL33" i="11" s="1"/>
  <c r="W32" i="11"/>
  <c r="U32" i="11"/>
  <c r="V32" i="11" s="1"/>
  <c r="Y32" i="11" s="1"/>
  <c r="H33" i="11"/>
  <c r="K33" i="11" s="1"/>
  <c r="G33" i="11"/>
  <c r="F33" i="11" s="1"/>
  <c r="I33" i="11" s="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BU32" i="11"/>
  <c r="AK32" i="11"/>
  <c r="AI32" i="11"/>
  <c r="AJ32" i="11" s="1"/>
  <c r="AM32" i="11" s="1"/>
  <c r="W31" i="11"/>
  <c r="U31" i="11"/>
  <c r="V31" i="11" s="1"/>
  <c r="Y31" i="11" s="1"/>
  <c r="H32" i="11"/>
  <c r="K32" i="11" s="1"/>
  <c r="G32" i="11"/>
  <c r="F32" i="11" s="1"/>
  <c r="I32" i="11" s="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BU31" i="11"/>
  <c r="AK31" i="11"/>
  <c r="AI31" i="11"/>
  <c r="W30" i="11"/>
  <c r="U30" i="11"/>
  <c r="H31" i="11"/>
  <c r="K31" i="11" s="1"/>
  <c r="G31" i="11"/>
  <c r="F31" i="11" s="1"/>
  <c r="I31" i="11" s="1"/>
  <c r="CB30" i="11"/>
  <c r="CA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U30" i="11"/>
  <c r="AT30" i="11"/>
  <c r="AG30" i="11"/>
  <c r="AF30" i="11"/>
  <c r="S29" i="11"/>
  <c r="R29" i="11"/>
  <c r="H30" i="11"/>
  <c r="K30" i="11" s="1"/>
  <c r="G30" i="11"/>
  <c r="J30" i="11" s="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E29" i="11"/>
  <c r="CD29" i="11"/>
  <c r="CC29" i="11"/>
  <c r="BU29" i="11"/>
  <c r="AK29" i="11"/>
  <c r="AI29" i="11"/>
  <c r="AJ29" i="11" s="1"/>
  <c r="AM29" i="11" s="1"/>
  <c r="U28" i="11"/>
  <c r="X28" i="11" s="1"/>
  <c r="H29" i="11"/>
  <c r="K29" i="11" s="1"/>
  <c r="G29" i="11"/>
  <c r="J29" i="11" s="1"/>
  <c r="CZ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BU28" i="11"/>
  <c r="AV28" i="11"/>
  <c r="AV30" i="11" s="1"/>
  <c r="AH28" i="11"/>
  <c r="AI28" i="11" s="1"/>
  <c r="T27" i="11"/>
  <c r="T29" i="11" s="1"/>
  <c r="H28" i="11"/>
  <c r="K28" i="11" s="1"/>
  <c r="G28" i="11"/>
  <c r="J28" i="11" s="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BU27" i="11"/>
  <c r="AK27" i="11"/>
  <c r="AI27" i="11"/>
  <c r="AJ27" i="11" s="1"/>
  <c r="AM27" i="11" s="1"/>
  <c r="W26" i="11"/>
  <c r="U26" i="11"/>
  <c r="V26" i="11" s="1"/>
  <c r="Y26" i="11" s="1"/>
  <c r="H27" i="11"/>
  <c r="K27" i="11" s="1"/>
  <c r="G27" i="11"/>
  <c r="F27" i="11" s="1"/>
  <c r="I27" i="11" s="1"/>
  <c r="CZ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BU26" i="11"/>
  <c r="AK26" i="11"/>
  <c r="AI26" i="11"/>
  <c r="AJ26" i="11" s="1"/>
  <c r="AM26" i="11" s="1"/>
  <c r="W25" i="11"/>
  <c r="U25" i="11"/>
  <c r="X25" i="11" s="1"/>
  <c r="H26" i="11"/>
  <c r="K26" i="11" s="1"/>
  <c r="G26" i="11"/>
  <c r="F26" i="11" s="1"/>
  <c r="I26" i="11" s="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BU25" i="11"/>
  <c r="AK25" i="11"/>
  <c r="AI25" i="11"/>
  <c r="AL25" i="11" s="1"/>
  <c r="W24" i="11"/>
  <c r="U24" i="11"/>
  <c r="V24" i="11" s="1"/>
  <c r="Y24" i="11" s="1"/>
  <c r="H25" i="11"/>
  <c r="K25" i="11" s="1"/>
  <c r="G25" i="11"/>
  <c r="F25" i="11" s="1"/>
  <c r="I25" i="11" s="1"/>
  <c r="CZ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BU24" i="11"/>
  <c r="AK24" i="11"/>
  <c r="AI24" i="11"/>
  <c r="AJ24" i="11" s="1"/>
  <c r="AM24" i="11" s="1"/>
  <c r="W23" i="11"/>
  <c r="U23" i="11"/>
  <c r="X23" i="11" s="1"/>
  <c r="H24" i="11"/>
  <c r="K24" i="11" s="1"/>
  <c r="G24" i="11"/>
  <c r="F24" i="11" s="1"/>
  <c r="I24" i="11" s="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E23" i="11"/>
  <c r="CD23" i="11"/>
  <c r="CC23" i="11"/>
  <c r="BU23" i="11"/>
  <c r="AK23" i="11"/>
  <c r="AI23" i="11"/>
  <c r="W22" i="11"/>
  <c r="U22" i="11"/>
  <c r="X22" i="11" s="1"/>
  <c r="H23" i="11"/>
  <c r="K23" i="11" s="1"/>
  <c r="G23" i="11"/>
  <c r="J23" i="11" s="1"/>
  <c r="I22" i="11"/>
  <c r="G22" i="11"/>
  <c r="J22" i="11" s="1"/>
  <c r="CB21" i="11"/>
  <c r="CA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U21" i="11"/>
  <c r="AT21" i="11"/>
  <c r="AG21" i="11"/>
  <c r="AF21" i="11"/>
  <c r="S20" i="11"/>
  <c r="R20" i="11"/>
  <c r="I21" i="11"/>
  <c r="G21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BU20" i="11"/>
  <c r="AV20" i="11"/>
  <c r="AJ20" i="11"/>
  <c r="AM20" i="11" s="1"/>
  <c r="AI20" i="11"/>
  <c r="V19" i="11"/>
  <c r="Y19" i="11" s="1"/>
  <c r="U19" i="11"/>
  <c r="X19" i="11" s="1"/>
  <c r="I20" i="11"/>
  <c r="G20" i="11"/>
  <c r="J20" i="11" s="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BU19" i="11"/>
  <c r="AV19" i="11"/>
  <c r="AI19" i="11"/>
  <c r="U18" i="11"/>
  <c r="V18" i="11" s="1"/>
  <c r="Y18" i="11" s="1"/>
  <c r="I19" i="11"/>
  <c r="G19" i="11"/>
  <c r="J19" i="11" s="1"/>
  <c r="CZ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D18" i="11"/>
  <c r="CC18" i="11"/>
  <c r="BU18" i="11"/>
  <c r="AV18" i="11"/>
  <c r="AJ18" i="11"/>
  <c r="AM18" i="11" s="1"/>
  <c r="AI18" i="11"/>
  <c r="V17" i="11"/>
  <c r="Y17" i="11" s="1"/>
  <c r="U17" i="11"/>
  <c r="T17" i="11" s="1"/>
  <c r="W17" i="11" s="1"/>
  <c r="G18" i="11"/>
  <c r="H18" i="11" s="1"/>
  <c r="E18" i="11"/>
  <c r="I18" i="11" s="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BU17" i="11"/>
  <c r="AV17" i="11"/>
  <c r="AI17" i="11"/>
  <c r="AL17" i="11" s="1"/>
  <c r="U16" i="11"/>
  <c r="T16" i="11" s="1"/>
  <c r="W16" i="11" s="1"/>
  <c r="H17" i="11"/>
  <c r="E17" i="11"/>
  <c r="J17" i="11" s="1"/>
  <c r="CZ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BU16" i="11"/>
  <c r="AV16" i="11"/>
  <c r="AI16" i="11"/>
  <c r="AL16" i="11" s="1"/>
  <c r="U15" i="11"/>
  <c r="X15" i="11" s="1"/>
  <c r="H16" i="11"/>
  <c r="K16" i="11" s="1"/>
  <c r="G16" i="11"/>
  <c r="F16" i="11" s="1"/>
  <c r="I16" i="11" s="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BU15" i="11"/>
  <c r="AV15" i="11"/>
  <c r="AI15" i="11"/>
  <c r="AJ15" i="11" s="1"/>
  <c r="AM15" i="11" s="1"/>
  <c r="U14" i="11"/>
  <c r="X14" i="11" s="1"/>
  <c r="I15" i="11"/>
  <c r="G15" i="11"/>
  <c r="H15" i="11" s="1"/>
  <c r="K15" i="11" s="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BU14" i="11"/>
  <c r="AK14" i="11"/>
  <c r="AI14" i="11"/>
  <c r="AJ14" i="11" s="1"/>
  <c r="AM14" i="11" s="1"/>
  <c r="W13" i="11"/>
  <c r="U13" i="11"/>
  <c r="V13" i="11" s="1"/>
  <c r="Y13" i="11" s="1"/>
  <c r="G14" i="11"/>
  <c r="H14" i="11" s="1"/>
  <c r="E14" i="11"/>
  <c r="CZ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BU13" i="11"/>
  <c r="AK13" i="11"/>
  <c r="AI13" i="11"/>
  <c r="AL13" i="11" s="1"/>
  <c r="W12" i="11"/>
  <c r="U12" i="11"/>
  <c r="X12" i="11" s="1"/>
  <c r="G13" i="11"/>
  <c r="E13" i="11"/>
  <c r="CZ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BU12" i="11"/>
  <c r="AK12" i="11"/>
  <c r="AI12" i="11"/>
  <c r="AL12" i="11" s="1"/>
  <c r="W11" i="11"/>
  <c r="U11" i="11"/>
  <c r="X11" i="11" s="1"/>
  <c r="F12" i="11"/>
  <c r="E12" i="11"/>
  <c r="D12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BU11" i="11"/>
  <c r="AK11" i="11"/>
  <c r="AI11" i="11"/>
  <c r="AL11" i="11" s="1"/>
  <c r="W10" i="11"/>
  <c r="U10" i="11"/>
  <c r="X10" i="11" s="1"/>
  <c r="I11" i="11"/>
  <c r="G11" i="11"/>
  <c r="J11" i="11" s="1"/>
  <c r="CB10" i="11"/>
  <c r="CA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H10" i="11"/>
  <c r="AG10" i="11"/>
  <c r="AF10" i="11"/>
  <c r="T9" i="11"/>
  <c r="S9" i="11"/>
  <c r="R9" i="11"/>
  <c r="I10" i="11"/>
  <c r="G10" i="11"/>
  <c r="J10" i="11" s="1"/>
  <c r="CZ9" i="11"/>
  <c r="CY9" i="11"/>
  <c r="CX9" i="11"/>
  <c r="CW9" i="11"/>
  <c r="CV9" i="11"/>
  <c r="CU9" i="11"/>
  <c r="CT9" i="11"/>
  <c r="CS9" i="11"/>
  <c r="CR9" i="11"/>
  <c r="CQ9" i="11"/>
  <c r="CP9" i="11"/>
  <c r="CO9" i="11"/>
  <c r="CN9" i="11"/>
  <c r="CM9" i="11"/>
  <c r="CL9" i="11"/>
  <c r="CK9" i="11"/>
  <c r="CJ9" i="11"/>
  <c r="CI9" i="11"/>
  <c r="CH9" i="11"/>
  <c r="CG9" i="11"/>
  <c r="CF9" i="11"/>
  <c r="CE9" i="11"/>
  <c r="CD9" i="11"/>
  <c r="CC9" i="11"/>
  <c r="BU9" i="11"/>
  <c r="AK9" i="11"/>
  <c r="AI9" i="11"/>
  <c r="AL9" i="11" s="1"/>
  <c r="W8" i="11"/>
  <c r="U8" i="11"/>
  <c r="X8" i="11" s="1"/>
  <c r="J9" i="11"/>
  <c r="I9" i="11"/>
  <c r="H9" i="11"/>
  <c r="K9" i="11" s="1"/>
  <c r="CZ8" i="11"/>
  <c r="CY8" i="11"/>
  <c r="CX8" i="11"/>
  <c r="CW8" i="11"/>
  <c r="CV8" i="11"/>
  <c r="CU8" i="11"/>
  <c r="CT8" i="11"/>
  <c r="CS8" i="11"/>
  <c r="CR8" i="11"/>
  <c r="CQ8" i="11"/>
  <c r="CP8" i="11"/>
  <c r="CO8" i="11"/>
  <c r="CN8" i="11"/>
  <c r="CM8" i="11"/>
  <c r="CL8" i="11"/>
  <c r="CK8" i="11"/>
  <c r="CJ8" i="11"/>
  <c r="CI8" i="11"/>
  <c r="CH8" i="11"/>
  <c r="CG8" i="11"/>
  <c r="CF8" i="11"/>
  <c r="CE8" i="11"/>
  <c r="CD8" i="11"/>
  <c r="CC8" i="11"/>
  <c r="BU8" i="11"/>
  <c r="AK8" i="11"/>
  <c r="AI8" i="11"/>
  <c r="AL8" i="11" s="1"/>
  <c r="W7" i="11"/>
  <c r="U7" i="11"/>
  <c r="X7" i="11" s="1"/>
  <c r="J8" i="11"/>
  <c r="I8" i="11"/>
  <c r="H8" i="11"/>
  <c r="K8" i="11" s="1"/>
  <c r="CZ7" i="11"/>
  <c r="CY7" i="11"/>
  <c r="CX7" i="11"/>
  <c r="CW7" i="11"/>
  <c r="CV7" i="11"/>
  <c r="CU7" i="11"/>
  <c r="CT7" i="11"/>
  <c r="CS7" i="11"/>
  <c r="CR7" i="11"/>
  <c r="CQ7" i="11"/>
  <c r="CP7" i="11"/>
  <c r="CO7" i="11"/>
  <c r="CN7" i="11"/>
  <c r="CM7" i="11"/>
  <c r="CL7" i="11"/>
  <c r="CK7" i="11"/>
  <c r="CJ7" i="11"/>
  <c r="CI7" i="11"/>
  <c r="CH7" i="11"/>
  <c r="CG7" i="11"/>
  <c r="CF7" i="11"/>
  <c r="CE7" i="11"/>
  <c r="CD7" i="11"/>
  <c r="CC7" i="11"/>
  <c r="BU7" i="11"/>
  <c r="AK7" i="11"/>
  <c r="AI7" i="11"/>
  <c r="AL7" i="11" s="1"/>
  <c r="W6" i="11"/>
  <c r="U6" i="11"/>
  <c r="X6" i="11" s="1"/>
  <c r="I7" i="11"/>
  <c r="G7" i="11"/>
  <c r="H7" i="11" s="1"/>
  <c r="K7" i="11" s="1"/>
  <c r="CZ6" i="11"/>
  <c r="CY6" i="11"/>
  <c r="CX6" i="11"/>
  <c r="CW6" i="11"/>
  <c r="CV6" i="11"/>
  <c r="CU6" i="11"/>
  <c r="CT6" i="11"/>
  <c r="CS6" i="11"/>
  <c r="CR6" i="11"/>
  <c r="CQ6" i="11"/>
  <c r="CP6" i="11"/>
  <c r="CO6" i="11"/>
  <c r="CN6" i="11"/>
  <c r="CM6" i="11"/>
  <c r="CL6" i="11"/>
  <c r="CK6" i="11"/>
  <c r="CJ6" i="11"/>
  <c r="CI6" i="11"/>
  <c r="CH6" i="11"/>
  <c r="CG6" i="11"/>
  <c r="CF6" i="11"/>
  <c r="CE6" i="11"/>
  <c r="CD6" i="11"/>
  <c r="CC6" i="11"/>
  <c r="BU6" i="11"/>
  <c r="AK6" i="11"/>
  <c r="AI6" i="11"/>
  <c r="AL6" i="11" s="1"/>
  <c r="W5" i="11"/>
  <c r="U5" i="11"/>
  <c r="V5" i="11" s="1"/>
  <c r="Y5" i="11" s="1"/>
  <c r="I6" i="11"/>
  <c r="G6" i="11"/>
  <c r="H6" i="11" s="1"/>
  <c r="K6" i="11" s="1"/>
  <c r="CZ5" i="11"/>
  <c r="CY5" i="11"/>
  <c r="CX5" i="11"/>
  <c r="CW5" i="11"/>
  <c r="CV5" i="11"/>
  <c r="CU5" i="11"/>
  <c r="CT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BU5" i="11"/>
  <c r="AK5" i="11"/>
  <c r="AI5" i="11"/>
  <c r="AJ5" i="11" s="1"/>
  <c r="AM5" i="11" s="1"/>
  <c r="W4" i="11"/>
  <c r="U4" i="11"/>
  <c r="V4" i="11" s="1"/>
  <c r="Y4" i="11" s="1"/>
  <c r="I5" i="11"/>
  <c r="G5" i="11"/>
  <c r="J5" i="11" s="1"/>
  <c r="CZ4" i="11"/>
  <c r="CY4" i="11"/>
  <c r="CX4" i="11"/>
  <c r="CW4" i="11"/>
  <c r="CV4" i="11"/>
  <c r="CU4" i="11"/>
  <c r="CT4" i="11"/>
  <c r="CS4" i="11"/>
  <c r="CR4" i="11"/>
  <c r="CQ4" i="11"/>
  <c r="CP4" i="11"/>
  <c r="CO4" i="11"/>
  <c r="CN4" i="11"/>
  <c r="CM4" i="11"/>
  <c r="CL4" i="11"/>
  <c r="CK4" i="11"/>
  <c r="CJ4" i="11"/>
  <c r="CI4" i="11"/>
  <c r="CH4" i="11"/>
  <c r="CG4" i="11"/>
  <c r="CF4" i="11"/>
  <c r="CE4" i="11"/>
  <c r="CD4" i="11"/>
  <c r="CC4" i="11"/>
  <c r="BU4" i="11"/>
  <c r="AK4" i="11"/>
  <c r="AI4" i="11"/>
  <c r="AJ4" i="11" s="1"/>
  <c r="AM4" i="11" s="1"/>
  <c r="W3" i="11"/>
  <c r="U3" i="11"/>
  <c r="X3" i="11" s="1"/>
  <c r="I4" i="11"/>
  <c r="G4" i="11"/>
  <c r="J4" i="11" s="1"/>
  <c r="CZ3" i="11"/>
  <c r="CY3" i="11"/>
  <c r="CX3" i="11"/>
  <c r="CW3" i="11"/>
  <c r="CV3" i="11"/>
  <c r="CU3" i="11"/>
  <c r="CT3" i="11"/>
  <c r="CS3" i="11"/>
  <c r="CR3" i="11"/>
  <c r="CQ3" i="11"/>
  <c r="CP3" i="11"/>
  <c r="CO3" i="11"/>
  <c r="CN3" i="11"/>
  <c r="CM3" i="11"/>
  <c r="CL3" i="11"/>
  <c r="CK3" i="11"/>
  <c r="CJ3" i="11"/>
  <c r="CI3" i="11"/>
  <c r="CH3" i="11"/>
  <c r="CG3" i="11"/>
  <c r="CF3" i="11"/>
  <c r="CE3" i="11"/>
  <c r="CD3" i="11"/>
  <c r="CC3" i="11"/>
  <c r="BU3" i="11"/>
  <c r="AK3" i="11"/>
  <c r="AI3" i="11"/>
  <c r="AJ3" i="11" s="1"/>
  <c r="AM3" i="11" s="1"/>
  <c r="I3" i="11"/>
  <c r="G3" i="11"/>
  <c r="J3" i="11" s="1"/>
  <c r="D74" i="10" l="1"/>
  <c r="F71" i="10"/>
  <c r="F75" i="10" s="1"/>
  <c r="E71" i="10"/>
  <c r="E75" i="10" s="1"/>
  <c r="D71" i="10"/>
  <c r="D75" i="10" s="1"/>
  <c r="E80" i="10"/>
  <c r="E84" i="10" s="1"/>
  <c r="D80" i="10"/>
  <c r="D84" i="10" s="1"/>
  <c r="D83" i="10"/>
  <c r="F80" i="10"/>
  <c r="F84" i="10" s="1"/>
  <c r="AL24" i="11"/>
  <c r="J25" i="11"/>
  <c r="X5" i="11"/>
  <c r="J56" i="11"/>
  <c r="J64" i="11"/>
  <c r="AL5" i="11"/>
  <c r="J7" i="11"/>
  <c r="J15" i="11"/>
  <c r="AH16" i="11"/>
  <c r="AK16" i="11" s="1"/>
  <c r="F23" i="11"/>
  <c r="I23" i="11" s="1"/>
  <c r="J59" i="11"/>
  <c r="CE36" i="11"/>
  <c r="H11" i="11"/>
  <c r="K11" i="11" s="1"/>
  <c r="V11" i="11"/>
  <c r="Y11" i="11" s="1"/>
  <c r="V28" i="11"/>
  <c r="Y28" i="11" s="1"/>
  <c r="V6" i="11"/>
  <c r="Y6" i="11" s="1"/>
  <c r="X13" i="11"/>
  <c r="K17" i="11"/>
  <c r="J31" i="11"/>
  <c r="J32" i="11"/>
  <c r="AJ6" i="11"/>
  <c r="AM6" i="11" s="1"/>
  <c r="X17" i="11"/>
  <c r="X34" i="11"/>
  <c r="H49" i="11"/>
  <c r="K49" i="11" s="1"/>
  <c r="J60" i="11"/>
  <c r="DA8" i="11"/>
  <c r="V8" i="11"/>
  <c r="Y8" i="11" s="1"/>
  <c r="J14" i="11"/>
  <c r="AL14" i="11"/>
  <c r="H20" i="11"/>
  <c r="K20" i="11" s="1"/>
  <c r="X4" i="11"/>
  <c r="X9" i="11" s="1"/>
  <c r="J6" i="11"/>
  <c r="J46" i="11"/>
  <c r="U9" i="11"/>
  <c r="V14" i="11"/>
  <c r="Y14" i="11" s="1"/>
  <c r="AL27" i="11"/>
  <c r="K41" i="11"/>
  <c r="DA28" i="11"/>
  <c r="AJ33" i="11"/>
  <c r="AM33" i="11" s="1"/>
  <c r="DA33" i="11"/>
  <c r="DA35" i="11"/>
  <c r="H76" i="11"/>
  <c r="K76" i="11" s="1"/>
  <c r="DA13" i="11"/>
  <c r="AJ17" i="11"/>
  <c r="AM17" i="11" s="1"/>
  <c r="CD10" i="11"/>
  <c r="CH10" i="11"/>
  <c r="CL10" i="11"/>
  <c r="CP10" i="11"/>
  <c r="CT10" i="11"/>
  <c r="CX10" i="11"/>
  <c r="H4" i="11"/>
  <c r="K4" i="11" s="1"/>
  <c r="H10" i="11"/>
  <c r="K10" i="11" s="1"/>
  <c r="BU21" i="11"/>
  <c r="CF21" i="11"/>
  <c r="CJ21" i="11"/>
  <c r="CN21" i="11"/>
  <c r="CR21" i="11"/>
  <c r="CV21" i="11"/>
  <c r="CZ21" i="11"/>
  <c r="G34" i="11"/>
  <c r="J16" i="11"/>
  <c r="AJ16" i="11"/>
  <c r="AM16" i="11" s="1"/>
  <c r="V16" i="11"/>
  <c r="Y16" i="11" s="1"/>
  <c r="AI30" i="11"/>
  <c r="CD30" i="11"/>
  <c r="CH30" i="11"/>
  <c r="CL30" i="11"/>
  <c r="CP30" i="11"/>
  <c r="CT30" i="11"/>
  <c r="CX30" i="11"/>
  <c r="J26" i="11"/>
  <c r="DA27" i="11"/>
  <c r="F28" i="11"/>
  <c r="I28" i="11" s="1"/>
  <c r="W35" i="11"/>
  <c r="DA31" i="11"/>
  <c r="CG36" i="11"/>
  <c r="CK36" i="11"/>
  <c r="CO36" i="11"/>
  <c r="CS36" i="11"/>
  <c r="CW36" i="11"/>
  <c r="AL32" i="11"/>
  <c r="H57" i="11"/>
  <c r="K57" i="11" s="1"/>
  <c r="I77" i="11"/>
  <c r="H75" i="11"/>
  <c r="K75" i="11" s="1"/>
  <c r="W9" i="11"/>
  <c r="DA4" i="11"/>
  <c r="AK10" i="11"/>
  <c r="DA15" i="11"/>
  <c r="AH17" i="11"/>
  <c r="AK17" i="11" s="1"/>
  <c r="AL26" i="11"/>
  <c r="AI36" i="11"/>
  <c r="J38" i="11"/>
  <c r="J41" i="11"/>
  <c r="J67" i="11"/>
  <c r="CE10" i="11"/>
  <c r="CQ10" i="11"/>
  <c r="CU10" i="11"/>
  <c r="CY10" i="11"/>
  <c r="DA6" i="11"/>
  <c r="DA9" i="11"/>
  <c r="AJ11" i="11"/>
  <c r="AM11" i="11" s="1"/>
  <c r="CC21" i="11"/>
  <c r="CG21" i="11"/>
  <c r="CK21" i="11"/>
  <c r="CO21" i="11"/>
  <c r="CS21" i="11"/>
  <c r="CW21" i="11"/>
  <c r="K14" i="11"/>
  <c r="AL15" i="11"/>
  <c r="DA16" i="11"/>
  <c r="T18" i="11"/>
  <c r="W18" i="11" s="1"/>
  <c r="AJ25" i="11"/>
  <c r="AM25" i="11" s="1"/>
  <c r="DA25" i="11"/>
  <c r="AK36" i="11"/>
  <c r="CD36" i="11"/>
  <c r="CH36" i="11"/>
  <c r="CL36" i="11"/>
  <c r="CP36" i="11"/>
  <c r="CT36" i="11"/>
  <c r="CX36" i="11"/>
  <c r="AJ34" i="11"/>
  <c r="AM34" i="11" s="1"/>
  <c r="DA34" i="11"/>
  <c r="H36" i="11"/>
  <c r="AJ37" i="11"/>
  <c r="AJ38" i="11" s="1"/>
  <c r="H39" i="11"/>
  <c r="K39" i="11" s="1"/>
  <c r="F52" i="11"/>
  <c r="I48" i="11"/>
  <c r="H71" i="11"/>
  <c r="K71" i="11" s="1"/>
  <c r="F72" i="11"/>
  <c r="CM10" i="11"/>
  <c r="CF10" i="11"/>
  <c r="CN10" i="11"/>
  <c r="CZ10" i="11"/>
  <c r="DA5" i="11"/>
  <c r="CD21" i="11"/>
  <c r="CH21" i="11"/>
  <c r="CL21" i="11"/>
  <c r="CP21" i="11"/>
  <c r="CT21" i="11"/>
  <c r="CX21" i="11"/>
  <c r="DA14" i="11"/>
  <c r="AV21" i="11"/>
  <c r="AV39" i="11" s="1"/>
  <c r="DA17" i="11"/>
  <c r="BU30" i="11"/>
  <c r="CF30" i="11"/>
  <c r="CJ30" i="11"/>
  <c r="CN30" i="11"/>
  <c r="CR30" i="11"/>
  <c r="CV30" i="11"/>
  <c r="CZ30" i="11"/>
  <c r="J24" i="11"/>
  <c r="DA24" i="11"/>
  <c r="J27" i="11"/>
  <c r="X26" i="11"/>
  <c r="DA29" i="11"/>
  <c r="AL31" i="11"/>
  <c r="CI36" i="11"/>
  <c r="CM36" i="11"/>
  <c r="CQ36" i="11"/>
  <c r="CU36" i="11"/>
  <c r="CY36" i="11"/>
  <c r="J33" i="11"/>
  <c r="X32" i="11"/>
  <c r="K42" i="11"/>
  <c r="G47" i="11"/>
  <c r="J48" i="11"/>
  <c r="H54" i="11"/>
  <c r="K54" i="11" s="1"/>
  <c r="J55" i="11"/>
  <c r="G65" i="11"/>
  <c r="H69" i="11"/>
  <c r="K69" i="11" s="1"/>
  <c r="J70" i="11"/>
  <c r="G77" i="11"/>
  <c r="CI10" i="11"/>
  <c r="H3" i="11"/>
  <c r="K3" i="11" s="1"/>
  <c r="BU10" i="11"/>
  <c r="CJ10" i="11"/>
  <c r="CR10" i="11"/>
  <c r="CR22" i="11" s="1"/>
  <c r="CV10" i="11"/>
  <c r="AL4" i="11"/>
  <c r="I12" i="11"/>
  <c r="AI10" i="11"/>
  <c r="CC10" i="11"/>
  <c r="CC22" i="11" s="1"/>
  <c r="CG10" i="11"/>
  <c r="CG22" i="11" s="1"/>
  <c r="CK10" i="11"/>
  <c r="CK22" i="11" s="1"/>
  <c r="CO10" i="11"/>
  <c r="CS10" i="11"/>
  <c r="CS22" i="11" s="1"/>
  <c r="CW10" i="11"/>
  <c r="CW22" i="11" s="1"/>
  <c r="DA7" i="11"/>
  <c r="V7" i="11"/>
  <c r="Y7" i="11" s="1"/>
  <c r="CE21" i="11"/>
  <c r="CI21" i="11"/>
  <c r="CM21" i="11"/>
  <c r="DA12" i="11"/>
  <c r="E34" i="11"/>
  <c r="E35" i="11" s="1"/>
  <c r="V12" i="11"/>
  <c r="Y12" i="11" s="1"/>
  <c r="AH15" i="11"/>
  <c r="AK15" i="11" s="1"/>
  <c r="X16" i="11"/>
  <c r="K18" i="11"/>
  <c r="DA18" i="11"/>
  <c r="DA23" i="11"/>
  <c r="CG30" i="11"/>
  <c r="CK30" i="11"/>
  <c r="CO30" i="11"/>
  <c r="CS30" i="11"/>
  <c r="CW30" i="11"/>
  <c r="DA26" i="11"/>
  <c r="BU36" i="11"/>
  <c r="CF36" i="11"/>
  <c r="CJ36" i="11"/>
  <c r="CN36" i="11"/>
  <c r="CR36" i="11"/>
  <c r="CV36" i="11"/>
  <c r="CZ36" i="11"/>
  <c r="DA32" i="11"/>
  <c r="X33" i="11"/>
  <c r="X36" i="11"/>
  <c r="X37" i="11" s="1"/>
  <c r="AL37" i="11"/>
  <c r="AL38" i="11" s="1"/>
  <c r="I72" i="11"/>
  <c r="H58" i="11"/>
  <c r="K58" i="11" s="1"/>
  <c r="H61" i="11"/>
  <c r="K61" i="11" s="1"/>
  <c r="H68" i="11"/>
  <c r="K68" i="11" s="1"/>
  <c r="H73" i="11"/>
  <c r="K73" i="11" s="1"/>
  <c r="CF22" i="11"/>
  <c r="R38" i="11"/>
  <c r="R21" i="11"/>
  <c r="AF39" i="11"/>
  <c r="AF22" i="11"/>
  <c r="AT39" i="11"/>
  <c r="AT22" i="11"/>
  <c r="AX39" i="11"/>
  <c r="AX22" i="11"/>
  <c r="BB39" i="11"/>
  <c r="BB22" i="11"/>
  <c r="BF39" i="11"/>
  <c r="BF22" i="11"/>
  <c r="BJ39" i="11"/>
  <c r="BJ22" i="11"/>
  <c r="BN39" i="11"/>
  <c r="BN22" i="11"/>
  <c r="BR39" i="11"/>
  <c r="BR22" i="11"/>
  <c r="CA39" i="11"/>
  <c r="CA22" i="11"/>
  <c r="U20" i="11"/>
  <c r="V3" i="11"/>
  <c r="Y3" i="11" s="1"/>
  <c r="H5" i="11"/>
  <c r="K5" i="11" s="1"/>
  <c r="AJ7" i="11"/>
  <c r="AM7" i="11" s="1"/>
  <c r="AJ8" i="11"/>
  <c r="AM8" i="11" s="1"/>
  <c r="AJ9" i="11"/>
  <c r="AM9" i="11" s="1"/>
  <c r="S38" i="11"/>
  <c r="S21" i="11"/>
  <c r="AG39" i="11"/>
  <c r="AG22" i="11"/>
  <c r="AU39" i="11"/>
  <c r="AU22" i="11"/>
  <c r="AY39" i="11"/>
  <c r="AY22" i="11"/>
  <c r="BC39" i="11"/>
  <c r="BC22" i="11"/>
  <c r="BG39" i="11"/>
  <c r="BG22" i="11"/>
  <c r="BK39" i="11"/>
  <c r="BK22" i="11"/>
  <c r="BO39" i="11"/>
  <c r="BO22" i="11"/>
  <c r="BS39" i="11"/>
  <c r="BS22" i="11"/>
  <c r="CB39" i="11"/>
  <c r="CB22" i="11"/>
  <c r="V10" i="11"/>
  <c r="DA11" i="11"/>
  <c r="G12" i="11"/>
  <c r="AJ12" i="11"/>
  <c r="AM12" i="11" s="1"/>
  <c r="H13" i="11"/>
  <c r="AJ13" i="11"/>
  <c r="AM13" i="11" s="1"/>
  <c r="V15" i="11"/>
  <c r="Y15" i="11" s="1"/>
  <c r="H19" i="11"/>
  <c r="K19" i="11" s="1"/>
  <c r="AL19" i="11"/>
  <c r="AH19" i="11"/>
  <c r="AK19" i="11" s="1"/>
  <c r="AL20" i="11"/>
  <c r="AH20" i="11"/>
  <c r="AK20" i="11" s="1"/>
  <c r="AL3" i="11"/>
  <c r="DA3" i="11"/>
  <c r="AZ39" i="11"/>
  <c r="AZ22" i="11"/>
  <c r="BD39" i="11"/>
  <c r="BD22" i="11"/>
  <c r="BH39" i="11"/>
  <c r="BH22" i="11"/>
  <c r="BL39" i="11"/>
  <c r="BL22" i="11"/>
  <c r="BP39" i="11"/>
  <c r="BP22" i="11"/>
  <c r="BT39" i="11"/>
  <c r="BT22" i="11"/>
  <c r="AI21" i="11"/>
  <c r="D79" i="11"/>
  <c r="D35" i="11"/>
  <c r="I13" i="11"/>
  <c r="I14" i="11"/>
  <c r="T14" i="11"/>
  <c r="AL18" i="11"/>
  <c r="AH18" i="11"/>
  <c r="AK18" i="11" s="1"/>
  <c r="AJ19" i="11"/>
  <c r="AM19" i="11" s="1"/>
  <c r="AL28" i="11"/>
  <c r="AJ28" i="11"/>
  <c r="AM28" i="11" s="1"/>
  <c r="AW39" i="11"/>
  <c r="AW22" i="11"/>
  <c r="BA39" i="11"/>
  <c r="BA22" i="11"/>
  <c r="BE39" i="11"/>
  <c r="BE22" i="11"/>
  <c r="BI39" i="11"/>
  <c r="BI22" i="11"/>
  <c r="BM39" i="11"/>
  <c r="BM22" i="11"/>
  <c r="BQ39" i="11"/>
  <c r="BQ22" i="11"/>
  <c r="CQ21" i="11"/>
  <c r="CU21" i="11"/>
  <c r="CY21" i="11"/>
  <c r="J13" i="11"/>
  <c r="T15" i="11"/>
  <c r="W15" i="11" s="1"/>
  <c r="J18" i="11"/>
  <c r="X18" i="11"/>
  <c r="DA19" i="11"/>
  <c r="T19" i="11"/>
  <c r="W19" i="11" s="1"/>
  <c r="DA20" i="11"/>
  <c r="J21" i="11"/>
  <c r="H21" i="11"/>
  <c r="K21" i="11" s="1"/>
  <c r="CC30" i="11"/>
  <c r="H22" i="11"/>
  <c r="K22" i="11" s="1"/>
  <c r="V22" i="11"/>
  <c r="AL23" i="11"/>
  <c r="V23" i="11"/>
  <c r="Y23" i="11" s="1"/>
  <c r="X24" i="11"/>
  <c r="V25" i="11"/>
  <c r="Y25" i="11" s="1"/>
  <c r="U27" i="11"/>
  <c r="AK28" i="11"/>
  <c r="AK30" i="11" s="1"/>
  <c r="AH30" i="11"/>
  <c r="V30" i="11"/>
  <c r="U35" i="11"/>
  <c r="X30" i="11"/>
  <c r="Y36" i="11"/>
  <c r="Y37" i="11" s="1"/>
  <c r="V37" i="11"/>
  <c r="AJ23" i="11"/>
  <c r="CE30" i="11"/>
  <c r="CI30" i="11"/>
  <c r="CM30" i="11"/>
  <c r="CQ30" i="11"/>
  <c r="CU30" i="11"/>
  <c r="CY30" i="11"/>
  <c r="W27" i="11"/>
  <c r="W29" i="11" s="1"/>
  <c r="F29" i="11"/>
  <c r="I29" i="11" s="1"/>
  <c r="AL29" i="11"/>
  <c r="F30" i="11"/>
  <c r="I30" i="11" s="1"/>
  <c r="AJ31" i="11"/>
  <c r="X31" i="11"/>
  <c r="AL35" i="11"/>
  <c r="K36" i="11"/>
  <c r="CC36" i="11"/>
  <c r="J37" i="11"/>
  <c r="U37" i="11"/>
  <c r="G50" i="11"/>
  <c r="K55" i="11"/>
  <c r="H62" i="11"/>
  <c r="K62" i="11" s="1"/>
  <c r="H78" i="11"/>
  <c r="J63" i="11"/>
  <c r="J66" i="11"/>
  <c r="J74" i="11"/>
  <c r="J42" i="11"/>
  <c r="H44" i="11"/>
  <c r="K44" i="11" s="1"/>
  <c r="H53" i="11"/>
  <c r="DA37" i="11"/>
  <c r="DA38" i="11" s="1"/>
  <c r="H40" i="11"/>
  <c r="K40" i="11" s="1"/>
  <c r="J43" i="11"/>
  <c r="J45" i="11"/>
  <c r="E72" i="11"/>
  <c r="I41" i="11"/>
  <c r="I47" i="11"/>
  <c r="E52" i="11"/>
  <c r="J73" i="11"/>
  <c r="CZ22" i="11" l="1"/>
  <c r="AV22" i="11"/>
  <c r="CJ22" i="11"/>
  <c r="CJ43" i="11" s="1"/>
  <c r="CN22" i="11"/>
  <c r="CN43" i="11" s="1"/>
  <c r="J12" i="11"/>
  <c r="CE22" i="11"/>
  <c r="CE39" i="11"/>
  <c r="CV22" i="11"/>
  <c r="CV41" i="11" s="1"/>
  <c r="H77" i="11"/>
  <c r="AL10" i="11"/>
  <c r="CX39" i="11"/>
  <c r="CH22" i="11"/>
  <c r="CH43" i="11" s="1"/>
  <c r="CH39" i="11"/>
  <c r="CN39" i="11"/>
  <c r="CL39" i="11"/>
  <c r="J77" i="11"/>
  <c r="CZ39" i="11"/>
  <c r="CO39" i="11"/>
  <c r="CI22" i="11"/>
  <c r="CI41" i="11" s="1"/>
  <c r="BU22" i="11"/>
  <c r="CT22" i="11"/>
  <c r="CT43" i="11" s="1"/>
  <c r="CS39" i="11"/>
  <c r="CM22" i="11"/>
  <c r="CM43" i="11" s="1"/>
  <c r="CD39" i="11"/>
  <c r="CT39" i="11"/>
  <c r="AL36" i="11"/>
  <c r="CR39" i="11"/>
  <c r="BU39" i="11"/>
  <c r="K77" i="11"/>
  <c r="CP39" i="11"/>
  <c r="DA36" i="11"/>
  <c r="CD22" i="11"/>
  <c r="CD42" i="11" s="1"/>
  <c r="CK39" i="11"/>
  <c r="CM39" i="11"/>
  <c r="DA10" i="11"/>
  <c r="CX22" i="11"/>
  <c r="CX43" i="11" s="1"/>
  <c r="CP22" i="11"/>
  <c r="CP42" i="11" s="1"/>
  <c r="I52" i="11"/>
  <c r="AM37" i="11"/>
  <c r="AM38" i="11" s="1"/>
  <c r="AI39" i="11"/>
  <c r="K12" i="11"/>
  <c r="CO22" i="11"/>
  <c r="CO43" i="11" s="1"/>
  <c r="AJ21" i="11"/>
  <c r="CJ39" i="11"/>
  <c r="CW39" i="11"/>
  <c r="CG39" i="11"/>
  <c r="CV39" i="11"/>
  <c r="CF39" i="11"/>
  <c r="J65" i="11"/>
  <c r="J72" i="11" s="1"/>
  <c r="H65" i="11"/>
  <c r="K65" i="11" s="1"/>
  <c r="E79" i="11"/>
  <c r="CC39" i="11"/>
  <c r="CY39" i="11"/>
  <c r="AL21" i="11"/>
  <c r="H12" i="11"/>
  <c r="AM21" i="11"/>
  <c r="DA30" i="11"/>
  <c r="J47" i="11"/>
  <c r="H47" i="11"/>
  <c r="K47" i="11" s="1"/>
  <c r="AK21" i="11"/>
  <c r="AK22" i="11" s="1"/>
  <c r="CU39" i="11"/>
  <c r="CL22" i="11"/>
  <c r="CL41" i="11" s="1"/>
  <c r="G72" i="11"/>
  <c r="CI39" i="11"/>
  <c r="X20" i="11"/>
  <c r="CQ39" i="11"/>
  <c r="AM10" i="11"/>
  <c r="AK39" i="11"/>
  <c r="X21" i="11"/>
  <c r="V27" i="11"/>
  <c r="Y27" i="11" s="1"/>
  <c r="X27" i="11"/>
  <c r="X29" i="11" s="1"/>
  <c r="AL30" i="11"/>
  <c r="J34" i="11"/>
  <c r="Y9" i="11"/>
  <c r="V9" i="11"/>
  <c r="DA21" i="11"/>
  <c r="CZ42" i="11"/>
  <c r="CZ43" i="11"/>
  <c r="CZ41" i="11"/>
  <c r="CR42" i="11"/>
  <c r="CR43" i="11"/>
  <c r="CR41" i="11"/>
  <c r="CY22" i="11"/>
  <c r="CQ22" i="11"/>
  <c r="U21" i="11"/>
  <c r="CT41" i="11"/>
  <c r="CW43" i="11"/>
  <c r="CW41" i="11"/>
  <c r="CW42" i="11"/>
  <c r="CG43" i="11"/>
  <c r="CG41" i="11"/>
  <c r="CG42" i="11"/>
  <c r="AI22" i="11"/>
  <c r="K53" i="11"/>
  <c r="K78" i="11"/>
  <c r="H79" i="11"/>
  <c r="H50" i="11"/>
  <c r="K50" i="11" s="1"/>
  <c r="J50" i="11"/>
  <c r="AM31" i="11"/>
  <c r="AM36" i="11" s="1"/>
  <c r="AJ36" i="11"/>
  <c r="AJ30" i="11"/>
  <c r="AM23" i="11"/>
  <c r="AM30" i="11" s="1"/>
  <c r="X35" i="11"/>
  <c r="G52" i="11"/>
  <c r="Y22" i="11"/>
  <c r="U29" i="11"/>
  <c r="U38" i="11" s="1"/>
  <c r="T20" i="11"/>
  <c r="W14" i="11"/>
  <c r="W20" i="11" s="1"/>
  <c r="H34" i="11"/>
  <c r="K13" i="11"/>
  <c r="K34" i="11" s="1"/>
  <c r="CA43" i="11"/>
  <c r="CA42" i="11"/>
  <c r="CA41" i="11"/>
  <c r="AJ10" i="11"/>
  <c r="V20" i="11"/>
  <c r="Y10" i="11"/>
  <c r="Y20" i="11" s="1"/>
  <c r="AH21" i="11"/>
  <c r="CJ42" i="11"/>
  <c r="CU22" i="11"/>
  <c r="CE42" i="11"/>
  <c r="CE43" i="11"/>
  <c r="CE41" i="11"/>
  <c r="CP43" i="11"/>
  <c r="CH41" i="11"/>
  <c r="CS43" i="11"/>
  <c r="CS41" i="11"/>
  <c r="CS42" i="11"/>
  <c r="CK43" i="11"/>
  <c r="CK41" i="11"/>
  <c r="CK42" i="11"/>
  <c r="CC41" i="11"/>
  <c r="CC42" i="11"/>
  <c r="CF42" i="11"/>
  <c r="CF43" i="11"/>
  <c r="CF41" i="11"/>
  <c r="V35" i="11"/>
  <c r="Y30" i="11"/>
  <c r="Y35" i="11" s="1"/>
  <c r="I34" i="11"/>
  <c r="F34" i="11"/>
  <c r="G35" i="11"/>
  <c r="CB43" i="11"/>
  <c r="CB42" i="11"/>
  <c r="CB41" i="11"/>
  <c r="M18" i="6"/>
  <c r="L18" i="6"/>
  <c r="N17" i="6"/>
  <c r="N16" i="6"/>
  <c r="N15" i="6"/>
  <c r="N14" i="6"/>
  <c r="N13" i="6"/>
  <c r="N12" i="6"/>
  <c r="N11" i="6"/>
  <c r="N10" i="6"/>
  <c r="N9" i="6"/>
  <c r="N8" i="6"/>
  <c r="N7" i="6"/>
  <c r="N6" i="6"/>
  <c r="C22" i="6"/>
  <c r="D22" i="6"/>
  <c r="N18" i="6" l="1"/>
  <c r="CJ41" i="11"/>
  <c r="CN42" i="11"/>
  <c r="CI42" i="11"/>
  <c r="V29" i="11"/>
  <c r="V38" i="11" s="1"/>
  <c r="H72" i="11"/>
  <c r="DA39" i="11"/>
  <c r="CM41" i="11"/>
  <c r="CV43" i="11"/>
  <c r="DA22" i="11"/>
  <c r="DA41" i="11" s="1"/>
  <c r="CV42" i="11"/>
  <c r="CM42" i="11"/>
  <c r="CN41" i="11"/>
  <c r="CI43" i="11"/>
  <c r="CH42" i="11"/>
  <c r="CT42" i="11"/>
  <c r="CD43" i="11"/>
  <c r="CO42" i="11"/>
  <c r="CO41" i="11"/>
  <c r="AL39" i="11"/>
  <c r="AL40" i="11" s="1"/>
  <c r="CL42" i="11"/>
  <c r="AL22" i="11"/>
  <c r="CX41" i="11"/>
  <c r="CX42" i="11"/>
  <c r="CD41" i="11"/>
  <c r="J52" i="11"/>
  <c r="J79" i="11" s="1"/>
  <c r="J80" i="11" s="1"/>
  <c r="K72" i="11"/>
  <c r="AM22" i="11"/>
  <c r="G79" i="11"/>
  <c r="K52" i="11"/>
  <c r="K17" i="7" s="1"/>
  <c r="CP41" i="11"/>
  <c r="CL43" i="11"/>
  <c r="Y29" i="11"/>
  <c r="H35" i="11"/>
  <c r="X38" i="11"/>
  <c r="F35" i="11"/>
  <c r="F79" i="11"/>
  <c r="DA43" i="11"/>
  <c r="DA42" i="11"/>
  <c r="AJ39" i="11"/>
  <c r="AJ22" i="11"/>
  <c r="AH39" i="11"/>
  <c r="AH22" i="11"/>
  <c r="CQ42" i="11"/>
  <c r="CQ41" i="11"/>
  <c r="CQ43" i="11"/>
  <c r="J35" i="11"/>
  <c r="H52" i="11"/>
  <c r="K35" i="11"/>
  <c r="AM39" i="11"/>
  <c r="CU42" i="11"/>
  <c r="CU43" i="11"/>
  <c r="CU41" i="11"/>
  <c r="W38" i="11"/>
  <c r="W21" i="11"/>
  <c r="CY42" i="11"/>
  <c r="CY41" i="11"/>
  <c r="CY43" i="11"/>
  <c r="V21" i="11"/>
  <c r="I79" i="11"/>
  <c r="I35" i="11"/>
  <c r="T38" i="11"/>
  <c r="T21" i="11"/>
  <c r="Y21" i="11"/>
  <c r="Y38" i="11" l="1"/>
  <c r="Z3" i="11" s="1"/>
  <c r="K79" i="11"/>
  <c r="L36" i="11" s="1"/>
  <c r="Z36" i="11"/>
  <c r="Z10" i="11"/>
  <c r="K80" i="11"/>
  <c r="L73" i="11"/>
  <c r="L3" i="11"/>
  <c r="AM40" i="11"/>
  <c r="AN3" i="11"/>
  <c r="AN11" i="11"/>
  <c r="AN37" i="11"/>
  <c r="L53" i="11"/>
  <c r="Z30" i="11"/>
  <c r="AN23" i="11"/>
  <c r="AN31" i="11"/>
  <c r="Z22" i="11"/>
  <c r="L13" i="11"/>
  <c r="Z38" i="11" l="1"/>
  <c r="Z21" i="11"/>
  <c r="AN39" i="11"/>
  <c r="L79" i="11"/>
  <c r="L35" i="11"/>
  <c r="AN22" i="11"/>
  <c r="U29" i="8"/>
  <c r="Y37" i="8" l="1"/>
  <c r="Y33" i="8"/>
  <c r="Y34" i="8"/>
  <c r="Y35" i="8"/>
  <c r="Y32" i="8"/>
  <c r="Y31" i="8"/>
  <c r="Y25" i="8"/>
  <c r="Y26" i="8"/>
  <c r="Y27" i="8"/>
  <c r="Y28" i="8"/>
  <c r="Y24" i="8"/>
  <c r="Y23" i="8"/>
  <c r="Y13" i="8"/>
  <c r="Y14" i="8"/>
  <c r="Y15" i="8"/>
  <c r="Y16" i="8"/>
  <c r="Y17" i="8"/>
  <c r="Y18" i="8"/>
  <c r="Y19" i="8"/>
  <c r="Y20" i="8"/>
  <c r="Y12" i="8"/>
  <c r="Y11" i="8"/>
  <c r="Y5" i="8"/>
  <c r="Y6" i="8"/>
  <c r="Y7" i="8"/>
  <c r="Y8" i="8"/>
  <c r="Y9" i="8"/>
  <c r="Y4" i="8"/>
  <c r="Y3" i="8"/>
  <c r="X37" i="8"/>
  <c r="X33" i="8"/>
  <c r="X34" i="8"/>
  <c r="X35" i="8"/>
  <c r="X32" i="8"/>
  <c r="X31" i="8"/>
  <c r="X25" i="8"/>
  <c r="X26" i="8"/>
  <c r="X27" i="8"/>
  <c r="X28" i="8"/>
  <c r="X29" i="8"/>
  <c r="X24" i="8"/>
  <c r="X23" i="8"/>
  <c r="X13" i="8"/>
  <c r="X14" i="8"/>
  <c r="X15" i="8"/>
  <c r="X16" i="8"/>
  <c r="X17" i="8"/>
  <c r="X18" i="8"/>
  <c r="X19" i="8"/>
  <c r="X20" i="8"/>
  <c r="X12" i="8"/>
  <c r="X11" i="8"/>
  <c r="X5" i="8"/>
  <c r="X6" i="8"/>
  <c r="X7" i="8"/>
  <c r="X8" i="8"/>
  <c r="X9" i="8"/>
  <c r="X4" i="8"/>
  <c r="X3" i="8"/>
  <c r="W37" i="8"/>
  <c r="W35" i="8"/>
  <c r="W34" i="8"/>
  <c r="W33" i="8"/>
  <c r="W32" i="8"/>
  <c r="W31" i="8"/>
  <c r="W25" i="8"/>
  <c r="W26" i="8"/>
  <c r="W27" i="8"/>
  <c r="W28" i="8"/>
  <c r="W24" i="8"/>
  <c r="W23" i="8"/>
  <c r="W13" i="8"/>
  <c r="W14" i="8"/>
  <c r="W15" i="8"/>
  <c r="W16" i="8"/>
  <c r="W17" i="8"/>
  <c r="W18" i="8"/>
  <c r="W19" i="8"/>
  <c r="W20" i="8"/>
  <c r="W12" i="8"/>
  <c r="W11" i="8"/>
  <c r="W9" i="8"/>
  <c r="W8" i="8"/>
  <c r="W7" i="8"/>
  <c r="W6" i="8"/>
  <c r="W5" i="8"/>
  <c r="W4" i="8"/>
  <c r="W3" i="8"/>
  <c r="AK7" i="8" l="1"/>
  <c r="CC6" i="8" l="1"/>
  <c r="W10" i="8"/>
  <c r="W38" i="8"/>
  <c r="W36" i="8" l="1"/>
  <c r="CD37" i="8"/>
  <c r="CE37" i="8"/>
  <c r="CF37" i="8"/>
  <c r="CF38" i="8" s="1"/>
  <c r="CG37" i="8"/>
  <c r="CH37" i="8"/>
  <c r="CI37" i="8"/>
  <c r="CJ37" i="8"/>
  <c r="CJ38" i="8" s="1"/>
  <c r="CK37" i="8"/>
  <c r="CL37" i="8"/>
  <c r="CM37" i="8"/>
  <c r="CN37" i="8"/>
  <c r="CN38" i="8" s="1"/>
  <c r="CO37" i="8"/>
  <c r="CP37" i="8"/>
  <c r="CQ37" i="8"/>
  <c r="CR37" i="8"/>
  <c r="CR38" i="8" s="1"/>
  <c r="CS37" i="8"/>
  <c r="CT37" i="8"/>
  <c r="CU37" i="8"/>
  <c r="CV37" i="8"/>
  <c r="CV38" i="8" s="1"/>
  <c r="CW37" i="8"/>
  <c r="CX37" i="8"/>
  <c r="CY37" i="8"/>
  <c r="CZ37" i="8"/>
  <c r="CZ38" i="8" s="1"/>
  <c r="CD31" i="8"/>
  <c r="CE31" i="8"/>
  <c r="CF31" i="8"/>
  <c r="CG31" i="8"/>
  <c r="CH31" i="8"/>
  <c r="CI31" i="8"/>
  <c r="CJ31" i="8"/>
  <c r="CK31" i="8"/>
  <c r="CK36" i="8" s="1"/>
  <c r="CL31" i="8"/>
  <c r="CM31" i="8"/>
  <c r="CN31" i="8"/>
  <c r="CO31" i="8"/>
  <c r="CO36" i="8" s="1"/>
  <c r="CP31" i="8"/>
  <c r="CQ31" i="8"/>
  <c r="CR31" i="8"/>
  <c r="CS31" i="8"/>
  <c r="CS36" i="8" s="1"/>
  <c r="CT31" i="8"/>
  <c r="CU31" i="8"/>
  <c r="CV31" i="8"/>
  <c r="CW31" i="8"/>
  <c r="CX31" i="8"/>
  <c r="CY31" i="8"/>
  <c r="CZ31" i="8"/>
  <c r="CD32" i="8"/>
  <c r="CD36" i="8" s="1"/>
  <c r="CE32" i="8"/>
  <c r="CF32" i="8"/>
  <c r="CG32" i="8"/>
  <c r="CH32" i="8"/>
  <c r="CH36" i="8" s="1"/>
  <c r="CI32" i="8"/>
  <c r="CJ32" i="8"/>
  <c r="CK32" i="8"/>
  <c r="CL32" i="8"/>
  <c r="CL36" i="8" s="1"/>
  <c r="CM32" i="8"/>
  <c r="CN32" i="8"/>
  <c r="CO32" i="8"/>
  <c r="CP32" i="8"/>
  <c r="CP36" i="8" s="1"/>
  <c r="CQ32" i="8"/>
  <c r="CR32" i="8"/>
  <c r="CS32" i="8"/>
  <c r="CT32" i="8"/>
  <c r="CT36" i="8" s="1"/>
  <c r="CU32" i="8"/>
  <c r="CV32" i="8"/>
  <c r="CW32" i="8"/>
  <c r="CX32" i="8"/>
  <c r="CX36" i="8" s="1"/>
  <c r="CY32" i="8"/>
  <c r="CZ32" i="8"/>
  <c r="CD33" i="8"/>
  <c r="CE33" i="8"/>
  <c r="CE36" i="8" s="1"/>
  <c r="CF33" i="8"/>
  <c r="CG33" i="8"/>
  <c r="CH33" i="8"/>
  <c r="CI33" i="8"/>
  <c r="CI36" i="8" s="1"/>
  <c r="CJ33" i="8"/>
  <c r="CK33" i="8"/>
  <c r="CL33" i="8"/>
  <c r="CM33" i="8"/>
  <c r="CM36" i="8" s="1"/>
  <c r="CN33" i="8"/>
  <c r="CO33" i="8"/>
  <c r="CP33" i="8"/>
  <c r="CQ33" i="8"/>
  <c r="CQ36" i="8" s="1"/>
  <c r="CR33" i="8"/>
  <c r="CS33" i="8"/>
  <c r="CT33" i="8"/>
  <c r="CU33" i="8"/>
  <c r="CU36" i="8" s="1"/>
  <c r="CV33" i="8"/>
  <c r="CW33" i="8"/>
  <c r="CX33" i="8"/>
  <c r="CY33" i="8"/>
  <c r="CY36" i="8" s="1"/>
  <c r="CZ33" i="8"/>
  <c r="CD34" i="8"/>
  <c r="CE34" i="8"/>
  <c r="CF34" i="8"/>
  <c r="CF36" i="8" s="1"/>
  <c r="CG34" i="8"/>
  <c r="CH34" i="8"/>
  <c r="CI34" i="8"/>
  <c r="CJ34" i="8"/>
  <c r="CJ36" i="8" s="1"/>
  <c r="CK34" i="8"/>
  <c r="CL34" i="8"/>
  <c r="CM34" i="8"/>
  <c r="CN34" i="8"/>
  <c r="CN36" i="8" s="1"/>
  <c r="CO34" i="8"/>
  <c r="CP34" i="8"/>
  <c r="CQ34" i="8"/>
  <c r="CR34" i="8"/>
  <c r="CR36" i="8" s="1"/>
  <c r="CS34" i="8"/>
  <c r="CT34" i="8"/>
  <c r="CU34" i="8"/>
  <c r="CV34" i="8"/>
  <c r="CV36" i="8" s="1"/>
  <c r="CW34" i="8"/>
  <c r="CX34" i="8"/>
  <c r="CY34" i="8"/>
  <c r="CZ34" i="8"/>
  <c r="CZ36" i="8" s="1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CD23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Q23" i="8"/>
  <c r="CR23" i="8"/>
  <c r="CS23" i="8"/>
  <c r="CT23" i="8"/>
  <c r="CU23" i="8"/>
  <c r="CV23" i="8"/>
  <c r="CW23" i="8"/>
  <c r="CX23" i="8"/>
  <c r="CY23" i="8"/>
  <c r="CZ23" i="8"/>
  <c r="CD24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Q24" i="8"/>
  <c r="CR24" i="8"/>
  <c r="CS24" i="8"/>
  <c r="CT24" i="8"/>
  <c r="CU24" i="8"/>
  <c r="CV24" i="8"/>
  <c r="CW24" i="8"/>
  <c r="CX24" i="8"/>
  <c r="CY24" i="8"/>
  <c r="CZ24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CD26" i="8"/>
  <c r="CE26" i="8"/>
  <c r="CF26" i="8"/>
  <c r="CG26" i="8"/>
  <c r="CH26" i="8"/>
  <c r="CI26" i="8"/>
  <c r="CJ26" i="8"/>
  <c r="CK26" i="8"/>
  <c r="CK30" i="8" s="1"/>
  <c r="CL26" i="8"/>
  <c r="CM26" i="8"/>
  <c r="CN26" i="8"/>
  <c r="CO26" i="8"/>
  <c r="CO30" i="8" s="1"/>
  <c r="CP26" i="8"/>
  <c r="CQ26" i="8"/>
  <c r="CR26" i="8"/>
  <c r="CS26" i="8"/>
  <c r="CS30" i="8" s="1"/>
  <c r="CT26" i="8"/>
  <c r="CU26" i="8"/>
  <c r="CV26" i="8"/>
  <c r="CW26" i="8"/>
  <c r="CX26" i="8"/>
  <c r="CY26" i="8"/>
  <c r="CZ26" i="8"/>
  <c r="CD27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Q27" i="8"/>
  <c r="CR27" i="8"/>
  <c r="CS27" i="8"/>
  <c r="CT27" i="8"/>
  <c r="CU27" i="8"/>
  <c r="CV27" i="8"/>
  <c r="CW27" i="8"/>
  <c r="CX27" i="8"/>
  <c r="CY27" i="8"/>
  <c r="CZ27" i="8"/>
  <c r="CD28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Q28" i="8"/>
  <c r="CR28" i="8"/>
  <c r="CS28" i="8"/>
  <c r="CT28" i="8"/>
  <c r="CU28" i="8"/>
  <c r="CV28" i="8"/>
  <c r="CW28" i="8"/>
  <c r="CX28" i="8"/>
  <c r="CY28" i="8"/>
  <c r="CZ28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Q29" i="8"/>
  <c r="CR29" i="8"/>
  <c r="CS29" i="8"/>
  <c r="CT29" i="8"/>
  <c r="CU29" i="8"/>
  <c r="CV29" i="8"/>
  <c r="CW29" i="8"/>
  <c r="CX29" i="8"/>
  <c r="CY29" i="8"/>
  <c r="CZ29" i="8"/>
  <c r="CC37" i="8"/>
  <c r="CC38" i="8" s="1"/>
  <c r="CC35" i="8"/>
  <c r="CC34" i="8"/>
  <c r="CC33" i="8"/>
  <c r="DA33" i="8" s="1"/>
  <c r="CC32" i="8"/>
  <c r="CC31" i="8"/>
  <c r="CC36" i="8" s="1"/>
  <c r="CC29" i="8"/>
  <c r="CC28" i="8"/>
  <c r="DA28" i="8" s="1"/>
  <c r="CC27" i="8"/>
  <c r="CC26" i="8"/>
  <c r="CC25" i="8"/>
  <c r="CC24" i="8"/>
  <c r="CC23" i="8"/>
  <c r="CD11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Q11" i="8"/>
  <c r="CR11" i="8"/>
  <c r="CS11" i="8"/>
  <c r="CT11" i="8"/>
  <c r="CU11" i="8"/>
  <c r="CV11" i="8"/>
  <c r="CW11" i="8"/>
  <c r="CX11" i="8"/>
  <c r="CY11" i="8"/>
  <c r="CZ11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CD13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Q13" i="8"/>
  <c r="CR13" i="8"/>
  <c r="CS13" i="8"/>
  <c r="CT13" i="8"/>
  <c r="CU13" i="8"/>
  <c r="CV13" i="8"/>
  <c r="CW13" i="8"/>
  <c r="CX13" i="8"/>
  <c r="CY13" i="8"/>
  <c r="CZ13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CD15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Q15" i="8"/>
  <c r="CR15" i="8"/>
  <c r="CS15" i="8"/>
  <c r="CT15" i="8"/>
  <c r="CU15" i="8"/>
  <c r="CV15" i="8"/>
  <c r="CW15" i="8"/>
  <c r="CX15" i="8"/>
  <c r="CY15" i="8"/>
  <c r="CZ15" i="8"/>
  <c r="CD16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Q16" i="8"/>
  <c r="CR16" i="8"/>
  <c r="CS16" i="8"/>
  <c r="CT16" i="8"/>
  <c r="CU16" i="8"/>
  <c r="CV16" i="8"/>
  <c r="CW16" i="8"/>
  <c r="CX16" i="8"/>
  <c r="CY16" i="8"/>
  <c r="CZ16" i="8"/>
  <c r="CD17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Q17" i="8"/>
  <c r="CR17" i="8"/>
  <c r="CS17" i="8"/>
  <c r="CT17" i="8"/>
  <c r="CU17" i="8"/>
  <c r="CV17" i="8"/>
  <c r="CW17" i="8"/>
  <c r="CX17" i="8"/>
  <c r="CY17" i="8"/>
  <c r="CZ17" i="8"/>
  <c r="CD18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Q18" i="8"/>
  <c r="CR18" i="8"/>
  <c r="CS18" i="8"/>
  <c r="CT18" i="8"/>
  <c r="CU18" i="8"/>
  <c r="CV18" i="8"/>
  <c r="CW18" i="8"/>
  <c r="CX18" i="8"/>
  <c r="CY18" i="8"/>
  <c r="CZ18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CC20" i="8"/>
  <c r="CC19" i="8"/>
  <c r="CC18" i="8"/>
  <c r="CC17" i="8"/>
  <c r="CC16" i="8"/>
  <c r="CC15" i="8"/>
  <c r="CC14" i="8"/>
  <c r="CC13" i="8"/>
  <c r="CC12" i="8"/>
  <c r="CC11" i="8"/>
  <c r="CD3" i="8"/>
  <c r="CE3" i="8"/>
  <c r="CF3" i="8"/>
  <c r="CG3" i="8"/>
  <c r="CH3" i="8"/>
  <c r="CI3" i="8"/>
  <c r="CJ3" i="8"/>
  <c r="CK3" i="8"/>
  <c r="CL3" i="8"/>
  <c r="CM3" i="8"/>
  <c r="CN3" i="8"/>
  <c r="CO3" i="8"/>
  <c r="CP3" i="8"/>
  <c r="CQ3" i="8"/>
  <c r="CR3" i="8"/>
  <c r="CS3" i="8"/>
  <c r="CT3" i="8"/>
  <c r="CU3" i="8"/>
  <c r="CV3" i="8"/>
  <c r="CW3" i="8"/>
  <c r="CX3" i="8"/>
  <c r="CY3" i="8"/>
  <c r="CZ3" i="8"/>
  <c r="CD4" i="8"/>
  <c r="CE4" i="8"/>
  <c r="CF4" i="8"/>
  <c r="CG4" i="8"/>
  <c r="CH4" i="8"/>
  <c r="CI4" i="8"/>
  <c r="CJ4" i="8"/>
  <c r="CK4" i="8"/>
  <c r="CL4" i="8"/>
  <c r="CM4" i="8"/>
  <c r="CN4" i="8"/>
  <c r="CO4" i="8"/>
  <c r="CP4" i="8"/>
  <c r="CQ4" i="8"/>
  <c r="CR4" i="8"/>
  <c r="CS4" i="8"/>
  <c r="CT4" i="8"/>
  <c r="CU4" i="8"/>
  <c r="CV4" i="8"/>
  <c r="CW4" i="8"/>
  <c r="CX4" i="8"/>
  <c r="CY4" i="8"/>
  <c r="CZ4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CD6" i="8"/>
  <c r="CE6" i="8"/>
  <c r="CF6" i="8"/>
  <c r="CG6" i="8"/>
  <c r="CH6" i="8"/>
  <c r="CI6" i="8"/>
  <c r="CJ6" i="8"/>
  <c r="CK6" i="8"/>
  <c r="CL6" i="8"/>
  <c r="CM6" i="8"/>
  <c r="CN6" i="8"/>
  <c r="CO6" i="8"/>
  <c r="CP6" i="8"/>
  <c r="CQ6" i="8"/>
  <c r="CR6" i="8"/>
  <c r="CS6" i="8"/>
  <c r="CT6" i="8"/>
  <c r="CU6" i="8"/>
  <c r="CV6" i="8"/>
  <c r="CW6" i="8"/>
  <c r="CX6" i="8"/>
  <c r="CY6" i="8"/>
  <c r="CZ6" i="8"/>
  <c r="CD7" i="8"/>
  <c r="CE7" i="8"/>
  <c r="CF7" i="8"/>
  <c r="CG7" i="8"/>
  <c r="CH7" i="8"/>
  <c r="CI7" i="8"/>
  <c r="CJ7" i="8"/>
  <c r="CK7" i="8"/>
  <c r="CL7" i="8"/>
  <c r="CM7" i="8"/>
  <c r="CN7" i="8"/>
  <c r="CO7" i="8"/>
  <c r="CP7" i="8"/>
  <c r="CQ7" i="8"/>
  <c r="CR7" i="8"/>
  <c r="CS7" i="8"/>
  <c r="CT7" i="8"/>
  <c r="CU7" i="8"/>
  <c r="CV7" i="8"/>
  <c r="CW7" i="8"/>
  <c r="CX7" i="8"/>
  <c r="CY7" i="8"/>
  <c r="CZ7" i="8"/>
  <c r="CD8" i="8"/>
  <c r="CE8" i="8"/>
  <c r="CF8" i="8"/>
  <c r="CG8" i="8"/>
  <c r="CH8" i="8"/>
  <c r="CI8" i="8"/>
  <c r="CJ8" i="8"/>
  <c r="CK8" i="8"/>
  <c r="CL8" i="8"/>
  <c r="CM8" i="8"/>
  <c r="CN8" i="8"/>
  <c r="CO8" i="8"/>
  <c r="CP8" i="8"/>
  <c r="CQ8" i="8"/>
  <c r="CR8" i="8"/>
  <c r="CS8" i="8"/>
  <c r="CT8" i="8"/>
  <c r="CU8" i="8"/>
  <c r="CV8" i="8"/>
  <c r="CW8" i="8"/>
  <c r="CX8" i="8"/>
  <c r="CY8" i="8"/>
  <c r="CZ8" i="8"/>
  <c r="CD9" i="8"/>
  <c r="CE9" i="8"/>
  <c r="CF9" i="8"/>
  <c r="CG9" i="8"/>
  <c r="CH9" i="8"/>
  <c r="CI9" i="8"/>
  <c r="CJ9" i="8"/>
  <c r="CK9" i="8"/>
  <c r="CL9" i="8"/>
  <c r="CM9" i="8"/>
  <c r="CN9" i="8"/>
  <c r="CO9" i="8"/>
  <c r="CP9" i="8"/>
  <c r="CQ9" i="8"/>
  <c r="CR9" i="8"/>
  <c r="CS9" i="8"/>
  <c r="CT9" i="8"/>
  <c r="CU9" i="8"/>
  <c r="CV9" i="8"/>
  <c r="CW9" i="8"/>
  <c r="CX9" i="8"/>
  <c r="CY9" i="8"/>
  <c r="CZ9" i="8"/>
  <c r="CC9" i="8"/>
  <c r="CC8" i="8"/>
  <c r="CC7" i="8"/>
  <c r="CC5" i="8"/>
  <c r="CC4" i="8"/>
  <c r="CC3" i="8"/>
  <c r="CY38" i="8"/>
  <c r="CX38" i="8"/>
  <c r="CW38" i="8"/>
  <c r="CU38" i="8"/>
  <c r="CT38" i="8"/>
  <c r="CS38" i="8"/>
  <c r="CQ38" i="8"/>
  <c r="CP38" i="8"/>
  <c r="CO38" i="8"/>
  <c r="CM38" i="8"/>
  <c r="CL38" i="8"/>
  <c r="CK38" i="8"/>
  <c r="CI38" i="8"/>
  <c r="CH38" i="8"/>
  <c r="CG38" i="8"/>
  <c r="CE38" i="8"/>
  <c r="CD38" i="8"/>
  <c r="CB38" i="8"/>
  <c r="CA38" i="8"/>
  <c r="CW36" i="8"/>
  <c r="CG36" i="8"/>
  <c r="CB36" i="8"/>
  <c r="CA36" i="8"/>
  <c r="CW30" i="8"/>
  <c r="CG30" i="8"/>
  <c r="CB30" i="8"/>
  <c r="CA30" i="8"/>
  <c r="DA24" i="8"/>
  <c r="DA13" i="8"/>
  <c r="CB10" i="8"/>
  <c r="CB22" i="8" s="1"/>
  <c r="CA10" i="8"/>
  <c r="BI21" i="8"/>
  <c r="BT21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AW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M36" i="8"/>
  <c r="BN36" i="8"/>
  <c r="BO36" i="8"/>
  <c r="BP36" i="8"/>
  <c r="BQ36" i="8"/>
  <c r="BR36" i="8"/>
  <c r="BS36" i="8"/>
  <c r="BT36" i="8"/>
  <c r="AW30" i="8"/>
  <c r="AX30" i="8"/>
  <c r="AY30" i="8"/>
  <c r="AZ30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BN30" i="8"/>
  <c r="BO30" i="8"/>
  <c r="BP30" i="8"/>
  <c r="BQ30" i="8"/>
  <c r="BR30" i="8"/>
  <c r="BS30" i="8"/>
  <c r="BT30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J21" i="8"/>
  <c r="BK21" i="8"/>
  <c r="BL21" i="8"/>
  <c r="BM21" i="8"/>
  <c r="BN21" i="8"/>
  <c r="BO21" i="8"/>
  <c r="BP21" i="8"/>
  <c r="BQ21" i="8"/>
  <c r="BR21" i="8"/>
  <c r="BS21" i="8"/>
  <c r="AY22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I22" i="8" s="1"/>
  <c r="BJ10" i="8"/>
  <c r="BK10" i="8"/>
  <c r="BK22" i="8" s="1"/>
  <c r="BL10" i="8"/>
  <c r="BL22" i="8" s="1"/>
  <c r="BM10" i="8"/>
  <c r="BN10" i="8"/>
  <c r="BO10" i="8"/>
  <c r="BP10" i="8"/>
  <c r="BP22" i="8" s="1"/>
  <c r="BQ10" i="8"/>
  <c r="BR10" i="8"/>
  <c r="BR22" i="8" s="1"/>
  <c r="BS10" i="8"/>
  <c r="BT10" i="8"/>
  <c r="BU4" i="8"/>
  <c r="BU5" i="8"/>
  <c r="BU6" i="8"/>
  <c r="BU7" i="8"/>
  <c r="BU8" i="8"/>
  <c r="BU9" i="8"/>
  <c r="BU11" i="8"/>
  <c r="BU12" i="8"/>
  <c r="BU13" i="8"/>
  <c r="BU14" i="8"/>
  <c r="BU15" i="8"/>
  <c r="BU16" i="8"/>
  <c r="BU17" i="8"/>
  <c r="BU18" i="8"/>
  <c r="BU19" i="8"/>
  <c r="BU20" i="8"/>
  <c r="BU23" i="8"/>
  <c r="BU24" i="8"/>
  <c r="BU25" i="8"/>
  <c r="BU26" i="8"/>
  <c r="BU27" i="8"/>
  <c r="BU28" i="8"/>
  <c r="BU29" i="8"/>
  <c r="BU31" i="8"/>
  <c r="BU32" i="8"/>
  <c r="BU33" i="8"/>
  <c r="BU34" i="8"/>
  <c r="BU35" i="8"/>
  <c r="BU37" i="8"/>
  <c r="BU38" i="8" s="1"/>
  <c r="BU3" i="8"/>
  <c r="AV38" i="8"/>
  <c r="AU38" i="8"/>
  <c r="AT38" i="8"/>
  <c r="AV36" i="8"/>
  <c r="AU36" i="8"/>
  <c r="AT36" i="8"/>
  <c r="AU30" i="8"/>
  <c r="AT30" i="8"/>
  <c r="AV28" i="8"/>
  <c r="AV30" i="8" s="1"/>
  <c r="AV20" i="8"/>
  <c r="AV19" i="8"/>
  <c r="AV18" i="8"/>
  <c r="AV17" i="8"/>
  <c r="AV16" i="8"/>
  <c r="AV15" i="8"/>
  <c r="AV10" i="8"/>
  <c r="AU10" i="8"/>
  <c r="AT10" i="8"/>
  <c r="CB42" i="8" l="1"/>
  <c r="CB43" i="8"/>
  <c r="CB41" i="8"/>
  <c r="DA23" i="8"/>
  <c r="DA35" i="8"/>
  <c r="BH22" i="8"/>
  <c r="AY39" i="8"/>
  <c r="CA39" i="8"/>
  <c r="CD10" i="8"/>
  <c r="CE10" i="8"/>
  <c r="BD22" i="8"/>
  <c r="CA22" i="8"/>
  <c r="AT22" i="8"/>
  <c r="CB39" i="8"/>
  <c r="DA19" i="8"/>
  <c r="DA18" i="8"/>
  <c r="DA16" i="8"/>
  <c r="DA15" i="8"/>
  <c r="CE22" i="8"/>
  <c r="DA12" i="8"/>
  <c r="DA11" i="8"/>
  <c r="DA27" i="8"/>
  <c r="DA29" i="8"/>
  <c r="CX30" i="8"/>
  <c r="CT30" i="8"/>
  <c r="CP30" i="8"/>
  <c r="CL30" i="8"/>
  <c r="CH30" i="8"/>
  <c r="CD30" i="8"/>
  <c r="DA25" i="8"/>
  <c r="CZ30" i="8"/>
  <c r="CV30" i="8"/>
  <c r="CR30" i="8"/>
  <c r="CN30" i="8"/>
  <c r="CJ30" i="8"/>
  <c r="CF30" i="8"/>
  <c r="CY30" i="8"/>
  <c r="CU30" i="8"/>
  <c r="CQ30" i="8"/>
  <c r="CM30" i="8"/>
  <c r="CI30" i="8"/>
  <c r="CE30" i="8"/>
  <c r="DA34" i="8"/>
  <c r="DA32" i="8"/>
  <c r="DA26" i="8"/>
  <c r="DA37" i="8"/>
  <c r="DA38" i="8" s="1"/>
  <c r="DA31" i="8"/>
  <c r="DA36" i="8" s="1"/>
  <c r="CC30" i="8"/>
  <c r="DA14" i="8"/>
  <c r="CD22" i="8"/>
  <c r="DA20" i="8"/>
  <c r="DA17" i="8"/>
  <c r="CC10" i="8"/>
  <c r="CE39" i="8"/>
  <c r="CD39" i="8"/>
  <c r="BR39" i="8"/>
  <c r="BU36" i="8"/>
  <c r="BQ39" i="8"/>
  <c r="BO39" i="8"/>
  <c r="BN39" i="8"/>
  <c r="BM39" i="8"/>
  <c r="BL39" i="8"/>
  <c r="BK39" i="8"/>
  <c r="BJ39" i="8"/>
  <c r="BU30" i="8"/>
  <c r="BC39" i="8"/>
  <c r="BB39" i="8"/>
  <c r="BA39" i="8"/>
  <c r="AX39" i="8"/>
  <c r="AW22" i="8"/>
  <c r="BE39" i="8"/>
  <c r="BF39" i="8"/>
  <c r="BG22" i="8"/>
  <c r="BM22" i="8"/>
  <c r="BS39" i="8"/>
  <c r="BT22" i="8"/>
  <c r="BU21" i="8"/>
  <c r="BT39" i="8"/>
  <c r="BS22" i="8"/>
  <c r="BQ22" i="8"/>
  <c r="BP39" i="8"/>
  <c r="BO22" i="8"/>
  <c r="BN22" i="8"/>
  <c r="BJ22" i="8"/>
  <c r="BI39" i="8"/>
  <c r="BH39" i="8"/>
  <c r="BG39" i="8"/>
  <c r="BF22" i="8"/>
  <c r="BE22" i="8"/>
  <c r="BD39" i="8"/>
  <c r="BC22" i="8"/>
  <c r="BB22" i="8"/>
  <c r="BA22" i="8"/>
  <c r="AZ39" i="8"/>
  <c r="AZ22" i="8"/>
  <c r="AX22" i="8"/>
  <c r="AW39" i="8"/>
  <c r="BU10" i="8"/>
  <c r="AV22" i="8"/>
  <c r="AU39" i="8"/>
  <c r="AU22" i="8"/>
  <c r="AT39" i="8"/>
  <c r="CE43" i="8" l="1"/>
  <c r="CE42" i="8"/>
  <c r="CE41" i="8"/>
  <c r="CD41" i="8"/>
  <c r="CD43" i="8"/>
  <c r="CD42" i="8"/>
  <c r="CA41" i="8"/>
  <c r="CA42" i="8"/>
  <c r="CA43" i="8"/>
  <c r="DA30" i="8"/>
  <c r="CC39" i="8"/>
  <c r="CC22" i="8"/>
  <c r="CF10" i="8"/>
  <c r="CJ10" i="8"/>
  <c r="CG10" i="8"/>
  <c r="BU22" i="8"/>
  <c r="BU39" i="8"/>
  <c r="AV39" i="8"/>
  <c r="AK29" i="8"/>
  <c r="AI29" i="8"/>
  <c r="CC41" i="8" l="1"/>
  <c r="CC42" i="8"/>
  <c r="CJ39" i="8"/>
  <c r="CJ22" i="8"/>
  <c r="CI10" i="8"/>
  <c r="CG39" i="8"/>
  <c r="CG22" i="8"/>
  <c r="CH10" i="8"/>
  <c r="CF22" i="8"/>
  <c r="CF39" i="8"/>
  <c r="M11" i="7"/>
  <c r="L11" i="7"/>
  <c r="K18" i="7" s="1"/>
  <c r="AK37" i="8"/>
  <c r="AK38" i="8" s="1"/>
  <c r="AK32" i="8"/>
  <c r="AK33" i="8"/>
  <c r="AK34" i="8"/>
  <c r="AK35" i="8"/>
  <c r="AK31" i="8"/>
  <c r="AK24" i="8"/>
  <c r="AK25" i="8"/>
  <c r="AK26" i="8"/>
  <c r="AK27" i="8"/>
  <c r="AL29" i="8"/>
  <c r="AK23" i="8"/>
  <c r="AK12" i="8"/>
  <c r="AK13" i="8"/>
  <c r="AK14" i="8"/>
  <c r="AK11" i="8"/>
  <c r="AK4" i="8"/>
  <c r="AK5" i="8"/>
  <c r="AK6" i="8"/>
  <c r="AK8" i="8"/>
  <c r="AK9" i="8"/>
  <c r="AK3" i="8"/>
  <c r="I78" i="8"/>
  <c r="I74" i="8"/>
  <c r="I75" i="8"/>
  <c r="I76" i="8"/>
  <c r="I73" i="8"/>
  <c r="I54" i="8"/>
  <c r="I56" i="8"/>
  <c r="I57" i="8"/>
  <c r="I58" i="8"/>
  <c r="I59" i="8"/>
  <c r="I60" i="8"/>
  <c r="I61" i="8"/>
  <c r="I62" i="8"/>
  <c r="I63" i="8"/>
  <c r="I64" i="8"/>
  <c r="I66" i="8"/>
  <c r="I67" i="8"/>
  <c r="I68" i="8"/>
  <c r="I69" i="8"/>
  <c r="I70" i="8"/>
  <c r="I71" i="8"/>
  <c r="I53" i="8"/>
  <c r="I37" i="8"/>
  <c r="I38" i="8"/>
  <c r="I39" i="8"/>
  <c r="I40" i="8"/>
  <c r="I43" i="8"/>
  <c r="I44" i="8"/>
  <c r="I45" i="8"/>
  <c r="I46" i="8"/>
  <c r="I49" i="8"/>
  <c r="J51" i="8"/>
  <c r="I36" i="8"/>
  <c r="I15" i="8"/>
  <c r="I19" i="8"/>
  <c r="I20" i="8"/>
  <c r="I21" i="8"/>
  <c r="I22" i="8"/>
  <c r="J8" i="8"/>
  <c r="J9" i="8"/>
  <c r="I4" i="8"/>
  <c r="I5" i="8"/>
  <c r="I6" i="8"/>
  <c r="I7" i="8"/>
  <c r="I8" i="8"/>
  <c r="I9" i="8"/>
  <c r="I10" i="8"/>
  <c r="I11" i="8"/>
  <c r="I3" i="8"/>
  <c r="AH38" i="8"/>
  <c r="AG38" i="8"/>
  <c r="AF38" i="8"/>
  <c r="AI37" i="8"/>
  <c r="AH36" i="8"/>
  <c r="AG36" i="8"/>
  <c r="AF36" i="8"/>
  <c r="AI35" i="8"/>
  <c r="AL35" i="8" s="1"/>
  <c r="AI34" i="8"/>
  <c r="AI33" i="8"/>
  <c r="AJ33" i="8" s="1"/>
  <c r="AM33" i="8" s="1"/>
  <c r="AI32" i="8"/>
  <c r="AL32" i="8" s="1"/>
  <c r="AI31" i="8"/>
  <c r="AG30" i="8"/>
  <c r="AF30" i="8"/>
  <c r="AJ29" i="8"/>
  <c r="AM29" i="8" s="1"/>
  <c r="AH28" i="8"/>
  <c r="AI28" i="8" s="1"/>
  <c r="AL28" i="8" s="1"/>
  <c r="AI27" i="8"/>
  <c r="AI26" i="8"/>
  <c r="AL26" i="8" s="1"/>
  <c r="AI25" i="8"/>
  <c r="AL25" i="8" s="1"/>
  <c r="AI24" i="8"/>
  <c r="AJ24" i="8" s="1"/>
  <c r="AM24" i="8" s="1"/>
  <c r="AI23" i="8"/>
  <c r="AL23" i="8" s="1"/>
  <c r="AG21" i="8"/>
  <c r="AF21" i="8"/>
  <c r="AJ20" i="8"/>
  <c r="AM20" i="8" s="1"/>
  <c r="AI20" i="8"/>
  <c r="AH20" i="8" s="1"/>
  <c r="AK20" i="8" s="1"/>
  <c r="AI19" i="8"/>
  <c r="AH19" i="8" s="1"/>
  <c r="AK19" i="8" s="1"/>
  <c r="AJ18" i="8"/>
  <c r="AM18" i="8" s="1"/>
  <c r="AI18" i="8"/>
  <c r="AL18" i="8" s="1"/>
  <c r="AI17" i="8"/>
  <c r="AH17" i="8" s="1"/>
  <c r="AK17" i="8" s="1"/>
  <c r="AI16" i="8"/>
  <c r="AJ16" i="8" s="1"/>
  <c r="AM16" i="8" s="1"/>
  <c r="AI15" i="8"/>
  <c r="AI14" i="8"/>
  <c r="AL14" i="8" s="1"/>
  <c r="AI13" i="8"/>
  <c r="AI12" i="8"/>
  <c r="AJ12" i="8" s="1"/>
  <c r="AM12" i="8" s="1"/>
  <c r="AI11" i="8"/>
  <c r="AH10" i="8"/>
  <c r="AG10" i="8"/>
  <c r="AF10" i="8"/>
  <c r="AI9" i="8"/>
  <c r="AL9" i="8" s="1"/>
  <c r="AI8" i="8"/>
  <c r="AL8" i="8" s="1"/>
  <c r="AI7" i="8"/>
  <c r="AJ7" i="8" s="1"/>
  <c r="AM7" i="8" s="1"/>
  <c r="AI6" i="8"/>
  <c r="AJ6" i="8" s="1"/>
  <c r="AM6" i="8" s="1"/>
  <c r="AI5" i="8"/>
  <c r="AL5" i="8" s="1"/>
  <c r="AI4" i="8"/>
  <c r="AJ4" i="8" s="1"/>
  <c r="AM4" i="8" s="1"/>
  <c r="AI3" i="8"/>
  <c r="AL3" i="8" s="1"/>
  <c r="CJ43" i="8" l="1"/>
  <c r="CJ42" i="8"/>
  <c r="CJ41" i="8"/>
  <c r="CG41" i="8"/>
  <c r="CG43" i="8"/>
  <c r="CG42" i="8"/>
  <c r="CF43" i="8"/>
  <c r="CF42" i="8"/>
  <c r="CF41" i="8"/>
  <c r="CI22" i="8"/>
  <c r="CI39" i="8"/>
  <c r="CM10" i="8"/>
  <c r="CH22" i="8"/>
  <c r="CH39" i="8"/>
  <c r="CN10" i="8"/>
  <c r="CK10" i="8"/>
  <c r="CL10" i="8"/>
  <c r="AG39" i="8"/>
  <c r="AH18" i="8"/>
  <c r="AK18" i="8" s="1"/>
  <c r="AJ5" i="8"/>
  <c r="AM5" i="8" s="1"/>
  <c r="AL12" i="8"/>
  <c r="AL33" i="8"/>
  <c r="AJ14" i="8"/>
  <c r="AM14" i="8" s="1"/>
  <c r="AL24" i="8"/>
  <c r="AI38" i="8"/>
  <c r="AL37" i="8"/>
  <c r="AL38" i="8" s="1"/>
  <c r="AI10" i="8"/>
  <c r="AJ9" i="8"/>
  <c r="AM9" i="8" s="1"/>
  <c r="AJ11" i="8"/>
  <c r="AM11" i="8" s="1"/>
  <c r="AL11" i="8"/>
  <c r="AJ26" i="8"/>
  <c r="AM26" i="8" s="1"/>
  <c r="AJ32" i="8"/>
  <c r="AM32" i="8" s="1"/>
  <c r="AJ37" i="8"/>
  <c r="AJ15" i="8"/>
  <c r="AM15" i="8" s="1"/>
  <c r="AL15" i="8"/>
  <c r="AH15" i="8"/>
  <c r="AK15" i="8" s="1"/>
  <c r="AJ17" i="8"/>
  <c r="AM17" i="8" s="1"/>
  <c r="AL17" i="8"/>
  <c r="AJ27" i="8"/>
  <c r="AM27" i="8" s="1"/>
  <c r="AL27" i="8"/>
  <c r="AL6" i="8"/>
  <c r="AL16" i="8"/>
  <c r="AJ13" i="8"/>
  <c r="AM13" i="8" s="1"/>
  <c r="AL13" i="8"/>
  <c r="AH16" i="8"/>
  <c r="AK16" i="8" s="1"/>
  <c r="AJ19" i="8"/>
  <c r="AM19" i="8" s="1"/>
  <c r="AL19" i="8"/>
  <c r="AJ31" i="8"/>
  <c r="AM31" i="8" s="1"/>
  <c r="AL31" i="8"/>
  <c r="AJ34" i="8"/>
  <c r="AM34" i="8" s="1"/>
  <c r="AL34" i="8"/>
  <c r="AL20" i="8"/>
  <c r="AL7" i="8"/>
  <c r="AK28" i="8"/>
  <c r="AK30" i="8" s="1"/>
  <c r="AF39" i="8"/>
  <c r="AH30" i="8"/>
  <c r="AL4" i="8"/>
  <c r="AL10" i="8" s="1"/>
  <c r="AK10" i="8"/>
  <c r="AK36" i="8"/>
  <c r="AJ28" i="8"/>
  <c r="AM28" i="8" s="1"/>
  <c r="AI30" i="8"/>
  <c r="AJ3" i="8"/>
  <c r="AM3" i="8" s="1"/>
  <c r="AI36" i="8"/>
  <c r="AJ8" i="8"/>
  <c r="AM8" i="8" s="1"/>
  <c r="AI21" i="8"/>
  <c r="AJ25" i="8"/>
  <c r="AM25" i="8" s="1"/>
  <c r="AJ35" i="8"/>
  <c r="AM35" i="8" s="1"/>
  <c r="AF22" i="8"/>
  <c r="AG22" i="8"/>
  <c r="AJ23" i="8"/>
  <c r="AM23" i="8" s="1"/>
  <c r="V29" i="8"/>
  <c r="Y29" i="8" s="1"/>
  <c r="V18" i="8"/>
  <c r="V20" i="8"/>
  <c r="U20" i="8"/>
  <c r="U18" i="8"/>
  <c r="U13" i="8"/>
  <c r="H51" i="8"/>
  <c r="K51" i="8" s="1"/>
  <c r="H16" i="8"/>
  <c r="K16" i="8" s="1"/>
  <c r="H17" i="8"/>
  <c r="H8" i="8"/>
  <c r="K8" i="8" s="1"/>
  <c r="H9" i="8"/>
  <c r="K9" i="8" s="1"/>
  <c r="G7" i="8"/>
  <c r="H24" i="8"/>
  <c r="K24" i="8" s="1"/>
  <c r="H25" i="8"/>
  <c r="K25" i="8" s="1"/>
  <c r="H26" i="8"/>
  <c r="K26" i="8" s="1"/>
  <c r="H27" i="8"/>
  <c r="K27" i="8" s="1"/>
  <c r="H28" i="8"/>
  <c r="K28" i="8" s="1"/>
  <c r="H29" i="8"/>
  <c r="K29" i="8" s="1"/>
  <c r="H30" i="8"/>
  <c r="K30" i="8" s="1"/>
  <c r="H31" i="8"/>
  <c r="K31" i="8" s="1"/>
  <c r="H32" i="8"/>
  <c r="K32" i="8" s="1"/>
  <c r="H33" i="8"/>
  <c r="K33" i="8" s="1"/>
  <c r="H23" i="8"/>
  <c r="K23" i="8" s="1"/>
  <c r="CI42" i="8" l="1"/>
  <c r="CI41" i="8"/>
  <c r="CI43" i="8"/>
  <c r="CH41" i="8"/>
  <c r="CH43" i="8"/>
  <c r="CH42" i="8"/>
  <c r="CM22" i="8"/>
  <c r="CM39" i="8"/>
  <c r="CN22" i="8"/>
  <c r="CN39" i="8"/>
  <c r="CK39" i="8"/>
  <c r="CK22" i="8"/>
  <c r="CL22" i="8"/>
  <c r="CL39" i="8"/>
  <c r="AK21" i="8"/>
  <c r="AK22" i="8" s="1"/>
  <c r="AL21" i="8"/>
  <c r="AL22" i="8" s="1"/>
  <c r="AM21" i="8"/>
  <c r="AH21" i="8"/>
  <c r="AH39" i="8" s="1"/>
  <c r="AL30" i="8"/>
  <c r="AI39" i="8"/>
  <c r="AL36" i="8"/>
  <c r="AM37" i="8"/>
  <c r="AM38" i="8" s="1"/>
  <c r="AJ38" i="8"/>
  <c r="AI22" i="8"/>
  <c r="AJ36" i="8"/>
  <c r="H7" i="8"/>
  <c r="K7" i="8" s="1"/>
  <c r="J7" i="8"/>
  <c r="AJ21" i="8"/>
  <c r="AM30" i="8"/>
  <c r="AJ30" i="8"/>
  <c r="AJ10" i="8"/>
  <c r="AM10" i="8"/>
  <c r="AM36" i="8"/>
  <c r="T18" i="8"/>
  <c r="V13" i="8"/>
  <c r="T20" i="8"/>
  <c r="M13" i="8"/>
  <c r="M12" i="8"/>
  <c r="CK41" i="8" l="1"/>
  <c r="CK43" i="8"/>
  <c r="CK42" i="8"/>
  <c r="CM41" i="8"/>
  <c r="CM43" i="8"/>
  <c r="CM42" i="8"/>
  <c r="CL41" i="8"/>
  <c r="CL43" i="8"/>
  <c r="CL42" i="8"/>
  <c r="CN43" i="8"/>
  <c r="CN42" i="8"/>
  <c r="CN41" i="8"/>
  <c r="CO10" i="8"/>
  <c r="CP10" i="8"/>
  <c r="CS10" i="8"/>
  <c r="AK39" i="8"/>
  <c r="AL39" i="8"/>
  <c r="AL40" i="8" s="1"/>
  <c r="AH22" i="8"/>
  <c r="AJ22" i="8"/>
  <c r="AJ39" i="8"/>
  <c r="AM39" i="8"/>
  <c r="AM22" i="8"/>
  <c r="U11" i="8"/>
  <c r="G21" i="8"/>
  <c r="J21" i="8" s="1"/>
  <c r="G19" i="8"/>
  <c r="J19" i="8" s="1"/>
  <c r="T38" i="8"/>
  <c r="S38" i="8"/>
  <c r="R38" i="8"/>
  <c r="U37" i="8"/>
  <c r="R36" i="8"/>
  <c r="U35" i="8"/>
  <c r="U34" i="8"/>
  <c r="U33" i="8"/>
  <c r="U32" i="8"/>
  <c r="U31" i="8"/>
  <c r="S36" i="8"/>
  <c r="R30" i="8"/>
  <c r="T28" i="8"/>
  <c r="W30" i="8" s="1"/>
  <c r="U27" i="8"/>
  <c r="U26" i="8"/>
  <c r="U25" i="8"/>
  <c r="U24" i="8"/>
  <c r="U23" i="8"/>
  <c r="U19" i="8"/>
  <c r="U17" i="8"/>
  <c r="U16" i="8"/>
  <c r="U15" i="8"/>
  <c r="U14" i="8"/>
  <c r="U12" i="8"/>
  <c r="T10" i="8"/>
  <c r="S10" i="8"/>
  <c r="R10" i="8"/>
  <c r="U9" i="8"/>
  <c r="U8" i="8"/>
  <c r="U7" i="8"/>
  <c r="U6" i="8"/>
  <c r="U5" i="8"/>
  <c r="U4" i="8"/>
  <c r="U3" i="8"/>
  <c r="D77" i="8"/>
  <c r="E77" i="8"/>
  <c r="F77" i="8"/>
  <c r="D72" i="8"/>
  <c r="D52" i="8"/>
  <c r="D12" i="8"/>
  <c r="E12" i="8"/>
  <c r="F12" i="8"/>
  <c r="E55" i="8"/>
  <c r="E13" i="8"/>
  <c r="CS39" i="8" l="1"/>
  <c r="CS22" i="8"/>
  <c r="CR10" i="8"/>
  <c r="CQ10" i="8"/>
  <c r="CO39" i="8"/>
  <c r="CO22" i="8"/>
  <c r="CP22" i="8"/>
  <c r="CP39" i="8"/>
  <c r="DA7" i="8"/>
  <c r="AM40" i="8"/>
  <c r="AN3" i="8"/>
  <c r="AN37" i="8"/>
  <c r="AN31" i="8"/>
  <c r="AN11" i="8"/>
  <c r="AN23" i="8"/>
  <c r="R22" i="8"/>
  <c r="D35" i="8"/>
  <c r="I55" i="8"/>
  <c r="U28" i="8"/>
  <c r="I13" i="8"/>
  <c r="V12" i="8"/>
  <c r="V15" i="8"/>
  <c r="V4" i="8"/>
  <c r="V8" i="8"/>
  <c r="V16" i="8"/>
  <c r="V14" i="8"/>
  <c r="T17" i="8"/>
  <c r="V17" i="8"/>
  <c r="X38" i="8"/>
  <c r="V37" i="8"/>
  <c r="V11" i="8"/>
  <c r="V6" i="8"/>
  <c r="V23" i="8"/>
  <c r="V25" i="8"/>
  <c r="V27" i="8"/>
  <c r="V32" i="8"/>
  <c r="V34" i="8"/>
  <c r="V3" i="8"/>
  <c r="V5" i="8"/>
  <c r="V7" i="8"/>
  <c r="V9" i="8"/>
  <c r="V19" i="8"/>
  <c r="V24" i="8"/>
  <c r="V26" i="8"/>
  <c r="V31" i="8"/>
  <c r="V33" i="8"/>
  <c r="V35" i="8"/>
  <c r="H21" i="8"/>
  <c r="K21" i="8" s="1"/>
  <c r="E72" i="8"/>
  <c r="H19" i="8"/>
  <c r="K19" i="8" s="1"/>
  <c r="T15" i="8"/>
  <c r="T16" i="8"/>
  <c r="T19" i="8"/>
  <c r="T30" i="8"/>
  <c r="R39" i="8"/>
  <c r="D79" i="8"/>
  <c r="S30" i="8"/>
  <c r="U38" i="8"/>
  <c r="U10" i="8"/>
  <c r="S22" i="8"/>
  <c r="T36" i="8"/>
  <c r="G55" i="8"/>
  <c r="J55" i="8" s="1"/>
  <c r="G54" i="8"/>
  <c r="J54" i="8" s="1"/>
  <c r="G16" i="8"/>
  <c r="G60" i="8"/>
  <c r="J60" i="8" s="1"/>
  <c r="G74" i="8"/>
  <c r="J74" i="8" s="1"/>
  <c r="G37" i="8"/>
  <c r="J37" i="8" s="1"/>
  <c r="G36" i="8"/>
  <c r="J36" i="8" s="1"/>
  <c r="G24" i="8"/>
  <c r="G25" i="8"/>
  <c r="J25" i="8" s="1"/>
  <c r="G26" i="8"/>
  <c r="G27" i="8"/>
  <c r="G28" i="8"/>
  <c r="G29" i="8"/>
  <c r="G30" i="8"/>
  <c r="G31" i="8"/>
  <c r="G32" i="8"/>
  <c r="G33" i="8"/>
  <c r="G23" i="8"/>
  <c r="J23" i="8" s="1"/>
  <c r="G20" i="8"/>
  <c r="J20" i="8" s="1"/>
  <c r="E18" i="8"/>
  <c r="G18" i="8"/>
  <c r="H18" i="8" s="1"/>
  <c r="G15" i="8"/>
  <c r="J15" i="8" s="1"/>
  <c r="G13" i="8"/>
  <c r="J13" i="8" s="1"/>
  <c r="G69" i="8"/>
  <c r="J69" i="8" s="1"/>
  <c r="G64" i="8"/>
  <c r="J64" i="8" s="1"/>
  <c r="G70" i="8"/>
  <c r="J70" i="8" s="1"/>
  <c r="F65" i="8"/>
  <c r="I65" i="8" s="1"/>
  <c r="G53" i="8"/>
  <c r="G59" i="8"/>
  <c r="J59" i="8" s="1"/>
  <c r="G57" i="8"/>
  <c r="J57" i="8" s="1"/>
  <c r="G58" i="8"/>
  <c r="J58" i="8" s="1"/>
  <c r="G56" i="8"/>
  <c r="J56" i="8" s="1"/>
  <c r="G61" i="8"/>
  <c r="J61" i="8" s="1"/>
  <c r="G62" i="8"/>
  <c r="J62" i="8" s="1"/>
  <c r="G63" i="8"/>
  <c r="J63" i="8" s="1"/>
  <c r="G66" i="8"/>
  <c r="J66" i="8" s="1"/>
  <c r="G67" i="8"/>
  <c r="J67" i="8" s="1"/>
  <c r="G68" i="8"/>
  <c r="J68" i="8" s="1"/>
  <c r="G71" i="8"/>
  <c r="J71" i="8" s="1"/>
  <c r="G73" i="8"/>
  <c r="G75" i="8"/>
  <c r="J75" i="8" s="1"/>
  <c r="G76" i="8"/>
  <c r="J76" i="8" s="1"/>
  <c r="G78" i="8"/>
  <c r="J78" i="8" s="1"/>
  <c r="F50" i="8"/>
  <c r="F47" i="8"/>
  <c r="I47" i="8" s="1"/>
  <c r="G49" i="8"/>
  <c r="J49" i="8" s="1"/>
  <c r="G45" i="8"/>
  <c r="J45" i="8" s="1"/>
  <c r="G46" i="8"/>
  <c r="J46" i="8" s="1"/>
  <c r="F48" i="8"/>
  <c r="G44" i="8"/>
  <c r="J44" i="8" s="1"/>
  <c r="G43" i="8"/>
  <c r="J43" i="8" s="1"/>
  <c r="E41" i="8"/>
  <c r="G42" i="8"/>
  <c r="H42" i="8" s="1"/>
  <c r="G41" i="8"/>
  <c r="H41" i="8" s="1"/>
  <c r="E42" i="8"/>
  <c r="G40" i="8"/>
  <c r="J40" i="8" s="1"/>
  <c r="G39" i="8"/>
  <c r="J39" i="8" s="1"/>
  <c r="G38" i="8"/>
  <c r="J38" i="8" s="1"/>
  <c r="G22" i="8"/>
  <c r="J22" i="8" s="1"/>
  <c r="E17" i="8"/>
  <c r="E14" i="8"/>
  <c r="G14" i="8"/>
  <c r="H14" i="8" s="1"/>
  <c r="G11" i="8"/>
  <c r="J11" i="8" s="1"/>
  <c r="G10" i="8"/>
  <c r="J10" i="8" s="1"/>
  <c r="G4" i="8"/>
  <c r="J4" i="8" s="1"/>
  <c r="G3" i="8"/>
  <c r="G5" i="8"/>
  <c r="J5" i="8" s="1"/>
  <c r="G6" i="8"/>
  <c r="J6" i="8" s="1"/>
  <c r="CO41" i="8" l="1"/>
  <c r="CO43" i="8"/>
  <c r="CO42" i="8"/>
  <c r="CS41" i="8"/>
  <c r="CS43" i="8"/>
  <c r="CS42" i="8"/>
  <c r="CP41" i="8"/>
  <c r="CP43" i="8"/>
  <c r="CP42" i="8"/>
  <c r="W22" i="8"/>
  <c r="DA6" i="8"/>
  <c r="CV10" i="8"/>
  <c r="DA5" i="8"/>
  <c r="CQ22" i="8"/>
  <c r="CQ39" i="8"/>
  <c r="CR39" i="8"/>
  <c r="CR22" i="8"/>
  <c r="CU10" i="8"/>
  <c r="DA3" i="8"/>
  <c r="CT10" i="8"/>
  <c r="AN39" i="8"/>
  <c r="AN22" i="8"/>
  <c r="U22" i="8"/>
  <c r="V28" i="8"/>
  <c r="H3" i="8"/>
  <c r="K3" i="8" s="1"/>
  <c r="J3" i="8"/>
  <c r="K17" i="8"/>
  <c r="J17" i="8"/>
  <c r="I41" i="8"/>
  <c r="J41" i="8"/>
  <c r="K41" i="8"/>
  <c r="G50" i="8"/>
  <c r="J50" i="8" s="1"/>
  <c r="I50" i="8"/>
  <c r="H73" i="8"/>
  <c r="J73" i="8"/>
  <c r="H53" i="8"/>
  <c r="J53" i="8"/>
  <c r="J18" i="8"/>
  <c r="I18" i="8"/>
  <c r="K18" i="8"/>
  <c r="F32" i="8"/>
  <c r="I32" i="8" s="1"/>
  <c r="J32" i="8"/>
  <c r="F28" i="8"/>
  <c r="I28" i="8" s="1"/>
  <c r="J28" i="8"/>
  <c r="F24" i="8"/>
  <c r="I24" i="8" s="1"/>
  <c r="J24" i="8"/>
  <c r="I42" i="8"/>
  <c r="J42" i="8"/>
  <c r="K42" i="8"/>
  <c r="F31" i="8"/>
  <c r="I31" i="8" s="1"/>
  <c r="J31" i="8"/>
  <c r="F27" i="8"/>
  <c r="I27" i="8" s="1"/>
  <c r="J27" i="8"/>
  <c r="F16" i="8"/>
  <c r="I16" i="8" s="1"/>
  <c r="J16" i="8"/>
  <c r="F30" i="8"/>
  <c r="I30" i="8" s="1"/>
  <c r="J30" i="8"/>
  <c r="F26" i="8"/>
  <c r="I26" i="8" s="1"/>
  <c r="J26" i="8"/>
  <c r="I14" i="8"/>
  <c r="J14" i="8"/>
  <c r="K14" i="8"/>
  <c r="G48" i="8"/>
  <c r="J48" i="8" s="1"/>
  <c r="I48" i="8"/>
  <c r="F33" i="8"/>
  <c r="I33" i="8" s="1"/>
  <c r="J33" i="8"/>
  <c r="F29" i="8"/>
  <c r="I29" i="8" s="1"/>
  <c r="J29" i="8"/>
  <c r="X10" i="8"/>
  <c r="V36" i="8"/>
  <c r="Y36" i="8"/>
  <c r="V10" i="8"/>
  <c r="Y10" i="8"/>
  <c r="V38" i="8"/>
  <c r="Y38" i="8"/>
  <c r="H76" i="8"/>
  <c r="K76" i="8" s="1"/>
  <c r="H57" i="8"/>
  <c r="K57" i="8" s="1"/>
  <c r="H74" i="8"/>
  <c r="K74" i="8" s="1"/>
  <c r="H55" i="8"/>
  <c r="K55" i="8" s="1"/>
  <c r="H22" i="8"/>
  <c r="K22" i="8" s="1"/>
  <c r="H43" i="8"/>
  <c r="K43" i="8" s="1"/>
  <c r="H78" i="8"/>
  <c r="H63" i="8"/>
  <c r="K63" i="8" s="1"/>
  <c r="H37" i="8"/>
  <c r="K37" i="8" s="1"/>
  <c r="H4" i="8"/>
  <c r="K4" i="8" s="1"/>
  <c r="H38" i="8"/>
  <c r="K38" i="8" s="1"/>
  <c r="H49" i="8"/>
  <c r="K49" i="8" s="1"/>
  <c r="H62" i="8"/>
  <c r="K62" i="8" s="1"/>
  <c r="H6" i="8"/>
  <c r="K6" i="8" s="1"/>
  <c r="H75" i="8"/>
  <c r="K75" i="8" s="1"/>
  <c r="H67" i="8"/>
  <c r="K67" i="8" s="1"/>
  <c r="H61" i="8"/>
  <c r="K61" i="8" s="1"/>
  <c r="H59" i="8"/>
  <c r="K59" i="8" s="1"/>
  <c r="H64" i="8"/>
  <c r="K64" i="8" s="1"/>
  <c r="H13" i="8"/>
  <c r="K13" i="8" s="1"/>
  <c r="H20" i="8"/>
  <c r="K20" i="8" s="1"/>
  <c r="H36" i="8"/>
  <c r="K36" i="8" s="1"/>
  <c r="H60" i="8"/>
  <c r="K60" i="8" s="1"/>
  <c r="H45" i="8"/>
  <c r="K45" i="8" s="1"/>
  <c r="H71" i="8"/>
  <c r="K71" i="8" s="1"/>
  <c r="H58" i="8"/>
  <c r="K58" i="8" s="1"/>
  <c r="H54" i="8"/>
  <c r="K54" i="8" s="1"/>
  <c r="H44" i="8"/>
  <c r="K44" i="8" s="1"/>
  <c r="H68" i="8"/>
  <c r="K68" i="8" s="1"/>
  <c r="H70" i="8"/>
  <c r="K70" i="8" s="1"/>
  <c r="H10" i="8"/>
  <c r="K10" i="8" s="1"/>
  <c r="H39" i="8"/>
  <c r="K39" i="8" s="1"/>
  <c r="H5" i="8"/>
  <c r="K5" i="8" s="1"/>
  <c r="H11" i="8"/>
  <c r="K11" i="8" s="1"/>
  <c r="H40" i="8"/>
  <c r="K40" i="8" s="1"/>
  <c r="H46" i="8"/>
  <c r="K46" i="8" s="1"/>
  <c r="H66" i="8"/>
  <c r="K66" i="8" s="1"/>
  <c r="H56" i="8"/>
  <c r="K56" i="8" s="1"/>
  <c r="H69" i="8"/>
  <c r="K69" i="8" s="1"/>
  <c r="H15" i="8"/>
  <c r="K15" i="8" s="1"/>
  <c r="S39" i="8"/>
  <c r="X30" i="8"/>
  <c r="E52" i="8"/>
  <c r="F23" i="8"/>
  <c r="I23" i="8" s="1"/>
  <c r="G12" i="8"/>
  <c r="I77" i="8"/>
  <c r="G34" i="8"/>
  <c r="U30" i="8"/>
  <c r="G77" i="8"/>
  <c r="I72" i="8"/>
  <c r="F72" i="8"/>
  <c r="E34" i="8"/>
  <c r="E35" i="8" s="1"/>
  <c r="G47" i="8"/>
  <c r="J47" i="8" s="1"/>
  <c r="F52" i="8"/>
  <c r="G65" i="8"/>
  <c r="J65" i="8" s="1"/>
  <c r="X36" i="8"/>
  <c r="U36" i="8"/>
  <c r="I12" i="8"/>
  <c r="F25" i="8"/>
  <c r="I25" i="8" s="1"/>
  <c r="CQ41" i="8" l="1"/>
  <c r="CQ43" i="8"/>
  <c r="CQ42" i="8"/>
  <c r="CR43" i="8"/>
  <c r="CR42" i="8"/>
  <c r="CR41" i="8"/>
  <c r="Y30" i="8"/>
  <c r="Y39" i="8" s="1"/>
  <c r="CW10" i="8"/>
  <c r="CU22" i="8"/>
  <c r="CU39" i="8"/>
  <c r="CY10" i="8"/>
  <c r="CX10" i="8"/>
  <c r="CV22" i="8"/>
  <c r="CV39" i="8"/>
  <c r="DA8" i="8"/>
  <c r="CT22" i="8"/>
  <c r="CT39" i="8"/>
  <c r="DA9" i="8"/>
  <c r="H48" i="8"/>
  <c r="K48" i="8" s="1"/>
  <c r="K53" i="8"/>
  <c r="H50" i="8"/>
  <c r="K50" i="8" s="1"/>
  <c r="G35" i="8"/>
  <c r="K73" i="8"/>
  <c r="H77" i="8"/>
  <c r="K78" i="8"/>
  <c r="H79" i="8"/>
  <c r="J34" i="8"/>
  <c r="V22" i="8"/>
  <c r="I34" i="8"/>
  <c r="I35" i="8" s="1"/>
  <c r="V30" i="8"/>
  <c r="V39" i="8" s="1"/>
  <c r="T39" i="8"/>
  <c r="T22" i="8"/>
  <c r="K34" i="8"/>
  <c r="X22" i="8"/>
  <c r="Y22" i="8"/>
  <c r="K77" i="8"/>
  <c r="W39" i="8"/>
  <c r="J52" i="8"/>
  <c r="H47" i="8"/>
  <c r="K47" i="8" s="1"/>
  <c r="H12" i="8"/>
  <c r="K12" i="8"/>
  <c r="H34" i="8"/>
  <c r="J72" i="8"/>
  <c r="H65" i="8"/>
  <c r="H72" i="8" s="1"/>
  <c r="J77" i="8"/>
  <c r="J12" i="8"/>
  <c r="E79" i="8"/>
  <c r="G52" i="8"/>
  <c r="U39" i="8"/>
  <c r="F34" i="8"/>
  <c r="X39" i="8"/>
  <c r="G72" i="8"/>
  <c r="I52" i="8"/>
  <c r="CT41" i="8" l="1"/>
  <c r="CT43" i="8"/>
  <c r="CT42" i="8"/>
  <c r="CV43" i="8"/>
  <c r="CV42" i="8"/>
  <c r="CV41" i="8"/>
  <c r="CU42" i="8"/>
  <c r="CU41" i="8"/>
  <c r="CU43" i="8"/>
  <c r="CW39" i="8"/>
  <c r="CW22" i="8"/>
  <c r="CY22" i="8"/>
  <c r="CY39" i="8"/>
  <c r="DA4" i="8"/>
  <c r="DA10" i="8" s="1"/>
  <c r="CZ10" i="8"/>
  <c r="CX22" i="8"/>
  <c r="CX39" i="8"/>
  <c r="J35" i="8"/>
  <c r="H35" i="8"/>
  <c r="Z31" i="8"/>
  <c r="Z11" i="8"/>
  <c r="Z23" i="8"/>
  <c r="Z37" i="8"/>
  <c r="Z3" i="8"/>
  <c r="F79" i="8"/>
  <c r="F35" i="8"/>
  <c r="K35" i="8"/>
  <c r="K65" i="8"/>
  <c r="K72" i="8" s="1"/>
  <c r="H52" i="8"/>
  <c r="G79" i="8"/>
  <c r="K52" i="8"/>
  <c r="J79" i="8"/>
  <c r="J80" i="8" s="1"/>
  <c r="I79" i="8"/>
  <c r="E22" i="7"/>
  <c r="S18" i="7"/>
  <c r="K19" i="7" s="1"/>
  <c r="R18" i="7"/>
  <c r="G32" i="4"/>
  <c r="G26" i="4"/>
  <c r="G25" i="4"/>
  <c r="G21" i="4"/>
  <c r="H13" i="4"/>
  <c r="G13" i="4"/>
  <c r="G8" i="4"/>
  <c r="H31" i="4"/>
  <c r="H32" i="4" s="1"/>
  <c r="H30" i="4"/>
  <c r="H29" i="4"/>
  <c r="H28" i="4"/>
  <c r="H24" i="4"/>
  <c r="H23" i="4"/>
  <c r="H22" i="4"/>
  <c r="H25" i="4" s="1"/>
  <c r="H20" i="4"/>
  <c r="H19" i="4"/>
  <c r="H18" i="4"/>
  <c r="H17" i="4"/>
  <c r="H16" i="4"/>
  <c r="H15" i="4"/>
  <c r="H12" i="4"/>
  <c r="H11" i="4"/>
  <c r="H10" i="4"/>
  <c r="H7" i="4"/>
  <c r="H6" i="4"/>
  <c r="H5" i="4"/>
  <c r="H8" i="4" s="1"/>
  <c r="K16" i="7" l="1"/>
  <c r="K20" i="7" s="1"/>
  <c r="K21" i="7" s="1"/>
  <c r="G22" i="7"/>
  <c r="CY42" i="8"/>
  <c r="CY41" i="8"/>
  <c r="CY43" i="8"/>
  <c r="CX42" i="8"/>
  <c r="CX41" i="8"/>
  <c r="CX43" i="8"/>
  <c r="CW42" i="8"/>
  <c r="CW41" i="8"/>
  <c r="CW43" i="8"/>
  <c r="CZ39" i="8"/>
  <c r="CZ22" i="8"/>
  <c r="DA22" i="8"/>
  <c r="DA39" i="8"/>
  <c r="Z22" i="8"/>
  <c r="Z39" i="8"/>
  <c r="K79" i="8"/>
  <c r="H21" i="4"/>
  <c r="H26" i="4" s="1"/>
  <c r="H33" i="4" s="1"/>
  <c r="DA42" i="8" l="1"/>
  <c r="DA41" i="8"/>
  <c r="DA43" i="8"/>
  <c r="CZ43" i="8"/>
  <c r="CZ42" i="8"/>
  <c r="CZ41" i="8"/>
  <c r="K80" i="8"/>
  <c r="L73" i="8"/>
  <c r="L13" i="8"/>
  <c r="L3" i="8"/>
  <c r="L36" i="8"/>
  <c r="L53" i="8"/>
  <c r="L79" i="8" l="1"/>
  <c r="L3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CristianM</author>
  </authors>
  <commentList>
    <comment ref="H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V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AJ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S18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AG1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AU18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CB18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E27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1,5 V</t>
        </r>
      </text>
    </comment>
    <comment ref="E3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F49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Se usa 1 hora 1 vez cada 15 días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CristianM</author>
  </authors>
  <commentList>
    <comment ref="H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V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AJ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4,3 semanas  en un mes teniendo en cuenta que al año son 52 semanas legalmente</t>
        </r>
      </text>
    </comment>
    <comment ref="S17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AG18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AU18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CB18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E27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CristianM:</t>
        </r>
        <r>
          <rPr>
            <sz val="9"/>
            <color indexed="81"/>
            <rFont val="Tahoma"/>
            <family val="2"/>
          </rPr>
          <t xml:space="preserve">
1,5 V</t>
        </r>
      </text>
    </comment>
    <comment ref="E31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 xml:space="preserve">Datos de https://www.solerpalau.com/es-es/extractores-de-bano-edm-647-serie/#product_section_description
</t>
        </r>
      </text>
    </comment>
    <comment ref="F4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Se usa 1 hora 1 vez cada 15 días</t>
        </r>
      </text>
    </comment>
  </commentList>
</comments>
</file>

<file path=xl/sharedStrings.xml><?xml version="1.0" encoding="utf-8"?>
<sst xmlns="http://schemas.openxmlformats.org/spreadsheetml/2006/main" count="3827" uniqueCount="787">
  <si>
    <t>2.1</t>
  </si>
  <si>
    <t>2.2</t>
  </si>
  <si>
    <t>2.3</t>
  </si>
  <si>
    <t>3.1</t>
  </si>
  <si>
    <t>3.2</t>
  </si>
  <si>
    <t>3.3</t>
  </si>
  <si>
    <t>4.2</t>
  </si>
  <si>
    <t>4.1</t>
  </si>
  <si>
    <t>4.3</t>
  </si>
  <si>
    <t>ACTIVIDADES</t>
  </si>
  <si>
    <t>TIEMPO DE EJECUCIÓN (SEMANAS)</t>
  </si>
  <si>
    <t>RECURSOS</t>
  </si>
  <si>
    <t>DESCRIPCIÓN</t>
  </si>
  <si>
    <t>CANTIDAD</t>
  </si>
  <si>
    <t>TIEMPO</t>
  </si>
  <si>
    <t>FUNCIÓN</t>
  </si>
  <si>
    <t>HUMANOS</t>
  </si>
  <si>
    <t>Estudiante</t>
  </si>
  <si>
    <t>Director</t>
  </si>
  <si>
    <t>Funcionario edificio Transcoop</t>
  </si>
  <si>
    <t>Administrador Ambiental</t>
  </si>
  <si>
    <t>Doctor en bioética</t>
  </si>
  <si>
    <t>Administrador del edifício</t>
  </si>
  <si>
    <t>Permanente</t>
  </si>
  <si>
    <t>Ocasional</t>
  </si>
  <si>
    <t>FÍSICOS</t>
  </si>
  <si>
    <t>Instalaciones edificio Transcoop</t>
  </si>
  <si>
    <t xml:space="preserve">Ubicado en la carrera 13 ° 23-16 de la ciudad de Bogotá </t>
  </si>
  <si>
    <t>Residencia del estudiante</t>
  </si>
  <si>
    <t>Ubicada en la carrera 87 I Bis N° 58 c 61 sur de la ciudad de Bogotá</t>
  </si>
  <si>
    <t>Biblioteca</t>
  </si>
  <si>
    <t>Ubicada en el 3° piso de la Sede FAMARENA de la UDFJC</t>
  </si>
  <si>
    <t>MATERIALES</t>
  </si>
  <si>
    <t>° Brinda orientación en la formulación, desarrollo y ejecución del proyecto
° Aporta sus conocimientos en la materia para la estructuración adecuada para la aplicación de las metodologías y métodos de evaluación y seguimiento de los objetivos del proyecto
° Identifica los errores que se puedan presentar en cualquiera de las fases del proyecto</t>
  </si>
  <si>
    <t>° Brinda acceso a las instalaciones del edifício
° Acompaña las visitas a las instalaciones 
° Aporta y facilita la información que este a su alcance de ser solicitada</t>
  </si>
  <si>
    <t>° Formula y desarrolla el proyecto</t>
  </si>
  <si>
    <t>° Es el lugar donde se aplicará el proyecto</t>
  </si>
  <si>
    <t>° Es el lugar donde se compila y analiza toda la información recolectada</t>
  </si>
  <si>
    <t>° Lugar donde se buscará información en relación al proyecto y en dadas ocasiones se realizaran ajustes del mismo</t>
  </si>
  <si>
    <t>Fotocopias</t>
  </si>
  <si>
    <t>Impresiones</t>
  </si>
  <si>
    <t>Escritorio</t>
  </si>
  <si>
    <t>Silla</t>
  </si>
  <si>
    <t>Cuaderno de apuntes</t>
  </si>
  <si>
    <t>Esferos</t>
  </si>
  <si>
    <t>Computador portátil</t>
  </si>
  <si>
    <t>Memoria USB</t>
  </si>
  <si>
    <t>Papelería</t>
  </si>
  <si>
    <t>Tecnológicos</t>
  </si>
  <si>
    <t>SERVICIOS</t>
  </si>
  <si>
    <t>Celular</t>
  </si>
  <si>
    <t>Internet (Mes)</t>
  </si>
  <si>
    <t>Transporte público (Pasajes)</t>
  </si>
  <si>
    <t>Celular (Minutos)</t>
  </si>
  <si>
    <t>° Artículos relevantes al proyecto y avances del proyecto</t>
  </si>
  <si>
    <t>° Metodologías aplicables al proyecto</t>
  </si>
  <si>
    <t>° Para el apoyo de los instrumentos y materiales de trabajo</t>
  </si>
  <si>
    <t>° Para el descanso de la persona que se encuentra desarrollando el proyecto</t>
  </si>
  <si>
    <t>° Como referencia a los apuntes de las clases</t>
  </si>
  <si>
    <t>° Para la toma de apuntes y sugerencias</t>
  </si>
  <si>
    <t>° Herramienta en la cual se desarrrollará todo el proyecto</t>
  </si>
  <si>
    <t>° Para el transporte y transferencia de archivos con relación al proyecto</t>
  </si>
  <si>
    <t>° Para el contacto con las partes del proyecto (director y funcionario del edificio Transcoop</t>
  </si>
  <si>
    <t>° Para el funcionamiento del computador, la luz al trabajar en la noche y el funcionamiento del internet</t>
  </si>
  <si>
    <t xml:space="preserve">° Para la busqueda de información </t>
  </si>
  <si>
    <t>° Para los desplazamientos de ida y vuelta destinados a las tutorias con el director de la monografia y las visitas al edificio Transcoop</t>
  </si>
  <si>
    <t>° Destinados a contactar al director de la monografía y la funcionaria del edificio Transcoop</t>
  </si>
  <si>
    <t>Energía eléctrica estrato 2 (Mes)</t>
  </si>
  <si>
    <t>Total Proyecto</t>
  </si>
  <si>
    <t>Actividades</t>
  </si>
  <si>
    <t>1. Elaborar un estudio técnico orientado a la implementación del sistema de celdas de combustible PEM a base de Hidrógeno en el edificio Transcoop</t>
  </si>
  <si>
    <t>3. Realizar un análisis costo-beneficio de la implementación de un nuevo sistema de abastecimiento eléctrico por celdas de combustible PEM a base de Hidrógeno evaluado en el sistema de iluminación del edificio Transcoop</t>
  </si>
  <si>
    <t>Instrumentos</t>
  </si>
  <si>
    <t>Análisis Costo - Beneficio (RCB)</t>
  </si>
  <si>
    <t>Aprobación del anteproyecto</t>
  </si>
  <si>
    <t>Elaboración de un Estudio Técnico</t>
  </si>
  <si>
    <t xml:space="preserve"> Determinar la localización optima del proyecto</t>
  </si>
  <si>
    <t>Determinar el tamaño optimo del proyecto</t>
  </si>
  <si>
    <t>Identificar y seleccionar tecnologías</t>
  </si>
  <si>
    <t>Analizar la disponibilidad y el costo de los suministros e insumos</t>
  </si>
  <si>
    <t>Identificar y describir los procesos</t>
  </si>
  <si>
    <t>Determinar los tiempos de los procesos</t>
  </si>
  <si>
    <t>Determinar la ruta crítica</t>
  </si>
  <si>
    <t>Identificar y describir los equipos e instalaciones</t>
  </si>
  <si>
    <t>Identificar la distribución de la planta</t>
  </si>
  <si>
    <t>Determinar la organización humana y jurídica que se requiere para la correcta operación del proyecto</t>
  </si>
  <si>
    <t>° Elaborar la línea base del proyecto
° Identificar las áreas de significancia
° Identificar, calificar, priorizar y analizar los impactos</t>
  </si>
  <si>
    <t>Elaborar la línea base del proyecto</t>
  </si>
  <si>
    <t>Identificar las áreas de significancia</t>
  </si>
  <si>
    <t>Identificar los impactos</t>
  </si>
  <si>
    <t>Calificar los impactos</t>
  </si>
  <si>
    <t>Priorizar los impactos</t>
  </si>
  <si>
    <t>Analizar los impactos</t>
  </si>
  <si>
    <t>2.4</t>
  </si>
  <si>
    <t>2.5</t>
  </si>
  <si>
    <t>2.6</t>
  </si>
  <si>
    <t>Realizar un análisis costo - beneficio</t>
  </si>
  <si>
    <t>Elaborar los flujos de caja de cada alternativa</t>
  </si>
  <si>
    <t>Determinar el valor presente de los beneficios</t>
  </si>
  <si>
    <t>Determinar el valor presente de los costos</t>
  </si>
  <si>
    <t>Calcular los indicadores de decisión: RCB, VPN, TIR y PAYBACK</t>
  </si>
  <si>
    <t>° Elaborar los flujos de caja de cada alternativa
° Determinar el valor presente de los beneficios
° Determinar el valor presente de los costos
° Calcular los indicadores de decisión: RCB, VPN, TIR y PAYBACK</t>
  </si>
  <si>
    <t>3.4</t>
  </si>
  <si>
    <t>Socialización del trabajo</t>
  </si>
  <si>
    <t>Análisis de los resultados</t>
  </si>
  <si>
    <t>Elaboración de las conclusiones y recomendaciones</t>
  </si>
  <si>
    <t>2.7</t>
  </si>
  <si>
    <t>2.8</t>
  </si>
  <si>
    <t>2.9</t>
  </si>
  <si>
    <t>2.10</t>
  </si>
  <si>
    <t>2.11</t>
  </si>
  <si>
    <t>3.5</t>
  </si>
  <si>
    <t>3.6</t>
  </si>
  <si>
    <t>4.4</t>
  </si>
  <si>
    <t xml:space="preserve"> Ubicar el sector de la organización</t>
  </si>
  <si>
    <t xml:space="preserve">2. Determinar el cambio en la calidad ambiental por la implementación de un nuevo sistema de abastecimiento de energía en al edificio Transcoop </t>
  </si>
  <si>
    <t>Mes 1</t>
  </si>
  <si>
    <t>Mes 2</t>
  </si>
  <si>
    <t>Mes 3</t>
  </si>
  <si>
    <t>Mes 4</t>
  </si>
  <si>
    <t>Mes 5</t>
  </si>
  <si>
    <t>Mes 6</t>
  </si>
  <si>
    <t>VALOR UNITARIO ($ PESOS)</t>
  </si>
  <si>
    <t>VALOR TOTAL ($ PESOS)</t>
  </si>
  <si>
    <t>UNIDADES</t>
  </si>
  <si>
    <t>Persona</t>
  </si>
  <si>
    <t>Unidad</t>
  </si>
  <si>
    <t>Mes</t>
  </si>
  <si>
    <t>Pasajes</t>
  </si>
  <si>
    <t>Minutos</t>
  </si>
  <si>
    <t xml:space="preserve">Energía eléctrica estrato 2 </t>
  </si>
  <si>
    <t xml:space="preserve">Transporte público </t>
  </si>
  <si>
    <t xml:space="preserve">Celular </t>
  </si>
  <si>
    <t>Internet estrato 2</t>
  </si>
  <si>
    <t>Celdas de Hidrógeno PEM</t>
  </si>
  <si>
    <t>1 Kw = 1000 W</t>
  </si>
  <si>
    <t xml:space="preserve">De </t>
  </si>
  <si>
    <t>Hasta</t>
  </si>
  <si>
    <t>N° Kwh</t>
  </si>
  <si>
    <t>Valor Kwh</t>
  </si>
  <si>
    <t>DIC</t>
  </si>
  <si>
    <t>PROMEDIO</t>
  </si>
  <si>
    <t>03/052017</t>
  </si>
  <si>
    <t>N° m3</t>
  </si>
  <si>
    <t>Valor m3</t>
  </si>
  <si>
    <t>Valor Factura</t>
  </si>
  <si>
    <t>Abril</t>
  </si>
  <si>
    <t>Junio</t>
  </si>
  <si>
    <t>Agosto</t>
  </si>
  <si>
    <t>Octubre</t>
  </si>
  <si>
    <t>Facturación con promedio</t>
  </si>
  <si>
    <t>Diciembre</t>
  </si>
  <si>
    <t>1 -10</t>
  </si>
  <si>
    <t>Se asigna un puntaje menor a la mejor opción</t>
  </si>
  <si>
    <t>PISO 1</t>
  </si>
  <si>
    <t>PISO 2</t>
  </si>
  <si>
    <t>PISO 3</t>
  </si>
  <si>
    <t>PISO 4</t>
  </si>
  <si>
    <t>TOTAL</t>
  </si>
  <si>
    <t>CONSUMO PROMEDIO EDIFICIO Kwh/mes</t>
  </si>
  <si>
    <t>CONSUMO MENSUAL DE ENERGÍA TRANSCOOP (PISO 1)</t>
  </si>
  <si>
    <t>CONSUMO MENSUAL DE ENERGÍA TRANSCOOP (AP 400)</t>
  </si>
  <si>
    <t>CONSUMO MENSUAL DE AGUA TRANSCOOP LOCAL 1</t>
  </si>
  <si>
    <t>Kwh/ HORA</t>
  </si>
  <si>
    <t>Potencia nominal</t>
  </si>
  <si>
    <t>Eficiencia</t>
  </si>
  <si>
    <t>Pureza de hidrógeno</t>
  </si>
  <si>
    <t>Presión de hidrógeno</t>
  </si>
  <si>
    <t>Hidrógeno consumo</t>
  </si>
  <si>
    <t>Temperatura ambiente de trabajo</t>
  </si>
  <si>
    <t>Precio</t>
  </si>
  <si>
    <t>Humedad de trabajo</t>
  </si>
  <si>
    <t>Corriente nominal corriente de salida</t>
  </si>
  <si>
    <t>Marca</t>
  </si>
  <si>
    <t>Voltaje nominal/ Tensión de salida</t>
  </si>
  <si>
    <t>Peso</t>
  </si>
  <si>
    <t>Rango de voltaje DC</t>
  </si>
  <si>
    <t>Temperatura de almacenamiento</t>
  </si>
  <si>
    <t>Modelo</t>
  </si>
  <si>
    <t>LUGAR</t>
  </si>
  <si>
    <t>ELECTRODOMÉSTICO</t>
  </si>
  <si>
    <t>CANTIDAD/UNIDAD</t>
  </si>
  <si>
    <t>TIEMPO USADO (HORAS)/DÍA</t>
  </si>
  <si>
    <t>TIEMPO USADO (HORAS)/SEMANA</t>
  </si>
  <si>
    <t>Salón principal</t>
  </si>
  <si>
    <t>Salón posterior</t>
  </si>
  <si>
    <t>Cocina</t>
  </si>
  <si>
    <t>Baño 1</t>
  </si>
  <si>
    <t>Baño 2</t>
  </si>
  <si>
    <t>Cuarto de almacenamiento</t>
  </si>
  <si>
    <t>Baño</t>
  </si>
  <si>
    <t>Oficina</t>
  </si>
  <si>
    <t>Baño oficina</t>
  </si>
  <si>
    <t>Pasillo</t>
  </si>
  <si>
    <t>Salón de reuniones</t>
  </si>
  <si>
    <t>Piso 1</t>
  </si>
  <si>
    <t>Mezzanine</t>
  </si>
  <si>
    <t>Patio cubierto</t>
  </si>
  <si>
    <t>Piso 3</t>
  </si>
  <si>
    <t>Piso 2</t>
  </si>
  <si>
    <t>Piso 4</t>
  </si>
  <si>
    <t>Terraza</t>
  </si>
  <si>
    <t>Computador</t>
  </si>
  <si>
    <t>Equipo de sonido</t>
  </si>
  <si>
    <t>Televisor</t>
  </si>
  <si>
    <t>Bombillo LED largo</t>
  </si>
  <si>
    <t>Baño SC</t>
  </si>
  <si>
    <t>Bafle "Peavey"</t>
  </si>
  <si>
    <t>Consola de sonido</t>
  </si>
  <si>
    <t>Tablero de salida</t>
  </si>
  <si>
    <t>Telefono "Panasonic"</t>
  </si>
  <si>
    <t>Bombillo LED circular</t>
  </si>
  <si>
    <t>Bombillo LED</t>
  </si>
  <si>
    <t>Cuarto 1 (Apto)</t>
  </si>
  <si>
    <t>Impresora blanca</t>
  </si>
  <si>
    <t>no funciona</t>
  </si>
  <si>
    <t>Impresora con escaner negra</t>
  </si>
  <si>
    <t>Entrada</t>
  </si>
  <si>
    <t>Apartamento</t>
  </si>
  <si>
    <t>Televisor LCD</t>
  </si>
  <si>
    <t>Parlantes de sonido</t>
  </si>
  <si>
    <t>Nevera</t>
  </si>
  <si>
    <t>Bombillos LED Largos</t>
  </si>
  <si>
    <t>Bombillos LED Cortos</t>
  </si>
  <si>
    <t>Cafetera</t>
  </si>
  <si>
    <t>Lavadora</t>
  </si>
  <si>
    <t>Sanduchera</t>
  </si>
  <si>
    <t>Ducha eléctrica</t>
  </si>
  <si>
    <t>Cuarto</t>
  </si>
  <si>
    <t>DVD</t>
  </si>
  <si>
    <t>Modem TDT</t>
  </si>
  <si>
    <t>Tocadiscos</t>
  </si>
  <si>
    <t>Bafle</t>
  </si>
  <si>
    <t>Plancha</t>
  </si>
  <si>
    <t>Radiola</t>
  </si>
  <si>
    <t>Radio</t>
  </si>
  <si>
    <t xml:space="preserve">Licuadora </t>
  </si>
  <si>
    <t>Cuarto 2</t>
  </si>
  <si>
    <t>DVD SONY</t>
  </si>
  <si>
    <t>Tablero mando sonido</t>
  </si>
  <si>
    <t>Transistor</t>
  </si>
  <si>
    <t>Estufa eléctrica</t>
  </si>
  <si>
    <t>Bomillo LED largo</t>
  </si>
  <si>
    <t>http://ecosanmartin.com/blog/ahorres</t>
  </si>
  <si>
    <t>https://www.solerpalau.com/es-es/extractores-de-bano-edm-647-serie/#product_section_description</t>
  </si>
  <si>
    <t>http://www.leroymerlin.es/productos/banos/sanitarios/extractores_de_bano/como-elegir-extractores-de-bano</t>
  </si>
  <si>
    <t>https://www.solerpalau.com/es-es/extractores-de-bano-edm-200-t-z-220-240v-50hz-re/</t>
  </si>
  <si>
    <t>Extractor automático</t>
  </si>
  <si>
    <t>Microfono de mesa (a pilas)</t>
  </si>
  <si>
    <t>https://articulo.mercadolibre.com.ar/MLA-681157158-microfono-yamaha-dinamico-cable-3-metros-_JM</t>
  </si>
  <si>
    <t>Bombillo LED redondo grande</t>
  </si>
  <si>
    <t>Bombillo LED corto</t>
  </si>
  <si>
    <t>Bombillos Sylvania</t>
  </si>
  <si>
    <t>http://www.nalelectricos.com.co/archivos/Nacional-de-electricos-catalogo-Sylvania-Iluminacion-Eficiente.pdf</t>
  </si>
  <si>
    <t>http://www.cens.com.co/simulador/index.html#</t>
  </si>
  <si>
    <t>Microfono "YAMMAHA"</t>
  </si>
  <si>
    <t>Microfono YAMMAHA</t>
  </si>
  <si>
    <t>Aparatos electronicos</t>
  </si>
  <si>
    <t>SISTEMA DE ILUMINACIÓN</t>
  </si>
  <si>
    <t>Subtotal</t>
  </si>
  <si>
    <t>http://www.redusers.com/noticias/cual-es-el-consumo-electrico-de-nuestros-equipos-electronicos/</t>
  </si>
  <si>
    <t>Portería</t>
  </si>
  <si>
    <t>Almacén portería</t>
  </si>
  <si>
    <t>Bombillo incandescente</t>
  </si>
  <si>
    <t>Bombillo incandescente (Sensor de movimiento)</t>
  </si>
  <si>
    <t xml:space="preserve">Bombillo incandescente </t>
  </si>
  <si>
    <t>Manual de eficiencia energética de la UNME</t>
  </si>
  <si>
    <t>POTENCIA Watt</t>
  </si>
  <si>
    <t>especificaciones tecnicas de los equipos</t>
  </si>
  <si>
    <t>aforo</t>
  </si>
  <si>
    <t>TOTAL CONSUMO Watt/DÍA</t>
  </si>
  <si>
    <t>TIEMPO USADO (HORAS)/MES</t>
  </si>
  <si>
    <t>TOTAL CONSUMO Watt/MES</t>
  </si>
  <si>
    <t>TOTAL CONSUMO Watt/SEMANA</t>
  </si>
  <si>
    <t>Total Piso 1</t>
  </si>
  <si>
    <t>SISTEMA DE ILUMINACIÓN (CAPACIDAD INSTALADA)</t>
  </si>
  <si>
    <t>CONSUMO ELÉCTRICO</t>
  </si>
  <si>
    <t>% CONSUMO</t>
  </si>
  <si>
    <t>CONSUMO MENSUAL DE ENERGÍA TRANSCOOP (AP 300)</t>
  </si>
  <si>
    <t>Fabricante</t>
  </si>
  <si>
    <t>Referencia</t>
  </si>
  <si>
    <t>Especificaciones técnicas</t>
  </si>
  <si>
    <t>Producto</t>
  </si>
  <si>
    <t>Almacenamiento de hidrógeno 2400PSI</t>
  </si>
  <si>
    <t>6CyI300</t>
  </si>
  <si>
    <t>3CyI80</t>
  </si>
  <si>
    <t>5CyI80</t>
  </si>
  <si>
    <t>8kWh</t>
  </si>
  <si>
    <t>13kWh</t>
  </si>
  <si>
    <t>54kWh</t>
  </si>
  <si>
    <t xml:space="preserve">Murcia de proyectos. 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</si>
  <si>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</si>
  <si>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</si>
  <si>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</si>
  <si>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</si>
  <si>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</si>
  <si>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</si>
  <si>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</si>
  <si>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</si>
  <si>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</si>
  <si>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</si>
  <si>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</si>
  <si>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</si>
  <si>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</si>
  <si>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</si>
  <si>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</si>
  <si>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</si>
  <si>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</si>
  <si>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</si>
  <si>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</si>
  <si>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</si>
  <si>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</si>
  <si>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</si>
  <si>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</si>
  <si>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</si>
  <si>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Total</t>
  </si>
  <si>
    <t>TOTAL CONSUMO Wh/DÍA</t>
  </si>
  <si>
    <t>TOTAL CONSUMO Wh/SEMANA</t>
  </si>
  <si>
    <t>TOTAL CONSUMO Wh/MES</t>
  </si>
  <si>
    <t>Dimensiones</t>
  </si>
  <si>
    <t>Capacidad</t>
  </si>
  <si>
    <t>Mano de obra</t>
  </si>
  <si>
    <t>Costo de Mantenimiento</t>
  </si>
  <si>
    <t>Infraestructura necesaria</t>
  </si>
  <si>
    <t>Equipos auxiliares</t>
  </si>
  <si>
    <t>Costo de la Instalación</t>
  </si>
  <si>
    <t>Refacciones en el país</t>
  </si>
  <si>
    <t>Proveedor</t>
  </si>
  <si>
    <t>Rendimiento nominal</t>
  </si>
  <si>
    <t>Temperatura máxima de la celda</t>
  </si>
  <si>
    <t>Humidificación</t>
  </si>
  <si>
    <t>Enfriamiento</t>
  </si>
  <si>
    <t>Peso del control</t>
  </si>
  <si>
    <t>Tiempo de inicio</t>
  </si>
  <si>
    <t xml:space="preserve">Eficiencia del sistema </t>
  </si>
  <si>
    <t>Protección contra bajo voltaje</t>
  </si>
  <si>
    <t>Protección contra sobretensión</t>
  </si>
  <si>
    <t>Protección contra sobretemperatura</t>
  </si>
  <si>
    <t>Fuente de alimentación externa</t>
  </si>
  <si>
    <t>0.45 - 0.55 Bar</t>
  </si>
  <si>
    <t>Auto-humidificación</t>
  </si>
  <si>
    <t>Aire (Ventilador integrado)</t>
  </si>
  <si>
    <t>65°C</t>
  </si>
  <si>
    <t xml:space="preserve">≥99.95% </t>
  </si>
  <si>
    <t>A</t>
  </si>
  <si>
    <t>B</t>
  </si>
  <si>
    <t>C</t>
  </si>
  <si>
    <t>Precio (Con fletes y seguros)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</si>
  <si>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</si>
  <si>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</si>
  <si>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</si>
  <si>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</si>
  <si>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</si>
  <si>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</si>
  <si>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</si>
  <si>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</si>
  <si>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</si>
  <si>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</si>
  <si>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</si>
  <si>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</si>
  <si>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</si>
  <si>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</si>
  <si>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</si>
  <si>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</si>
  <si>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</si>
  <si>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</si>
  <si>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</si>
  <si>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</si>
  <si>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</si>
  <si>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</si>
  <si>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</si>
  <si>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</si>
  <si>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Garantia</t>
  </si>
  <si>
    <t>Ice-City</t>
  </si>
  <si>
    <t>(-)30°C - 60°C</t>
  </si>
  <si>
    <t>2000g</t>
  </si>
  <si>
    <t>http://icecity-js.com/en/hydrogen/index.html#3a</t>
  </si>
  <si>
    <t>6,974.976</t>
  </si>
  <si>
    <t>TOTAL (Sin piso 4)</t>
  </si>
  <si>
    <t>TOTAL ( Piso 1 y 2)</t>
  </si>
  <si>
    <t>TOTAL (Piso 1 y 3)</t>
  </si>
  <si>
    <t>500W</t>
  </si>
  <si>
    <t>6.5L/min</t>
  </si>
  <si>
    <t>12V</t>
  </si>
  <si>
    <t>42A</t>
  </si>
  <si>
    <t>PEMFC-500W</t>
  </si>
  <si>
    <t>25V @ 40A</t>
  </si>
  <si>
    <t>0.45- 0.55Bar</t>
  </si>
  <si>
    <t>13,4x20x10cm</t>
  </si>
  <si>
    <t>≤30s</t>
  </si>
  <si>
    <t>https://icecityhydrogen.en.alibaba.com/product/60576012301-804049122/PEMFC_500W_hydrogen_gas_fuel_cell_stack_with_metal_bipolar_plate_self_humidifying_and_air_cooling.html?spm=a2700.8304367.prewdfa4cf.17.3f469bd6eIdHzR</t>
  </si>
  <si>
    <t>HYFC-500</t>
  </si>
  <si>
    <t>14.4 V @ 35A</t>
  </si>
  <si>
    <t>5°C a 30°C</t>
  </si>
  <si>
    <t>2520g  (± 50 g)</t>
  </si>
  <si>
    <t>400g  (± 30 g)</t>
  </si>
  <si>
    <t>≤30s a temperatura ambiente</t>
  </si>
  <si>
    <t>40% @ 36 V</t>
  </si>
  <si>
    <t>13 v (± 1 V), 5A</t>
  </si>
  <si>
    <t>https://spanish.alibaba.com/p-detail/pilas-de-combustible-PEM-de-hidr%C3%B3geno-300003475962.html?spm=a2700.8699010.29.293.7facdaf8Bs15kY</t>
  </si>
  <si>
    <t>https://spanish.alibaba.com/product-detail/5000w-hydrogen-fuel-cell-manufacturers-50034275050.html?spm=a2700.8699010.29.225.331fdaf8c5Hhvq</t>
  </si>
  <si>
    <t>Área</t>
  </si>
  <si>
    <t>13x26,8x10cm</t>
  </si>
  <si>
    <t>Por aire (incluido)</t>
  </si>
  <si>
    <t>(A/B)^W</t>
  </si>
  <si>
    <r>
      <t xml:space="preserve">Peso (W) </t>
    </r>
    <r>
      <rPr>
        <b/>
        <sz val="10"/>
        <color theme="1"/>
        <rFont val="Calibri"/>
        <family val="2"/>
        <scheme val="minor"/>
      </rPr>
      <t>Mayor número mayor impacto</t>
    </r>
  </si>
  <si>
    <t>Vida útil</t>
  </si>
  <si>
    <t>El de menor puntaje es el más importante</t>
  </si>
  <si>
    <t>Clave</t>
  </si>
  <si>
    <t>Actividad</t>
  </si>
  <si>
    <t>Predecesora</t>
  </si>
  <si>
    <t>Optimista</t>
  </si>
  <si>
    <t>Más prob</t>
  </si>
  <si>
    <t>Pesimista</t>
  </si>
  <si>
    <t>Esperado</t>
  </si>
  <si>
    <t>N/A</t>
  </si>
  <si>
    <t>D</t>
  </si>
  <si>
    <t>E</t>
  </si>
  <si>
    <t>F</t>
  </si>
  <si>
    <t>G</t>
  </si>
  <si>
    <t>H</t>
  </si>
  <si>
    <t>Llegada de la pila</t>
  </si>
  <si>
    <t>Transporte de equipos complementarios</t>
  </si>
  <si>
    <t>Solicitud y compra de los equipos complementarios</t>
  </si>
  <si>
    <t>Lugar</t>
  </si>
  <si>
    <t>≥ 50%</t>
  </si>
  <si>
    <t>7L/min</t>
  </si>
  <si>
    <t>3000 + Horas</t>
  </si>
  <si>
    <t>7125 USD</t>
  </si>
  <si>
    <t>Factor de consumo</t>
  </si>
  <si>
    <t>Carga promedio (Watts/día)</t>
  </si>
  <si>
    <t>Carga máxima (Watts)</t>
  </si>
  <si>
    <t>Piso 1 y 2</t>
  </si>
  <si>
    <t>Piso 1 y 3</t>
  </si>
  <si>
    <t>Total edificación</t>
  </si>
  <si>
    <t>Total edificación 
(sin piso 4)</t>
  </si>
  <si>
    <t>2200 USD</t>
  </si>
  <si>
    <t>Área (Dimensiones)</t>
  </si>
  <si>
    <t>Costo de mantenimiento</t>
  </si>
  <si>
    <t>Factores relevantes</t>
  </si>
  <si>
    <t>Solicitar autorización a Codensa</t>
  </si>
  <si>
    <t>Tramitación de pólizas</t>
  </si>
  <si>
    <t>Contratación de servicios de transporte</t>
  </si>
  <si>
    <t>Construcción de la estructura que contendrá los equipos</t>
  </si>
  <si>
    <t>Contratación para la instalación y verificación del sistema</t>
  </si>
  <si>
    <t>Compra de materiales eléctricos</t>
  </si>
  <si>
    <t>Verificación de funcionamiento</t>
  </si>
  <si>
    <t>Informe de funcionamiento</t>
  </si>
  <si>
    <t>L</t>
  </si>
  <si>
    <t>I</t>
  </si>
  <si>
    <t>J</t>
  </si>
  <si>
    <t>K</t>
  </si>
  <si>
    <t>M</t>
  </si>
  <si>
    <t>N</t>
  </si>
  <si>
    <t>O</t>
  </si>
  <si>
    <t>P</t>
  </si>
  <si>
    <t>Q</t>
  </si>
  <si>
    <t>Contratación personal para la adecuación de instalaciones</t>
  </si>
  <si>
    <t>B y C</t>
  </si>
  <si>
    <t>H e I</t>
  </si>
  <si>
    <t>Tiempo (Días)</t>
  </si>
  <si>
    <t>Jarrett</t>
  </si>
  <si>
    <t>JM-500W</t>
  </si>
  <si>
    <t>Potencia continua: 500W</t>
  </si>
  <si>
    <t>Potencia Máxima: 1.000W</t>
  </si>
  <si>
    <t>Entrada: 12V DC</t>
  </si>
  <si>
    <t>Salida: 110V AC 50Hz</t>
  </si>
  <si>
    <t>Precio: $109.900</t>
  </si>
  <si>
    <t>https://articulo.mercadolibre.com.co/MCO-458328649-inversor-conversor-de-corriente-500w-12v-a-110v-con-usb-_JM</t>
  </si>
  <si>
    <t>Energizer</t>
  </si>
  <si>
    <t>Salida: 110V AC</t>
  </si>
  <si>
    <t>Precio: $199.990</t>
  </si>
  <si>
    <t>https://articulo.mercadolibre.com.co/MCO-443209025-inversor-de-corriente-500w-12v-110v-convertidor-energizer-_JM</t>
  </si>
  <si>
    <t>tiempo de entrega es de 24 a 48 horas</t>
  </si>
  <si>
    <t>Nacionalización de productos</t>
  </si>
  <si>
    <t>Compra de materiales de adecuación</t>
  </si>
  <si>
    <t>A,B,D,E,F,G,I,M,N,O,P,Q</t>
  </si>
  <si>
    <t>Ruta crítica del proyecto</t>
  </si>
  <si>
    <t>Transporte de la pila a las instalaciones de Transcoop</t>
  </si>
  <si>
    <t>N y L</t>
  </si>
  <si>
    <t>Transporte pilas a las instalaciones de Transcoop</t>
  </si>
  <si>
    <t>A,B,D,E,F,G,H,M,N,O,P,Q</t>
  </si>
  <si>
    <t>A,C,D,E,F,G,I,J,K,L,O,P,Q</t>
  </si>
  <si>
    <t>A,C,D,E,F,G,H,M,N,O,P,Q</t>
  </si>
  <si>
    <t>A,B,D,E,F,G,H,J,K,L,O,P,Q</t>
  </si>
  <si>
    <t>A,C,D,E,F,G,I,M,N,O,P,Q</t>
  </si>
  <si>
    <t>Rutas críticas</t>
  </si>
  <si>
    <t>Varianza</t>
  </si>
  <si>
    <t>Desvest</t>
  </si>
  <si>
    <t>Cuál es la probabilidad de terminar el proyecto en:</t>
  </si>
  <si>
    <t>z</t>
  </si>
  <si>
    <t>Desviación estandarizada del proyecto</t>
  </si>
  <si>
    <t>Pt</t>
  </si>
  <si>
    <t>Plazo meta del proyecto</t>
  </si>
  <si>
    <t>Desv</t>
  </si>
  <si>
    <t>Desviación estándar del proyecto</t>
  </si>
  <si>
    <t>tep</t>
  </si>
  <si>
    <t>Tiempo esperado del proyecto</t>
  </si>
  <si>
    <t>Prob</t>
  </si>
  <si>
    <t>Probabilidad de realizar el proyecto en Pt</t>
  </si>
  <si>
    <t>Área bajo la curva de la dist normal</t>
  </si>
  <si>
    <t>z=(Pt-tep)/Desv</t>
  </si>
  <si>
    <t>Aforo o estudio de cargas</t>
  </si>
  <si>
    <t>Instalación del sistema</t>
  </si>
  <si>
    <t>Generación de energía eléctrica</t>
  </si>
  <si>
    <t>Mantenimiento</t>
  </si>
  <si>
    <t>Construcción e instalación</t>
  </si>
  <si>
    <t>Operación</t>
  </si>
  <si>
    <t>Desmonte</t>
  </si>
  <si>
    <t>Erosión</t>
  </si>
  <si>
    <t>X</t>
  </si>
  <si>
    <t>Fragilidad</t>
  </si>
  <si>
    <t>Calidad</t>
  </si>
  <si>
    <t>PAISAJISTICO</t>
  </si>
  <si>
    <t>Estructura comercial</t>
  </si>
  <si>
    <t>ECONÓMICO</t>
  </si>
  <si>
    <t>Cosmovisión</t>
  </si>
  <si>
    <t>CULTURAL</t>
  </si>
  <si>
    <t>Servicios</t>
  </si>
  <si>
    <t>Presencia del Estado</t>
  </si>
  <si>
    <t>Organización</t>
  </si>
  <si>
    <t>Empleo</t>
  </si>
  <si>
    <t>Calidad de vida</t>
  </si>
  <si>
    <t>SOCIAL</t>
  </si>
  <si>
    <t>ANTROPOSFERICO</t>
  </si>
  <si>
    <t>Diversidad</t>
  </si>
  <si>
    <t>Cantidad</t>
  </si>
  <si>
    <t>FAUNA</t>
  </si>
  <si>
    <t>Usos</t>
  </si>
  <si>
    <t>Especies</t>
  </si>
  <si>
    <t>Cobertura</t>
  </si>
  <si>
    <t>FLORA</t>
  </si>
  <si>
    <t>BIOSFERICO</t>
  </si>
  <si>
    <t xml:space="preserve">Estructura </t>
  </si>
  <si>
    <t>GEOLOGÍA</t>
  </si>
  <si>
    <t>Textura</t>
  </si>
  <si>
    <t>EDAFOLOGÍA</t>
  </si>
  <si>
    <t xml:space="preserve">Drenaje </t>
  </si>
  <si>
    <t>Morfología</t>
  </si>
  <si>
    <t>GEOMORFOLOGÍA</t>
  </si>
  <si>
    <t>GEOSFERICO</t>
  </si>
  <si>
    <t>METEOROLOGIA-CLIMA</t>
  </si>
  <si>
    <t>CALIDAD DEL AIRE</t>
  </si>
  <si>
    <t>INDICADORES</t>
  </si>
  <si>
    <t>SUBCOMPONENTES</t>
  </si>
  <si>
    <t>COMPONENTES</t>
  </si>
  <si>
    <t>ETAPAS DEL PROYECTO</t>
  </si>
  <si>
    <t>Porcentaje (%) de impactos</t>
  </si>
  <si>
    <t>Sumatoria Negativos ( - )</t>
  </si>
  <si>
    <t>Sumatoria Positivos ( + )</t>
  </si>
  <si>
    <t>Sumatoria impatos negativos ( - )</t>
  </si>
  <si>
    <t>Sumatoria impactos positivos ( + )</t>
  </si>
  <si>
    <t>IMPORTANCIA</t>
  </si>
  <si>
    <r>
      <t>REVERSIBILIDAD</t>
    </r>
    <r>
      <rPr>
        <b/>
        <sz val="11"/>
        <color theme="1"/>
        <rFont val="Calibri"/>
        <family val="2"/>
        <scheme val="minor"/>
      </rPr>
      <t xml:space="preserve"> (Re)</t>
    </r>
  </si>
  <si>
    <r>
      <t xml:space="preserve">RECUPERABILIDAD </t>
    </r>
    <r>
      <rPr>
        <b/>
        <sz val="11"/>
        <color theme="1"/>
        <rFont val="Calibri"/>
        <family val="2"/>
        <scheme val="minor"/>
      </rPr>
      <t>(Rc)</t>
    </r>
  </si>
  <si>
    <r>
      <t xml:space="preserve">ACUMULACIÓN </t>
    </r>
    <r>
      <rPr>
        <b/>
        <sz val="11"/>
        <color theme="1"/>
        <rFont val="Calibri"/>
        <family val="2"/>
        <scheme val="minor"/>
      </rPr>
      <t>(Ac)</t>
    </r>
  </si>
  <si>
    <r>
      <t xml:space="preserve">DURACIÓN </t>
    </r>
    <r>
      <rPr>
        <b/>
        <sz val="11"/>
        <color theme="1"/>
        <rFont val="Calibri"/>
        <family val="2"/>
        <scheme val="minor"/>
      </rPr>
      <t>(Du)</t>
    </r>
  </si>
  <si>
    <r>
      <t xml:space="preserve">PERIODICIDAD </t>
    </r>
    <r>
      <rPr>
        <b/>
        <sz val="11"/>
        <color theme="1"/>
        <rFont val="Calibri"/>
        <family val="2"/>
        <scheme val="minor"/>
      </rPr>
      <t>(Pe)</t>
    </r>
  </si>
  <si>
    <r>
      <t xml:space="preserve">COBERTURA </t>
    </r>
    <r>
      <rPr>
        <b/>
        <sz val="11"/>
        <color theme="1"/>
        <rFont val="Calibri"/>
        <family val="2"/>
        <scheme val="minor"/>
      </rPr>
      <t>(Co)</t>
    </r>
  </si>
  <si>
    <r>
      <t xml:space="preserve">MAGNITUD </t>
    </r>
    <r>
      <rPr>
        <b/>
        <sz val="11"/>
        <color theme="1"/>
        <rFont val="Calibri"/>
        <family val="2"/>
        <scheme val="minor"/>
      </rPr>
      <t>(Mg)</t>
    </r>
  </si>
  <si>
    <t>CARÁCTER</t>
  </si>
  <si>
    <t>INDICADOR</t>
  </si>
  <si>
    <t>SUBCOMPONENTE</t>
  </si>
  <si>
    <t>COMPONENTE</t>
  </si>
  <si>
    <t>ACTIVIAD N°</t>
  </si>
  <si>
    <t>Determinación o alcance del proyecto</t>
  </si>
  <si>
    <t>Solicitud de autorización a Codensa</t>
  </si>
  <si>
    <t>Solicitud y compra de la pila de hidrógeno</t>
  </si>
  <si>
    <t>Transporte a las instalaciones de Transcoop</t>
  </si>
  <si>
    <t>Contratación de personal para la adecuación de instalaciones</t>
  </si>
  <si>
    <t>Contratación de personal para la instalación y verificación del sistema</t>
  </si>
  <si>
    <t>Separación de residuos</t>
  </si>
  <si>
    <t>Transporte de residuos</t>
  </si>
  <si>
    <t>DISEÑO</t>
  </si>
  <si>
    <t>CONSTRUCCIÓN E INSTALACIÓN</t>
  </si>
  <si>
    <t>OPERACIÓN</t>
  </si>
  <si>
    <t>DESMONTE</t>
  </si>
  <si>
    <t>Desmonte del sistema</t>
  </si>
  <si>
    <t>Emisiones de ruido</t>
  </si>
  <si>
    <t>Emisiones de gases</t>
  </si>
  <si>
    <t>Solicitud y compra de  la pila de hidrógeno</t>
  </si>
  <si>
    <t>WHOLE WIN</t>
  </si>
  <si>
    <t>2000 Horas</t>
  </si>
  <si>
    <t>Compra y transporte de materiales de adecuación de instalaciones</t>
  </si>
  <si>
    <t>Compra y transporte de materiales eléctricos</t>
  </si>
  <si>
    <t>Compra y transporte de materiales de adecuación</t>
  </si>
  <si>
    <t>METODOLOGÍA</t>
  </si>
  <si>
    <t xml:space="preserve">
La evaluación del impacto ambiental es un proceso destinado a prever e informar sobre los efectos que un determinado proyecto puede ocasionar en el medio ambiente. El estudio del impacto ambiental hace referencia a identificar las consecuencias de la ejecución del proyecto sobre el medio ambiente y establecer medidas correctivas que pueden ser de control, mitigación, prevención, compensacion o recuperación de los impactos causados. En la Actualidad existe gran variedad de métodos para la evaluación de impactos ambientales,  Miguel Ángel Gamboa Castellanos modificó  la matriz de causa-efecto que formuló Vicente Conesa Fernández  y a esta la llamo matriz de evaluación del impacto / efecto ambiental, para la cual analiza ocho (8) parámetros y a su vez dentro de los mismos establece una serie de atributos (Tabla 1), que al plasmarlos en la ecuación propuesta por el autor arrojan un resultado numérico, que corresponden a la importancia del impacto, posteriormente establece un rango de 0-100 y a los tres rangos propuestos le asigna la clase de efecto que hace referencia a si es bajo, medio o alto y a su vez establece un color para cada uno.( Tabla 2)
</t>
  </si>
  <si>
    <t>PARÁMETROS EVALUADOS POR LA METODOLOGÍA MODIFICADA POR MIGUEL ÁNGEL GAMBOA CASTELLANOS</t>
  </si>
  <si>
    <r>
      <rPr>
        <b/>
        <sz val="11"/>
        <color theme="1"/>
        <rFont val="Calibri"/>
        <family val="2"/>
        <scheme val="minor"/>
      </rPr>
      <t xml:space="preserve">1. Carácter o Clase: </t>
    </r>
    <r>
      <rPr>
        <sz val="11"/>
        <color theme="1"/>
        <rFont val="Calibri"/>
        <family val="2"/>
        <scheme val="minor"/>
      </rPr>
      <t xml:space="preserve"> Define si el impacto/efecto es POSITIVO o benéfico (+) y/o ADVERSO o Dañino (-) al ambiente.
</t>
    </r>
    <r>
      <rPr>
        <sz val="11"/>
        <color theme="1"/>
        <rFont val="Calibri"/>
        <family val="2"/>
        <scheme val="minor"/>
      </rPr>
      <t xml:space="preserve">                                                                </t>
    </r>
  </si>
  <si>
    <r>
      <rPr>
        <b/>
        <sz val="11"/>
        <color theme="1"/>
        <rFont val="Calibri"/>
        <family val="2"/>
        <scheme val="minor"/>
      </rPr>
      <t>2. Magnitud (Mg) :</t>
    </r>
    <r>
      <rPr>
        <sz val="11"/>
        <color theme="1"/>
        <rFont val="Calibri"/>
        <family val="2"/>
        <scheme val="minor"/>
      </rPr>
      <t xml:space="preserve"> Está determinado por el </t>
    </r>
    <r>
      <rPr>
        <b/>
        <sz val="11"/>
        <color theme="1"/>
        <rFont val="Calibri"/>
        <family val="2"/>
        <scheme val="minor"/>
      </rPr>
      <t>grado de daño o beneficio</t>
    </r>
    <r>
      <rPr>
        <sz val="11"/>
        <color theme="1"/>
        <rFont val="Calibri"/>
        <family val="2"/>
        <scheme val="minor"/>
      </rPr>
      <t xml:space="preserve"> al ambiente.     </t>
    </r>
  </si>
  <si>
    <r>
      <rPr>
        <b/>
        <sz val="11"/>
        <color theme="1"/>
        <rFont val="Calibri"/>
        <family val="2"/>
        <scheme val="minor"/>
      </rPr>
      <t xml:space="preserve">4. Periodicidad (Pe) : </t>
    </r>
    <r>
      <rPr>
        <sz val="11"/>
        <color theme="1"/>
        <rFont val="Calibri"/>
        <family val="2"/>
        <scheme val="minor"/>
      </rPr>
      <t xml:space="preserve">Se define por el </t>
    </r>
    <r>
      <rPr>
        <b/>
        <sz val="11"/>
        <color theme="1"/>
        <rFont val="Calibri"/>
        <family val="2"/>
        <scheme val="minor"/>
      </rPr>
      <t xml:space="preserve">plazo en que se manifiesta </t>
    </r>
    <r>
      <rPr>
        <sz val="11"/>
        <color theme="1"/>
        <rFont val="Calibri"/>
        <family val="2"/>
        <scheme val="minor"/>
      </rPr>
      <t>el impacto.</t>
    </r>
  </si>
  <si>
    <r>
      <t xml:space="preserve">5. Duración (Du) : </t>
    </r>
    <r>
      <rPr>
        <sz val="11"/>
        <color theme="1"/>
        <rFont val="Calibri"/>
        <family val="2"/>
        <scheme val="minor"/>
      </rPr>
      <t xml:space="preserve">Se define por el tiempo en que </t>
    </r>
    <r>
      <rPr>
        <b/>
        <sz val="11"/>
        <color theme="1"/>
        <rFont val="Calibri"/>
        <family val="2"/>
        <scheme val="minor"/>
      </rPr>
      <t xml:space="preserve">permanece o dura </t>
    </r>
    <r>
      <rPr>
        <sz val="11"/>
        <color theme="1"/>
        <rFont val="Calibri"/>
        <family val="2"/>
        <scheme val="minor"/>
      </rPr>
      <t>el impacto/efecto ambiental.</t>
    </r>
  </si>
  <si>
    <r>
      <t xml:space="preserve">6. Acumulación (Ac) : </t>
    </r>
    <r>
      <rPr>
        <sz val="11"/>
        <color theme="1"/>
        <rFont val="Calibri"/>
        <family val="2"/>
        <scheme val="minor"/>
      </rPr>
      <t>Está determinado por la cantidad de recursos naturales o componentes ambientales que se pueden afectar.</t>
    </r>
  </si>
  <si>
    <r>
      <t xml:space="preserve">7. Recuperabilidad (Rc) : </t>
    </r>
    <r>
      <rPr>
        <sz val="11"/>
        <color theme="1"/>
        <rFont val="Calibri"/>
        <family val="2"/>
        <scheme val="minor"/>
      </rPr>
      <t>Se define por el grado de restablecimiento de los recursos naturales o el ambiente, por medio de medidas o programas de manejo ambiental.</t>
    </r>
  </si>
  <si>
    <r>
      <rPr>
        <b/>
        <sz val="11"/>
        <color theme="1"/>
        <rFont val="Calibri"/>
        <family val="2"/>
        <scheme val="minor"/>
      </rPr>
      <t xml:space="preserve">8. Reversivilidad (Re) : </t>
    </r>
    <r>
      <rPr>
        <sz val="11"/>
        <color theme="1"/>
        <rFont val="Calibri"/>
        <family val="2"/>
        <scheme val="minor"/>
      </rPr>
      <t>Cuando el impacto/efecto ambiental generado puede ser restituido por medios naturales (resiliencia, autodepuración, asimilación, …), sin intervención humana.</t>
    </r>
  </si>
  <si>
    <t>Tabla 1. Resumen parámetros de calificación de importancia</t>
  </si>
  <si>
    <r>
      <rPr>
        <b/>
        <sz val="11"/>
        <color theme="1"/>
        <rFont val="Calibri"/>
        <family val="2"/>
        <scheme val="minor"/>
      </rPr>
      <t xml:space="preserve">CARÁCTER </t>
    </r>
    <r>
      <rPr>
        <sz val="11"/>
        <color theme="1"/>
        <rFont val="Calibri"/>
        <family val="2"/>
        <scheme val="minor"/>
      </rPr>
      <t xml:space="preserve">
Impacto beneficioso
Impacto adverso </t>
    </r>
  </si>
  <si>
    <t xml:space="preserve">
+
- </t>
  </si>
  <si>
    <r>
      <rPr>
        <b/>
        <sz val="11"/>
        <color theme="1"/>
        <rFont val="Calibri"/>
        <family val="2"/>
        <scheme val="minor"/>
      </rPr>
      <t>MAGNITUD (Mg)</t>
    </r>
    <r>
      <rPr>
        <sz val="11"/>
        <color theme="1"/>
        <rFont val="Calibri"/>
        <family val="2"/>
        <scheme val="minor"/>
      </rPr>
      <t xml:space="preserve">
Baja
Media
Alta
</t>
    </r>
  </si>
  <si>
    <t xml:space="preserve">
1
2
3
</t>
  </si>
  <si>
    <r>
      <rPr>
        <b/>
        <sz val="11"/>
        <color theme="1"/>
        <rFont val="Calibri"/>
        <family val="2"/>
        <scheme val="minor"/>
      </rPr>
      <t>COBERTURA (Co)</t>
    </r>
    <r>
      <rPr>
        <sz val="11"/>
        <color theme="1"/>
        <rFont val="Calibri"/>
        <family val="2"/>
        <scheme val="minor"/>
      </rPr>
      <t xml:space="preserve">
Directa
Indirecta
</t>
    </r>
  </si>
  <si>
    <t xml:space="preserve">
1
3</t>
  </si>
  <si>
    <r>
      <rPr>
        <b/>
        <sz val="11"/>
        <color theme="1"/>
        <rFont val="Calibri"/>
        <family val="2"/>
        <scheme val="minor"/>
      </rPr>
      <t>PERIODICIDAD (Pe)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Largo plazo 
Mediano plazo
Corto plazo o inmediato 
</t>
    </r>
  </si>
  <si>
    <t xml:space="preserve">
1
2
3</t>
  </si>
  <si>
    <r>
      <rPr>
        <b/>
        <sz val="11"/>
        <color theme="1"/>
        <rFont val="Calibri"/>
        <family val="2"/>
        <scheme val="minor"/>
      </rPr>
      <t xml:space="preserve">DURACIÖN (Du)
</t>
    </r>
    <r>
      <rPr>
        <sz val="11"/>
        <color theme="1"/>
        <rFont val="Calibri"/>
        <family val="2"/>
        <scheme val="minor"/>
      </rPr>
      <t xml:space="preserve">
Fugaz
Temporal
Permanente</t>
    </r>
  </si>
  <si>
    <r>
      <rPr>
        <b/>
        <sz val="11"/>
        <color theme="1"/>
        <rFont val="Calibri"/>
        <family val="2"/>
        <scheme val="minor"/>
      </rPr>
      <t>ACUMULACIÓN (Ac)</t>
    </r>
    <r>
      <rPr>
        <sz val="11"/>
        <color theme="1"/>
        <rFont val="Calibri"/>
        <family val="2"/>
        <scheme val="minor"/>
      </rPr>
      <t xml:space="preserve">
Simple
Compuesto
Sinergico (Efectos)</t>
    </r>
  </si>
  <si>
    <t xml:space="preserve">
1
2
3</t>
  </si>
  <si>
    <r>
      <rPr>
        <b/>
        <sz val="11"/>
        <color theme="1"/>
        <rFont val="Calibri"/>
        <family val="2"/>
        <scheme val="minor"/>
      </rPr>
      <t xml:space="preserve">RECUPERABILIDAD (Rc)
</t>
    </r>
    <r>
      <rPr>
        <sz val="11"/>
        <color theme="1"/>
        <rFont val="Calibri"/>
        <family val="2"/>
        <scheme val="minor"/>
      </rPr>
      <t>Recuperable 
Parcialmente Recup.
Irrecuperable</t>
    </r>
  </si>
  <si>
    <r>
      <rPr>
        <b/>
        <sz val="11"/>
        <color theme="1"/>
        <rFont val="Calibri"/>
        <family val="2"/>
        <scheme val="minor"/>
      </rPr>
      <t>REVERSIBILIDAD (Re)</t>
    </r>
    <r>
      <rPr>
        <sz val="11"/>
        <color theme="1"/>
        <rFont val="Calibri"/>
        <family val="2"/>
        <scheme val="minor"/>
      </rPr>
      <t xml:space="preserve">
Corto y Mediano plazo
Largo plazo
Irreversible</t>
    </r>
  </si>
  <si>
    <t>Ecuación para diagnosticar la importancia del impacto</t>
  </si>
  <si>
    <r>
      <rPr>
        <b/>
        <sz val="11"/>
        <color theme="1"/>
        <rFont val="Calibri"/>
        <family val="2"/>
        <scheme val="minor"/>
      </rPr>
      <t xml:space="preserve">CI = </t>
    </r>
    <r>
      <rPr>
        <sz val="11"/>
        <color theme="1"/>
        <rFont val="Calibri"/>
        <family val="2"/>
        <scheme val="minor"/>
      </rPr>
      <t xml:space="preserve">- </t>
    </r>
    <r>
      <rPr>
        <b/>
        <sz val="11"/>
        <color theme="1"/>
        <rFont val="Calibri"/>
        <family val="2"/>
        <scheme val="minor"/>
      </rPr>
      <t xml:space="preserve">/ </t>
    </r>
    <r>
      <rPr>
        <sz val="11"/>
        <color theme="1"/>
        <rFont val="Calibri"/>
        <family val="2"/>
        <scheme val="minor"/>
      </rPr>
      <t xml:space="preserve">+ </t>
    </r>
    <r>
      <rPr>
        <b/>
        <sz val="11"/>
        <color theme="1"/>
        <rFont val="Calibri"/>
        <family val="2"/>
        <scheme val="minor"/>
      </rPr>
      <t xml:space="preserve">( </t>
    </r>
    <r>
      <rPr>
        <sz val="11"/>
        <color theme="1"/>
        <rFont val="Calibri"/>
        <family val="2"/>
        <scheme val="minor"/>
      </rPr>
      <t xml:space="preserve">Mg </t>
    </r>
    <r>
      <rPr>
        <b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Co </t>
    </r>
    <r>
      <rPr>
        <b/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 xml:space="preserve">Pe </t>
    </r>
    <r>
      <rPr>
        <b/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 xml:space="preserve">Du </t>
    </r>
    <r>
      <rPr>
        <b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Ac </t>
    </r>
    <r>
      <rPr>
        <b/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 xml:space="preserve">Rc </t>
    </r>
    <r>
      <rPr>
        <b/>
        <sz val="11"/>
        <color theme="1"/>
        <rFont val="Calibri"/>
        <family val="2"/>
        <scheme val="minor"/>
      </rPr>
      <t xml:space="preserve">+ </t>
    </r>
    <r>
      <rPr>
        <sz val="11"/>
        <color theme="1"/>
        <rFont val="Calibri"/>
        <family val="2"/>
        <scheme val="minor"/>
      </rPr>
      <t xml:space="preserve">Re </t>
    </r>
    <r>
      <rPr>
        <b/>
        <sz val="11"/>
        <color theme="1"/>
        <rFont val="Calibri"/>
        <family val="2"/>
        <scheme val="minor"/>
      </rPr>
      <t>)</t>
    </r>
  </si>
  <si>
    <t>Tabla 2. Rangos de jerarquización de la importancia del efecto</t>
  </si>
  <si>
    <t>Rango de importancia en porcentajes (%)</t>
  </si>
  <si>
    <t>Clase de impacto</t>
  </si>
  <si>
    <t>Trama</t>
  </si>
  <si>
    <t>0 - 30</t>
  </si>
  <si>
    <t>Bajo</t>
  </si>
  <si>
    <t>Verde</t>
  </si>
  <si>
    <t>31 - 60</t>
  </si>
  <si>
    <t>Medio</t>
  </si>
  <si>
    <t>Amarillo</t>
  </si>
  <si>
    <t>61 - 100</t>
  </si>
  <si>
    <t>Alto</t>
  </si>
  <si>
    <t>Rojo</t>
  </si>
  <si>
    <r>
      <rPr>
        <b/>
        <sz val="11"/>
        <color theme="1"/>
        <rFont val="Calibri"/>
        <family val="2"/>
        <scheme val="minor"/>
      </rPr>
      <t>Impacto bajo.</t>
    </r>
    <r>
      <rPr>
        <sz val="11"/>
        <color theme="1"/>
        <rFont val="Calibri"/>
        <family val="2"/>
        <scheme val="minor"/>
      </rPr>
      <t xml:space="preserve"> Impactos con calificación de importancia de 0 a 30% Son generalmente puntuales, de baja intensidad reversibles en el corto plazo. El manejo recomendado es control y prevención.
</t>
    </r>
    <r>
      <rPr>
        <b/>
        <sz val="11"/>
        <color theme="1"/>
        <rFont val="Calibri"/>
        <family val="2"/>
        <scheme val="minor"/>
      </rPr>
      <t>Impacto medio.</t>
    </r>
    <r>
      <rPr>
        <sz val="11"/>
        <color theme="1"/>
        <rFont val="Calibri"/>
        <family val="2"/>
        <scheme val="minor"/>
      </rPr>
      <t xml:space="preserve"> Impactos con calificación de importancia entre 31 y 60% Son impactos generalmente de intensidad media o alta, reversibles en el mediano plazo y recuperable en el mismo plazo. Las medidas de 
manejo son de control, prevención y mitigación.
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Impacto alto.</t>
    </r>
    <r>
      <rPr>
        <sz val="11"/>
        <color theme="1"/>
        <rFont val="Calibri"/>
        <family val="2"/>
        <scheme val="minor"/>
      </rPr>
      <t xml:space="preserve">  Impactos con calificación de importancia entre 51 &lt;= 75 unidades de calificación. Son generalmente de intensidad alta o muy alta, persistentes, reversibles en el mediano y largo plazo o en muchos casos irreversible, además dicha afectacioón puede ser local o no. Para su manejo se requieren medidas de control, prevención, mitigación y hasta compensación.</t>
    </r>
  </si>
  <si>
    <t>HIDROSFÉRICO</t>
  </si>
  <si>
    <t>HIDROLOGÍA</t>
  </si>
  <si>
    <t>HIDROGRÁFIA SUP</t>
  </si>
  <si>
    <t>HIDROGRÁFIA SUB</t>
  </si>
  <si>
    <t>Metales</t>
  </si>
  <si>
    <t>Residuos</t>
  </si>
  <si>
    <t>Biológicos</t>
  </si>
  <si>
    <t xml:space="preserve">Descripción </t>
  </si>
  <si>
    <t>Imagen</t>
  </si>
  <si>
    <t>https://dolar.wilkinsonpc.com.co/dolar-historico/dolar-historico-2018.html</t>
  </si>
  <si>
    <t>Valor promedio del dólar entre el 1 de enero de 2018 y el 14 de abril de 2018</t>
  </si>
  <si>
    <t>≥99.995% Seco H2</t>
  </si>
  <si>
    <t xml:space="preserve">Regulador de presión </t>
  </si>
  <si>
    <t>https://articulo.mercadolibre.com.co/MCO-448627511-medidores-de-14-compresor-aire-linea-regulador-de-presion-_JM</t>
  </si>
  <si>
    <t>Tubo para entrada y salida de hidrógeno</t>
  </si>
  <si>
    <t>Estructura para el sistema de celdas de combustible tipo PEM</t>
  </si>
  <si>
    <t>Vida útil (horas)</t>
  </si>
  <si>
    <t>Consumo (L/min)</t>
  </si>
  <si>
    <t>Capacidad del cilindro (Litros)</t>
  </si>
  <si>
    <t>Vida útil (minutos)</t>
  </si>
  <si>
    <t>Cantidad de cilindros a utilizar</t>
  </si>
  <si>
    <t>Consumo H2 en la vida útil (L)</t>
  </si>
  <si>
    <t>Valor unitario (Sin IVA)</t>
  </si>
  <si>
    <t>Valor total (Sin IVA)</t>
  </si>
  <si>
    <t>Provisión por imprevistos (3,5%)</t>
  </si>
  <si>
    <t>TIO</t>
  </si>
  <si>
    <t xml:space="preserve"> +</t>
  </si>
  <si>
    <t>Valor de salvamento</t>
  </si>
  <si>
    <t xml:space="preserve"> -</t>
  </si>
  <si>
    <t>Inversión</t>
  </si>
  <si>
    <t xml:space="preserve"> =</t>
  </si>
  <si>
    <t>Flujo de caja neto</t>
  </si>
  <si>
    <t>VPN</t>
  </si>
  <si>
    <t>CUE</t>
  </si>
  <si>
    <t>Depreciaciones</t>
  </si>
  <si>
    <t>Utilidad gravables</t>
  </si>
  <si>
    <t>Impuesto de renta</t>
  </si>
  <si>
    <t>Utilidad neta</t>
  </si>
  <si>
    <t>Depreciación</t>
  </si>
  <si>
    <t>FCI</t>
  </si>
  <si>
    <t>TIR</t>
  </si>
  <si>
    <t>RCB</t>
  </si>
  <si>
    <t>Flujo Incremental con IMP</t>
  </si>
  <si>
    <t>Transporte</t>
  </si>
  <si>
    <t>Seguros y pólizas</t>
  </si>
  <si>
    <t>Inversor de corriente Jarrett JM-500W</t>
  </si>
  <si>
    <t>Célda de hidrógeno Whole Win HYFC-500</t>
  </si>
  <si>
    <t>Total inversión</t>
  </si>
  <si>
    <t>Instalación del sistema de celdas de combustible a la red eléctrica del edifício</t>
  </si>
  <si>
    <t>A: Whole Win</t>
  </si>
  <si>
    <t>B: Ice-City</t>
  </si>
  <si>
    <t>Consumo H2 L/min</t>
  </si>
  <si>
    <t>Densidad H2  0.0838 kg/m³</t>
  </si>
  <si>
    <t>Consumo H2 m3/min</t>
  </si>
  <si>
    <t>Consumo H2 Kg/min</t>
  </si>
  <si>
    <t>Vida útil (min)</t>
  </si>
  <si>
    <t>Consumo total Kg</t>
  </si>
  <si>
    <t xml:space="preserve">Costo H2 por Kg </t>
  </si>
  <si>
    <t>Costo H2 total vida útil</t>
  </si>
  <si>
    <t>Devolución IR (25%)</t>
  </si>
  <si>
    <t>Revisiones periódicas</t>
  </si>
  <si>
    <t>Costo factura energía</t>
  </si>
  <si>
    <t>CON PROYECTO: PILA DE HIDRÓGENO</t>
  </si>
  <si>
    <t>M3 cúbicos totales pila</t>
  </si>
  <si>
    <t>Horas operación pila</t>
  </si>
  <si>
    <t>Consumo pila (lts/min)</t>
  </si>
  <si>
    <t>Horas operación día pila</t>
  </si>
  <si>
    <t>% Ahorro en factura</t>
  </si>
  <si>
    <t>Utilidad gravable</t>
  </si>
  <si>
    <t>Costo Factura energía</t>
  </si>
  <si>
    <t xml:space="preserve">SIN PROYECTO: CONSUMO DE LA RED DE ENERGÍA </t>
  </si>
  <si>
    <t>Inflación de largo plazo</t>
  </si>
  <si>
    <t>Valor factura mes</t>
  </si>
  <si>
    <t>Consumo energía (Kwh)</t>
  </si>
  <si>
    <t>Tarifa codensa ($/Kwh)</t>
  </si>
  <si>
    <t>Tasa impuesto de renta</t>
  </si>
  <si>
    <t>Costo de operación mensual</t>
  </si>
  <si>
    <t>Costo combustible H2</t>
  </si>
  <si>
    <t>Costo consumo H2 Kg/hora</t>
  </si>
  <si>
    <t>Precio H2 Kg/hora</t>
  </si>
  <si>
    <t>Valor de la pila de hidrógeno</t>
  </si>
  <si>
    <t>-</t>
  </si>
  <si>
    <t>Valor del sistema de pila de hidrógeno</t>
  </si>
  <si>
    <t>Consumo Kw/mes iluminación</t>
  </si>
  <si>
    <t>Consumo factura</t>
  </si>
  <si>
    <t>H: 0</t>
  </si>
  <si>
    <t>H: 1</t>
  </si>
  <si>
    <t>H: 11</t>
  </si>
  <si>
    <t>Entradas</t>
  </si>
  <si>
    <t>Salidas</t>
  </si>
  <si>
    <t>Aspectos ambientales</t>
  </si>
  <si>
    <t>Impactos ambientales</t>
  </si>
  <si>
    <t>Consumo de agua</t>
  </si>
  <si>
    <t>Consumo de energía</t>
  </si>
  <si>
    <t>Generación de vertimientos</t>
  </si>
  <si>
    <t>Generación de emisiones atmosféricas (gases, humos o vapores)</t>
  </si>
  <si>
    <t>Generación de ruido</t>
  </si>
  <si>
    <t>Consumo de productos forestales</t>
  </si>
  <si>
    <t>Consumo de combustibles</t>
  </si>
  <si>
    <t>Agotamiento de un recurso natural</t>
  </si>
  <si>
    <t>Generación de residuos sólidos: Ordinarios y peligrosos</t>
  </si>
  <si>
    <t>Contaminación del suelo, aire y/o agua</t>
  </si>
  <si>
    <t>Contaminación del agua</t>
  </si>
  <si>
    <t>Contaminación del aire</t>
  </si>
  <si>
    <t>Daños a la flora y a la fauna</t>
  </si>
  <si>
    <t>Consumo de energía
Consumo de papel</t>
  </si>
  <si>
    <t>Uso de recursos humanos</t>
  </si>
  <si>
    <t>Consumo de energía
Uso de recursos humanos</t>
  </si>
  <si>
    <t>Generación de emisiones
Generación de ruido
Consumo de combustibles</t>
  </si>
  <si>
    <t>Contaminación del aire
Agotamiento de un recurso natural</t>
  </si>
  <si>
    <t>Generación de emisiones
Generación de ruido
Consumo de combustibles
Uso de recursos humanos</t>
  </si>
  <si>
    <t>Consumo de energía
Generación de emisiones
Generación de ruido
Uso de recursos humanos</t>
  </si>
  <si>
    <t>Uso de recursos humanos
Generación de residuos</t>
  </si>
  <si>
    <t>Generación de emisiones
Generación de ruido
Uso de recursos humanos
Generación de residuos</t>
  </si>
  <si>
    <t>Etapa</t>
  </si>
  <si>
    <t>Agotamiento de un recurso natural
Afectación social</t>
  </si>
  <si>
    <t>Afectación social</t>
  </si>
  <si>
    <t>Afectación social
Afectación cultural
Afectación económica</t>
  </si>
  <si>
    <t>Contaminación del aire
Agotamiento de un recurso natural
Afectación social
Afectación económica</t>
  </si>
  <si>
    <t>Agotamiento de recursos naturales
Afectación social
Afectación cultural
Afectación económica</t>
  </si>
  <si>
    <t>Disponibilidad</t>
  </si>
  <si>
    <t>Agotamiento de un recurso natura
Afectación social</t>
  </si>
  <si>
    <t>Afectación social
Afectación cultural
Afectación económica
Contaminación del suelo</t>
  </si>
  <si>
    <t>Contaminación del aire
Afectación social
Afectación cultural
Contaminación del suelo</t>
  </si>
  <si>
    <t>Contaminación del aire
Contaminación del suelo
Agotamiento de recursos naturales
Afectación social
Afectación económica</t>
  </si>
  <si>
    <t>Afectación cultural</t>
  </si>
  <si>
    <t>Afectación económica</t>
  </si>
  <si>
    <t>Diseño</t>
  </si>
  <si>
    <t>Proceso</t>
  </si>
  <si>
    <r>
      <t xml:space="preserve">3. Cobertura (Co) : </t>
    </r>
    <r>
      <rPr>
        <sz val="11"/>
        <color theme="1"/>
        <rFont val="Calibri"/>
        <family val="2"/>
        <scheme val="minor"/>
      </rPr>
      <t xml:space="preserve">Definida por el </t>
    </r>
    <r>
      <rPr>
        <b/>
        <sz val="11"/>
        <color theme="1"/>
        <rFont val="Calibri"/>
        <family val="2"/>
        <scheme val="minor"/>
      </rPr>
      <t xml:space="preserve">área de influencia </t>
    </r>
    <r>
      <rPr>
        <sz val="11"/>
        <color theme="1"/>
        <rFont val="Calibri"/>
        <family val="2"/>
        <scheme val="minor"/>
      </rPr>
      <t>o por la distribución espacial del impacto/efecto ambiental.</t>
    </r>
    <r>
      <rPr>
        <b/>
        <sz val="11"/>
        <color theme="1"/>
        <rFont val="Calibri"/>
        <family val="2"/>
        <scheme val="minor"/>
      </rPr>
      <t xml:space="preserve">  </t>
    </r>
  </si>
  <si>
    <t>Meteorología clima</t>
  </si>
  <si>
    <t>ATMOSFÉRICO</t>
  </si>
  <si>
    <t>PAISAJÍSTICO</t>
  </si>
  <si>
    <t>METEOROLOGÍA-CLIMA</t>
  </si>
  <si>
    <t>Hábitat</t>
  </si>
  <si>
    <t>Diferencia sistema-pila</t>
  </si>
  <si>
    <t>% Valor salvamento</t>
  </si>
  <si>
    <t>% Devolución IR</t>
  </si>
  <si>
    <t>Valor en libros activo</t>
  </si>
  <si>
    <t>Incentivo estatal</t>
  </si>
  <si>
    <t>Revisión del sistema</t>
  </si>
  <si>
    <t>Consumo de combustible (H2)</t>
  </si>
  <si>
    <t>Valor (Sin IVA)</t>
  </si>
  <si>
    <t>Flujo neto con proyecto</t>
  </si>
  <si>
    <t>Flujo neto sin proyecto</t>
  </si>
  <si>
    <t xml:space="preserve">VP Beneficios </t>
  </si>
  <si>
    <t>VP Costos</t>
  </si>
  <si>
    <t>Descripción</t>
  </si>
  <si>
    <t>TIO + Inflación</t>
  </si>
  <si>
    <t>Tasa de impuesto de renta</t>
  </si>
  <si>
    <t>Valor</t>
  </si>
  <si>
    <t>Valor USD</t>
  </si>
  <si>
    <t>% de reducción</t>
  </si>
  <si>
    <t>CALIFICACION DE LA ACTIVIDAD</t>
  </si>
  <si>
    <t xml:space="preserve">
° Análisis dimensional
° Estimación del tamaño por crecimiento geométrico de la demanda
° Diagramas de flujo PERT y CPM
° Distribución de planta</t>
  </si>
  <si>
    <t xml:space="preserve">° Ubicar el sector de la organización
° Determinar la localización optima del proyecto
° Determinar el tamaño optimo del proyecto
° Identificar y seleccionar tecnologías
° Analizar la disponibilidad y el costo de los suministros e insumos
° Identificar y describir los procesos
° Determinar los tiempos de los procesos
° Determinar la ruta crítica
° Identificar y describir los equipos e instalaciones
° Identificar la distribución de la planta
</t>
  </si>
  <si>
    <t>Dimensiones LxWxH</t>
  </si>
  <si>
    <t>Fuente</t>
  </si>
  <si>
    <t>.</t>
  </si>
  <si>
    <t>Análisis de impactos ambientales</t>
  </si>
  <si>
    <t>Análisis de impactos ambientales con la metodología de Entradas- Procesos- Salidas (EPS)
° Calificación de importancia de impactos con la metodología de Vicente Conesa modificada por Miguel Gamboa
° Matriz de importancia
° Matriz de calificación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</si>
</sst>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&quot;$&quot;\ * #,##0.00_-;\-&quot;$&quot;\ * #,##0.00_-;_-&quot;$&quot;\ * &quot;-&quot;_-;_-@_-"/>
    <numFmt numFmtId="165" formatCode="_-* #,##0.00_-;\-* #,##0.00_-;_-* &quot;-&quot;_-;_-@_-"/>
    <numFmt numFmtId="166" formatCode="_-* #,##0.0_-;\-* #,##0.0_-;_-* &quot;-&quot;_-;_-@_-"/>
    <numFmt numFmtId="167" formatCode="0.0"/>
    <numFmt numFmtId="168" formatCode="#,##0.0"/>
    <numFmt numFmtId="169" formatCode="0.0%"/>
    <numFmt numFmtId="170" formatCode="0.0000"/>
    <numFmt numFmtId="171" formatCode="_-* #,##0\ &quot;€&quot;_-;\-* #,##0\ &quot;€&quot;_-;_-* &quot;-&quot;\ &quot;€&quot;_-;_-@_-"/>
    <numFmt numFmtId="172" formatCode="_-* #,##0.000_-;\-* #,##0.000_-;_-* &quot;-&quot;_-;_-@_-"/>
    <numFmt numFmtId="173" formatCode="_-[$$-240A]\ * #,##0.00_-;\-[$$-240A]\ * #,##0.00_-;_-[$$-240A]\ * &quot;-&quot;??_-;_-@_-"/>
    <numFmt numFmtId="174" formatCode="0.000%"/>
  </numFmts>
  <fonts count="3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0"/>
      <name val="Times New Roman"/>
      <family val="1"/>
    </font>
    <font>
      <b/>
      <sz val="10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29" fillId="0" borderId="0"/>
    <xf numFmtId="171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802">
    <xf numFmtId="0" fontId="0" fillId="0" borderId="0" xfId="0"/>
    <xf numFmtId="0" fontId="0" fillId="0" borderId="0" xfId="0" applyAlignment="1">
      <alignment horizontal="center" vertical="center"/>
    </xf>
    <xf numFmtId="0" fontId="0" fillId="0" borderId="18" xfId="0" applyFill="1" applyBorder="1"/>
    <xf numFmtId="0" fontId="2" fillId="2" borderId="1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 vertical="center"/>
    </xf>
    <xf numFmtId="0" fontId="0" fillId="0" borderId="24" xfId="0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6" xfId="0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6" xfId="0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19" xfId="0" applyFill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8" xfId="0" applyBorder="1" applyAlignment="1">
      <alignment wrapText="1"/>
    </xf>
    <xf numFmtId="0" fontId="0" fillId="2" borderId="18" xfId="0" applyFill="1" applyBorder="1"/>
    <xf numFmtId="0" fontId="0" fillId="3" borderId="18" xfId="0" applyFill="1" applyBorder="1"/>
    <xf numFmtId="0" fontId="2" fillId="2" borderId="32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1" fontId="0" fillId="0" borderId="0" xfId="1" applyFont="1" applyAlignment="1">
      <alignment vertical="center"/>
    </xf>
    <xf numFmtId="41" fontId="1" fillId="2" borderId="19" xfId="1" applyFont="1" applyFill="1" applyBorder="1" applyAlignment="1">
      <alignment horizontal="center" vertical="center" wrapText="1"/>
    </xf>
    <xf numFmtId="41" fontId="0" fillId="0" borderId="12" xfId="1" applyFont="1" applyBorder="1" applyAlignment="1">
      <alignment vertical="center"/>
    </xf>
    <xf numFmtId="41" fontId="0" fillId="0" borderId="13" xfId="1" applyFont="1" applyBorder="1" applyAlignment="1">
      <alignment vertical="center"/>
    </xf>
    <xf numFmtId="41" fontId="3" fillId="2" borderId="16" xfId="1" applyFont="1" applyFill="1" applyBorder="1" applyAlignment="1">
      <alignment vertical="center"/>
    </xf>
    <xf numFmtId="41" fontId="3" fillId="0" borderId="16" xfId="1" applyFont="1" applyBorder="1" applyAlignment="1">
      <alignment vertical="center"/>
    </xf>
    <xf numFmtId="41" fontId="2" fillId="0" borderId="16" xfId="1" applyFont="1" applyBorder="1" applyAlignment="1">
      <alignment vertical="center"/>
    </xf>
    <xf numFmtId="41" fontId="2" fillId="0" borderId="13" xfId="1" applyFont="1" applyBorder="1" applyAlignment="1">
      <alignment vertical="center"/>
    </xf>
    <xf numFmtId="41" fontId="0" fillId="0" borderId="25" xfId="1" applyFont="1" applyBorder="1" applyAlignment="1">
      <alignment vertical="center"/>
    </xf>
    <xf numFmtId="41" fontId="2" fillId="2" borderId="19" xfId="1" applyFont="1" applyFill="1" applyBorder="1" applyAlignment="1">
      <alignment vertical="center"/>
    </xf>
    <xf numFmtId="41" fontId="4" fillId="2" borderId="5" xfId="1" applyFont="1" applyFill="1" applyBorder="1" applyAlignment="1">
      <alignment vertical="center"/>
    </xf>
    <xf numFmtId="42" fontId="0" fillId="0" borderId="0" xfId="2" applyFont="1"/>
    <xf numFmtId="0" fontId="0" fillId="0" borderId="0" xfId="0" applyAlignment="1">
      <alignment horizontal="center"/>
    </xf>
    <xf numFmtId="42" fontId="0" fillId="0" borderId="18" xfId="2" applyFont="1" applyBorder="1"/>
    <xf numFmtId="14" fontId="0" fillId="0" borderId="18" xfId="0" applyNumberFormat="1" applyBorder="1"/>
    <xf numFmtId="0" fontId="0" fillId="4" borderId="0" xfId="0" applyFill="1"/>
    <xf numFmtId="0" fontId="0" fillId="0" borderId="18" xfId="0" applyBorder="1" applyAlignment="1">
      <alignment horizontal="right"/>
    </xf>
    <xf numFmtId="6" fontId="0" fillId="0" borderId="18" xfId="2" applyNumberFormat="1" applyFont="1" applyBorder="1"/>
    <xf numFmtId="49" fontId="0" fillId="0" borderId="0" xfId="0" applyNumberFormat="1"/>
    <xf numFmtId="164" fontId="0" fillId="0" borderId="0" xfId="2" applyNumberFormat="1" applyFont="1"/>
    <xf numFmtId="0" fontId="0" fillId="4" borderId="0" xfId="0" applyNumberFormat="1" applyFill="1"/>
    <xf numFmtId="165" fontId="0" fillId="0" borderId="18" xfId="0" applyNumberFormat="1" applyBorder="1"/>
    <xf numFmtId="0" fontId="2" fillId="0" borderId="18" xfId="0" applyFont="1" applyBorder="1"/>
    <xf numFmtId="0" fontId="2" fillId="0" borderId="18" xfId="0" applyFont="1" applyFill="1" applyBorder="1"/>
    <xf numFmtId="0" fontId="6" fillId="0" borderId="0" xfId="4"/>
    <xf numFmtId="0" fontId="7" fillId="0" borderId="0" xfId="0" applyFont="1"/>
    <xf numFmtId="0" fontId="0" fillId="0" borderId="7" xfId="0" applyBorder="1"/>
    <xf numFmtId="0" fontId="0" fillId="0" borderId="5" xfId="0" applyBorder="1"/>
    <xf numFmtId="0" fontId="0" fillId="0" borderId="22" xfId="0" applyBorder="1"/>
    <xf numFmtId="0" fontId="2" fillId="5" borderId="11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0" fontId="2" fillId="5" borderId="19" xfId="0" applyFont="1" applyFill="1" applyBorder="1" applyAlignment="1">
      <alignment wrapText="1"/>
    </xf>
    <xf numFmtId="0" fontId="2" fillId="5" borderId="15" xfId="0" applyFont="1" applyFill="1" applyBorder="1"/>
    <xf numFmtId="0" fontId="2" fillId="5" borderId="5" xfId="0" applyFont="1" applyFill="1" applyBorder="1"/>
    <xf numFmtId="0" fontId="2" fillId="5" borderId="16" xfId="0" applyFont="1" applyFill="1" applyBorder="1"/>
    <xf numFmtId="0" fontId="2" fillId="5" borderId="19" xfId="0" applyFont="1" applyFill="1" applyBorder="1"/>
    <xf numFmtId="0" fontId="2" fillId="5" borderId="11" xfId="0" applyFont="1" applyFill="1" applyBorder="1" applyAlignment="1">
      <alignment horizontal="center" vertical="center" wrapText="1"/>
    </xf>
    <xf numFmtId="1" fontId="2" fillId="5" borderId="8" xfId="0" applyNumberFormat="1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wrapText="1"/>
    </xf>
    <xf numFmtId="0" fontId="2" fillId="5" borderId="38" xfId="0" applyFont="1" applyFill="1" applyBorder="1"/>
    <xf numFmtId="0" fontId="0" fillId="0" borderId="3" xfId="0" applyBorder="1"/>
    <xf numFmtId="0" fontId="2" fillId="5" borderId="17" xfId="0" applyFont="1" applyFill="1" applyBorder="1"/>
    <xf numFmtId="41" fontId="0" fillId="0" borderId="7" xfId="1" applyFont="1" applyBorder="1"/>
    <xf numFmtId="41" fontId="2" fillId="5" borderId="19" xfId="1" applyFont="1" applyFill="1" applyBorder="1"/>
    <xf numFmtId="41" fontId="2" fillId="5" borderId="19" xfId="1" applyFont="1" applyFill="1" applyBorder="1" applyAlignment="1">
      <alignment horizontal="center"/>
    </xf>
    <xf numFmtId="41" fontId="0" fillId="0" borderId="7" xfId="1" applyFont="1" applyFill="1" applyBorder="1"/>
    <xf numFmtId="41" fontId="0" fillId="0" borderId="22" xfId="1" applyFont="1" applyBorder="1"/>
    <xf numFmtId="41" fontId="0" fillId="0" borderId="5" xfId="1" applyFont="1" applyBorder="1"/>
    <xf numFmtId="41" fontId="2" fillId="5" borderId="5" xfId="1" applyFont="1" applyFill="1" applyBorder="1"/>
    <xf numFmtId="41" fontId="10" fillId="5" borderId="11" xfId="1" applyFont="1" applyFill="1" applyBorder="1"/>
    <xf numFmtId="41" fontId="0" fillId="0" borderId="0" xfId="1" applyFont="1"/>
    <xf numFmtId="41" fontId="2" fillId="5" borderId="37" xfId="1" applyFont="1" applyFill="1" applyBorder="1"/>
    <xf numFmtId="41" fontId="2" fillId="5" borderId="38" xfId="1" applyFont="1" applyFill="1" applyBorder="1"/>
    <xf numFmtId="41" fontId="2" fillId="5" borderId="39" xfId="1" applyFont="1" applyFill="1" applyBorder="1"/>
    <xf numFmtId="41" fontId="2" fillId="5" borderId="17" xfId="1" applyFont="1" applyFill="1" applyBorder="1"/>
    <xf numFmtId="41" fontId="0" fillId="0" borderId="3" xfId="1" applyFont="1" applyBorder="1"/>
    <xf numFmtId="41" fontId="2" fillId="5" borderId="40" xfId="1" applyFont="1" applyFill="1" applyBorder="1"/>
    <xf numFmtId="41" fontId="10" fillId="5" borderId="19" xfId="1" applyFont="1" applyFill="1" applyBorder="1"/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2" fillId="5" borderId="21" xfId="0" applyFont="1" applyFill="1" applyBorder="1"/>
    <xf numFmtId="41" fontId="2" fillId="5" borderId="21" xfId="1" applyFont="1" applyFill="1" applyBorder="1"/>
    <xf numFmtId="41" fontId="2" fillId="5" borderId="11" xfId="1" applyFont="1" applyFill="1" applyBorder="1"/>
    <xf numFmtId="9" fontId="2" fillId="5" borderId="17" xfId="3" applyFont="1" applyFill="1" applyBorder="1"/>
    <xf numFmtId="9" fontId="0" fillId="6" borderId="7" xfId="3" applyFont="1" applyFill="1" applyBorder="1"/>
    <xf numFmtId="9" fontId="10" fillId="5" borderId="11" xfId="3" applyFont="1" applyFill="1" applyBorder="1"/>
    <xf numFmtId="0" fontId="2" fillId="5" borderId="10" xfId="0" applyFont="1" applyFill="1" applyBorder="1" applyAlignment="1">
      <alignment horizontal="center" vertical="center" wrapText="1"/>
    </xf>
    <xf numFmtId="9" fontId="0" fillId="0" borderId="0" xfId="3" applyFont="1"/>
    <xf numFmtId="9" fontId="2" fillId="5" borderId="19" xfId="3" applyFont="1" applyFill="1" applyBorder="1" applyAlignment="1">
      <alignment horizontal="center" vertical="center" wrapText="1"/>
    </xf>
    <xf numFmtId="9" fontId="2" fillId="5" borderId="16" xfId="3" applyFont="1" applyFill="1" applyBorder="1"/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0" fillId="0" borderId="0" xfId="0" applyBorder="1"/>
    <xf numFmtId="0" fontId="0" fillId="0" borderId="43" xfId="0" applyBorder="1"/>
    <xf numFmtId="0" fontId="2" fillId="0" borderId="43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 wrapText="1"/>
    </xf>
    <xf numFmtId="41" fontId="11" fillId="0" borderId="7" xfId="1" applyFont="1" applyBorder="1"/>
    <xf numFmtId="41" fontId="11" fillId="0" borderId="0" xfId="1" applyFont="1" applyBorder="1"/>
    <xf numFmtId="41" fontId="12" fillId="5" borderId="37" xfId="1" applyFont="1" applyFill="1" applyBorder="1"/>
    <xf numFmtId="41" fontId="12" fillId="5" borderId="14" xfId="1" applyFont="1" applyFill="1" applyBorder="1"/>
    <xf numFmtId="41" fontId="11" fillId="0" borderId="7" xfId="1" applyFont="1" applyFill="1" applyBorder="1"/>
    <xf numFmtId="41" fontId="11" fillId="0" borderId="22" xfId="1" applyFont="1" applyBorder="1"/>
    <xf numFmtId="41" fontId="12" fillId="5" borderId="38" xfId="1" applyFont="1" applyFill="1" applyBorder="1"/>
    <xf numFmtId="41" fontId="12" fillId="5" borderId="41" xfId="1" applyFont="1" applyFill="1" applyBorder="1"/>
    <xf numFmtId="41" fontId="12" fillId="5" borderId="17" xfId="1" applyFont="1" applyFill="1" applyBorder="1"/>
    <xf numFmtId="41" fontId="12" fillId="5" borderId="42" xfId="1" applyFont="1" applyFill="1" applyBorder="1"/>
    <xf numFmtId="9" fontId="12" fillId="5" borderId="16" xfId="3" applyFont="1" applyFill="1" applyBorder="1"/>
    <xf numFmtId="41" fontId="11" fillId="0" borderId="3" xfId="1" applyFont="1" applyBorder="1"/>
    <xf numFmtId="41" fontId="12" fillId="5" borderId="40" xfId="1" applyFont="1" applyFill="1" applyBorder="1"/>
    <xf numFmtId="41" fontId="13" fillId="5" borderId="19" xfId="1" applyFont="1" applyFill="1" applyBorder="1"/>
    <xf numFmtId="41" fontId="13" fillId="5" borderId="11" xfId="1" applyFont="1" applyFill="1" applyBorder="1"/>
    <xf numFmtId="0" fontId="2" fillId="5" borderId="11" xfId="0" applyFont="1" applyFill="1" applyBorder="1" applyAlignment="1">
      <alignment horizontal="center" vertical="center" wrapText="1"/>
    </xf>
    <xf numFmtId="41" fontId="11" fillId="0" borderId="0" xfId="1" applyFont="1" applyFill="1" applyBorder="1"/>
    <xf numFmtId="0" fontId="2" fillId="5" borderId="19" xfId="0" applyFont="1" applyFill="1" applyBorder="1" applyAlignment="1">
      <alignment horizontal="center" vertical="center" wrapText="1"/>
    </xf>
    <xf numFmtId="49" fontId="2" fillId="5" borderId="11" xfId="0" applyNumberFormat="1" applyFont="1" applyFill="1" applyBorder="1" applyAlignment="1">
      <alignment horizontal="center" vertical="center" wrapText="1"/>
    </xf>
    <xf numFmtId="41" fontId="11" fillId="0" borderId="2" xfId="1" applyFont="1" applyBorder="1"/>
    <xf numFmtId="41" fontId="13" fillId="5" borderId="10" xfId="1" applyFont="1" applyFill="1" applyBorder="1"/>
    <xf numFmtId="41" fontId="0" fillId="0" borderId="0" xfId="1" applyFont="1" applyBorder="1"/>
    <xf numFmtId="41" fontId="12" fillId="5" borderId="28" xfId="1" applyFont="1" applyFill="1" applyBorder="1"/>
    <xf numFmtId="41" fontId="12" fillId="5" borderId="25" xfId="1" applyFont="1" applyFill="1" applyBorder="1"/>
    <xf numFmtId="41" fontId="12" fillId="5" borderId="16" xfId="1" applyFont="1" applyFill="1" applyBorder="1"/>
    <xf numFmtId="41" fontId="11" fillId="0" borderId="21" xfId="1" applyFont="1" applyBorder="1"/>
    <xf numFmtId="41" fontId="12" fillId="5" borderId="29" xfId="1" applyFont="1" applyFill="1" applyBorder="1"/>
    <xf numFmtId="49" fontId="2" fillId="5" borderId="10" xfId="0" applyNumberFormat="1" applyFont="1" applyFill="1" applyBorder="1" applyAlignment="1">
      <alignment horizontal="center" vertical="center" wrapText="1"/>
    </xf>
    <xf numFmtId="49" fontId="2" fillId="5" borderId="19" xfId="0" applyNumberFormat="1" applyFont="1" applyFill="1" applyBorder="1" applyAlignment="1">
      <alignment horizontal="center" vertical="center" wrapText="1"/>
    </xf>
    <xf numFmtId="41" fontId="12" fillId="5" borderId="13" xfId="1" applyFont="1" applyFill="1" applyBorder="1"/>
    <xf numFmtId="41" fontId="11" fillId="0" borderId="8" xfId="1" applyFont="1" applyFill="1" applyBorder="1"/>
    <xf numFmtId="41" fontId="0" fillId="0" borderId="8" xfId="1" applyFont="1" applyBorder="1"/>
    <xf numFmtId="41" fontId="11" fillId="0" borderId="32" xfId="1" applyFont="1" applyFill="1" applyBorder="1"/>
    <xf numFmtId="41" fontId="11" fillId="0" borderId="43" xfId="1" applyFont="1" applyFill="1" applyBorder="1"/>
    <xf numFmtId="166" fontId="11" fillId="0" borderId="7" xfId="1" applyNumberFormat="1" applyFont="1" applyBorder="1"/>
    <xf numFmtId="166" fontId="11" fillId="0" borderId="0" xfId="1" applyNumberFormat="1" applyFont="1" applyBorder="1"/>
    <xf numFmtId="166" fontId="12" fillId="5" borderId="37" xfId="1" applyNumberFormat="1" applyFont="1" applyFill="1" applyBorder="1"/>
    <xf numFmtId="166" fontId="12" fillId="5" borderId="14" xfId="1" applyNumberFormat="1" applyFont="1" applyFill="1" applyBorder="1"/>
    <xf numFmtId="166" fontId="12" fillId="5" borderId="38" xfId="1" applyNumberFormat="1" applyFont="1" applyFill="1" applyBorder="1"/>
    <xf numFmtId="166" fontId="12" fillId="5" borderId="39" xfId="1" applyNumberFormat="1" applyFont="1" applyFill="1" applyBorder="1"/>
    <xf numFmtId="166" fontId="12" fillId="5" borderId="41" xfId="1" applyNumberFormat="1" applyFont="1" applyFill="1" applyBorder="1"/>
    <xf numFmtId="166" fontId="12" fillId="5" borderId="17" xfId="1" applyNumberFormat="1" applyFont="1" applyFill="1" applyBorder="1"/>
    <xf numFmtId="166" fontId="12" fillId="5" borderId="42" xfId="1" applyNumberFormat="1" applyFont="1" applyFill="1" applyBorder="1"/>
    <xf numFmtId="166" fontId="12" fillId="5" borderId="40" xfId="1" applyNumberFormat="1" applyFont="1" applyFill="1" applyBorder="1"/>
    <xf numFmtId="0" fontId="0" fillId="0" borderId="0" xfId="0" applyAlignment="1">
      <alignment wrapText="1"/>
    </xf>
    <xf numFmtId="0" fontId="2" fillId="0" borderId="0" xfId="0" applyFont="1"/>
    <xf numFmtId="0" fontId="2" fillId="5" borderId="11" xfId="0" applyFont="1" applyFill="1" applyBorder="1" applyAlignment="1">
      <alignment horizontal="center" vertical="center" wrapText="1"/>
    </xf>
    <xf numFmtId="9" fontId="14" fillId="5" borderId="11" xfId="3" applyFont="1" applyFill="1" applyBorder="1" applyAlignment="1">
      <alignment horizontal="right"/>
    </xf>
    <xf numFmtId="41" fontId="15" fillId="5" borderId="19" xfId="1" applyFont="1" applyFill="1" applyBorder="1"/>
    <xf numFmtId="41" fontId="15" fillId="5" borderId="11" xfId="1" applyFont="1" applyFill="1" applyBorder="1"/>
    <xf numFmtId="166" fontId="15" fillId="5" borderId="11" xfId="1" applyNumberFormat="1" applyFont="1" applyFill="1" applyBorder="1"/>
    <xf numFmtId="4" fontId="0" fillId="0" borderId="0" xfId="0" applyNumberFormat="1"/>
    <xf numFmtId="41" fontId="12" fillId="5" borderId="33" xfId="1" applyFont="1" applyFill="1" applyBorder="1"/>
    <xf numFmtId="41" fontId="12" fillId="5" borderId="49" xfId="1" applyFont="1" applyFill="1" applyBorder="1"/>
    <xf numFmtId="41" fontId="12" fillId="5" borderId="34" xfId="1" applyFont="1" applyFill="1" applyBorder="1"/>
    <xf numFmtId="41" fontId="0" fillId="0" borderId="32" xfId="1" applyFont="1" applyBorder="1"/>
    <xf numFmtId="0" fontId="2" fillId="5" borderId="1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Fill="1" applyBorder="1"/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2" fillId="0" borderId="0" xfId="0" applyFont="1" applyFill="1" applyBorder="1"/>
    <xf numFmtId="2" fontId="2" fillId="0" borderId="0" xfId="0" applyNumberFormat="1" applyFont="1" applyBorder="1"/>
    <xf numFmtId="0" fontId="2" fillId="0" borderId="50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wrapText="1"/>
    </xf>
    <xf numFmtId="0" fontId="2" fillId="0" borderId="47" xfId="0" applyFont="1" applyBorder="1" applyAlignment="1">
      <alignment horizontal="center" wrapText="1"/>
    </xf>
    <xf numFmtId="165" fontId="0" fillId="0" borderId="44" xfId="0" applyNumberFormat="1" applyBorder="1" applyAlignment="1">
      <alignment horizontal="center"/>
    </xf>
    <xf numFmtId="41" fontId="0" fillId="0" borderId="44" xfId="0" applyNumberFormat="1" applyBorder="1" applyAlignment="1">
      <alignment horizontal="center"/>
    </xf>
    <xf numFmtId="2" fontId="0" fillId="0" borderId="46" xfId="0" applyNumberFormat="1" applyBorder="1" applyAlignment="1">
      <alignment horizontal="center"/>
    </xf>
    <xf numFmtId="165" fontId="2" fillId="0" borderId="44" xfId="1" applyNumberFormat="1" applyFont="1" applyBorder="1" applyAlignment="1">
      <alignment horizontal="center"/>
    </xf>
    <xf numFmtId="41" fontId="2" fillId="0" borderId="44" xfId="0" applyNumberFormat="1" applyFont="1" applyBorder="1" applyAlignment="1">
      <alignment horizontal="center"/>
    </xf>
    <xf numFmtId="2" fontId="2" fillId="0" borderId="46" xfId="0" applyNumberFormat="1" applyFont="1" applyBorder="1" applyAlignment="1">
      <alignment horizontal="center"/>
    </xf>
    <xf numFmtId="0" fontId="0" fillId="7" borderId="0" xfId="0" applyFill="1" applyBorder="1"/>
    <xf numFmtId="0" fontId="0" fillId="0" borderId="51" xfId="0" applyBorder="1" applyAlignment="1">
      <alignment horizontal="left"/>
    </xf>
    <xf numFmtId="0" fontId="0" fillId="0" borderId="51" xfId="0" applyBorder="1" applyAlignment="1">
      <alignment horizontal="left" wrapText="1"/>
    </xf>
    <xf numFmtId="0" fontId="2" fillId="0" borderId="51" xfId="0" applyFont="1" applyBorder="1" applyAlignment="1">
      <alignment horizontal="left"/>
    </xf>
    <xf numFmtId="0" fontId="2" fillId="0" borderId="43" xfId="0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17" fillId="0" borderId="0" xfId="0" applyFont="1"/>
    <xf numFmtId="0" fontId="0" fillId="0" borderId="46" xfId="0" applyBorder="1" applyAlignment="1">
      <alignment horizontal="left" vertical="center"/>
    </xf>
    <xf numFmtId="0" fontId="2" fillId="0" borderId="47" xfId="0" applyFont="1" applyBorder="1" applyAlignment="1">
      <alignment horizontal="center" vertical="center"/>
    </xf>
    <xf numFmtId="0" fontId="0" fillId="0" borderId="47" xfId="0" applyBorder="1" applyAlignment="1">
      <alignment horizontal="left" vertical="center"/>
    </xf>
    <xf numFmtId="1" fontId="0" fillId="0" borderId="0" xfId="0" applyNumberFormat="1"/>
    <xf numFmtId="0" fontId="18" fillId="0" borderId="0" xfId="0" applyFont="1" applyAlignment="1"/>
    <xf numFmtId="168" fontId="0" fillId="0" borderId="0" xfId="0" applyNumberFormat="1"/>
    <xf numFmtId="2" fontId="0" fillId="0" borderId="0" xfId="0" applyNumberFormat="1"/>
    <xf numFmtId="169" fontId="0" fillId="0" borderId="0" xfId="3" applyNumberFormat="1" applyFont="1"/>
    <xf numFmtId="2" fontId="0" fillId="0" borderId="0" xfId="0" applyNumberFormat="1" applyFill="1"/>
    <xf numFmtId="0" fontId="21" fillId="0" borderId="0" xfId="0" applyFont="1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0" fillId="6" borderId="17" xfId="0" applyFont="1" applyFill="1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0" fillId="0" borderId="61" xfId="0" applyFont="1" applyBorder="1" applyAlignment="1">
      <alignment horizontal="center" vertical="center" wrapText="1"/>
    </xf>
    <xf numFmtId="0" fontId="0" fillId="7" borderId="60" xfId="0" applyFont="1" applyFill="1" applyBorder="1" applyAlignment="1">
      <alignment horizontal="center" vertical="center" wrapText="1"/>
    </xf>
    <xf numFmtId="0" fontId="0" fillId="6" borderId="62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textRotation="90" wrapText="1"/>
    </xf>
    <xf numFmtId="1" fontId="0" fillId="0" borderId="3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28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wrapText="1"/>
    </xf>
    <xf numFmtId="1" fontId="0" fillId="0" borderId="60" xfId="0" applyNumberFormat="1" applyFont="1" applyBorder="1" applyAlignment="1">
      <alignment horizontal="center" vertical="center" wrapText="1"/>
    </xf>
    <xf numFmtId="0" fontId="0" fillId="0" borderId="4" xfId="0" applyBorder="1"/>
    <xf numFmtId="1" fontId="0" fillId="0" borderId="16" xfId="0" applyNumberFormat="1" applyBorder="1" applyAlignment="1">
      <alignment horizontal="center" vertical="center"/>
    </xf>
    <xf numFmtId="0" fontId="2" fillId="0" borderId="29" xfId="0" applyFont="1" applyFill="1" applyBorder="1" applyAlignment="1">
      <alignment horizontal="right"/>
    </xf>
    <xf numFmtId="0" fontId="0" fillId="0" borderId="28" xfId="0" applyBorder="1"/>
    <xf numFmtId="0" fontId="0" fillId="0" borderId="56" xfId="0" applyBorder="1" applyAlignment="1">
      <alignment horizontal="center" vertical="center" wrapText="1"/>
    </xf>
    <xf numFmtId="0" fontId="0" fillId="0" borderId="54" xfId="0" applyFont="1" applyBorder="1" applyAlignment="1">
      <alignment horizontal="left" vertical="center"/>
    </xf>
    <xf numFmtId="0" fontId="0" fillId="0" borderId="59" xfId="0" applyBorder="1" applyAlignment="1">
      <alignment horizontal="center" vertical="center" wrapText="1"/>
    </xf>
    <xf numFmtId="0" fontId="0" fillId="0" borderId="61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right"/>
    </xf>
    <xf numFmtId="0" fontId="0" fillId="0" borderId="13" xfId="0" applyBorder="1"/>
    <xf numFmtId="0" fontId="0" fillId="0" borderId="15" xfId="0" applyBorder="1" applyAlignment="1">
      <alignment horizontal="center" vertical="center" wrapText="1"/>
    </xf>
    <xf numFmtId="0" fontId="0" fillId="0" borderId="26" xfId="0" applyFont="1" applyBorder="1" applyAlignment="1">
      <alignment horizontal="left" vertical="center"/>
    </xf>
    <xf numFmtId="0" fontId="0" fillId="0" borderId="62" xfId="0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9" fontId="0" fillId="0" borderId="15" xfId="0" applyNumberFormat="1" applyBorder="1" applyAlignment="1">
      <alignment horizontal="center" vertical="center" wrapText="1"/>
    </xf>
    <xf numFmtId="9" fontId="0" fillId="0" borderId="62" xfId="0" applyNumberFormat="1" applyBorder="1" applyAlignment="1">
      <alignment horizontal="center" vertical="center" wrapText="1"/>
    </xf>
    <xf numFmtId="9" fontId="0" fillId="0" borderId="56" xfId="0" applyNumberFormat="1" applyBorder="1" applyAlignment="1">
      <alignment horizontal="center" vertical="center" wrapText="1"/>
    </xf>
    <xf numFmtId="9" fontId="0" fillId="0" borderId="59" xfId="0" applyNumberFormat="1" applyBorder="1" applyAlignment="1">
      <alignment horizontal="center" vertical="center" wrapText="1"/>
    </xf>
    <xf numFmtId="0" fontId="2" fillId="0" borderId="65" xfId="0" applyFont="1" applyFill="1" applyBorder="1" applyAlignment="1">
      <alignment horizontal="right"/>
    </xf>
    <xf numFmtId="0" fontId="0" fillId="0" borderId="40" xfId="0" applyBorder="1"/>
    <xf numFmtId="0" fontId="0" fillId="0" borderId="37" xfId="0" applyBorder="1"/>
    <xf numFmtId="0" fontId="0" fillId="0" borderId="50" xfId="0" applyFont="1" applyBorder="1" applyAlignment="1">
      <alignment horizontal="left" vertical="center"/>
    </xf>
    <xf numFmtId="0" fontId="0" fillId="0" borderId="66" xfId="0" applyFont="1" applyBorder="1" applyAlignment="1">
      <alignment horizontal="left" vertical="center"/>
    </xf>
    <xf numFmtId="0" fontId="2" fillId="0" borderId="4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0" fillId="7" borderId="6" xfId="0" applyFill="1" applyBorder="1"/>
    <xf numFmtId="0" fontId="0" fillId="7" borderId="22" xfId="0" applyFill="1" applyBorder="1"/>
    <xf numFmtId="0" fontId="0" fillId="7" borderId="0" xfId="0" applyFill="1" applyBorder="1" applyAlignment="1">
      <alignment horizontal="center"/>
    </xf>
    <xf numFmtId="0" fontId="0" fillId="7" borderId="0" xfId="0" applyFill="1" applyBorder="1" applyAlignment="1">
      <alignment horizontal="center" vertical="center"/>
    </xf>
    <xf numFmtId="0" fontId="2" fillId="7" borderId="0" xfId="0" applyFont="1" applyFill="1" applyBorder="1" applyAlignment="1">
      <alignment horizontal="right"/>
    </xf>
    <xf numFmtId="0" fontId="27" fillId="7" borderId="0" xfId="0" applyFont="1" applyFill="1" applyBorder="1" applyAlignment="1">
      <alignment vertical="center"/>
    </xf>
    <xf numFmtId="0" fontId="0" fillId="0" borderId="6" xfId="0" applyBorder="1"/>
    <xf numFmtId="0" fontId="2" fillId="0" borderId="34" xfId="0" applyFont="1" applyFill="1" applyBorder="1" applyAlignment="1">
      <alignment horizontal="right"/>
    </xf>
    <xf numFmtId="0" fontId="0" fillId="0" borderId="33" xfId="0" applyBorder="1"/>
    <xf numFmtId="0" fontId="0" fillId="0" borderId="26" xfId="0" applyBorder="1" applyAlignment="1">
      <alignment horizontal="center" vertical="center" wrapText="1"/>
    </xf>
    <xf numFmtId="0" fontId="0" fillId="0" borderId="32" xfId="0" applyFont="1" applyBorder="1" applyAlignment="1">
      <alignment horizontal="left" vertical="center"/>
    </xf>
    <xf numFmtId="0" fontId="0" fillId="0" borderId="35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8" xfId="0" applyBorder="1" applyAlignment="1">
      <alignment vertical="top" wrapText="1"/>
    </xf>
    <xf numFmtId="0" fontId="0" fillId="0" borderId="18" xfId="0" applyBorder="1" applyAlignment="1">
      <alignment horizontal="left" vertical="center" wrapText="1"/>
    </xf>
    <xf numFmtId="0" fontId="17" fillId="0" borderId="18" xfId="0" applyFont="1" applyBorder="1" applyAlignment="1">
      <alignment horizontal="center" vertical="center" wrapText="1"/>
    </xf>
    <xf numFmtId="0" fontId="29" fillId="0" borderId="0" xfId="5"/>
    <xf numFmtId="9" fontId="29" fillId="0" borderId="0" xfId="5" applyNumberFormat="1"/>
    <xf numFmtId="3" fontId="29" fillId="0" borderId="0" xfId="5" applyNumberFormat="1"/>
    <xf numFmtId="0" fontId="29" fillId="0" borderId="0" xfId="5" applyFont="1"/>
    <xf numFmtId="42" fontId="0" fillId="0" borderId="0" xfId="0" applyNumberFormat="1"/>
    <xf numFmtId="42" fontId="29" fillId="0" borderId="0" xfId="5" applyNumberFormat="1"/>
    <xf numFmtId="41" fontId="29" fillId="0" borderId="0" xfId="1" applyFont="1"/>
    <xf numFmtId="169" fontId="29" fillId="0" borderId="0" xfId="5" applyNumberFormat="1"/>
    <xf numFmtId="43" fontId="0" fillId="0" borderId="0" xfId="0" applyNumberFormat="1"/>
    <xf numFmtId="41" fontId="0" fillId="0" borderId="0" xfId="0" applyNumberFormat="1"/>
    <xf numFmtId="0" fontId="22" fillId="0" borderId="18" xfId="0" applyFont="1" applyBorder="1"/>
    <xf numFmtId="42" fontId="17" fillId="0" borderId="18" xfId="2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42" fontId="22" fillId="0" borderId="18" xfId="2" applyFont="1" applyBorder="1" applyAlignment="1">
      <alignment horizontal="center" vertical="center" wrapText="1"/>
    </xf>
    <xf numFmtId="42" fontId="22" fillId="0" borderId="18" xfId="2" applyFont="1" applyBorder="1"/>
    <xf numFmtId="0" fontId="0" fillId="0" borderId="0" xfId="0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167" fontId="0" fillId="0" borderId="43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0" fontId="2" fillId="0" borderId="0" xfId="0" applyNumberFormat="1" applyFont="1" applyFill="1" applyBorder="1" applyAlignment="1">
      <alignment horizontal="center" vertical="center"/>
    </xf>
    <xf numFmtId="172" fontId="0" fillId="0" borderId="0" xfId="0" applyNumberFormat="1"/>
    <xf numFmtId="42" fontId="0" fillId="0" borderId="0" xfId="2" applyNumberFormat="1" applyFont="1"/>
    <xf numFmtId="0" fontId="30" fillId="0" borderId="0" xfId="5" applyFont="1"/>
    <xf numFmtId="2" fontId="29" fillId="0" borderId="0" xfId="5" applyNumberFormat="1"/>
    <xf numFmtId="0" fontId="29" fillId="0" borderId="0" xfId="5" applyFont="1" applyAlignment="1">
      <alignment wrapText="1"/>
    </xf>
    <xf numFmtId="0" fontId="0" fillId="7" borderId="0" xfId="0" applyFill="1"/>
    <xf numFmtId="0" fontId="22" fillId="6" borderId="18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/>
    <xf numFmtId="0" fontId="22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 vertical="center"/>
    </xf>
    <xf numFmtId="1" fontId="17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1" fontId="22" fillId="7" borderId="0" xfId="0" applyNumberFormat="1" applyFont="1" applyFill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9" fontId="0" fillId="6" borderId="16" xfId="3" applyFont="1" applyFill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54" xfId="0" applyNumberFormat="1" applyBorder="1" applyAlignment="1">
      <alignment horizontal="center" vertical="center"/>
    </xf>
    <xf numFmtId="0" fontId="22" fillId="6" borderId="18" xfId="0" applyFont="1" applyFill="1" applyBorder="1" applyAlignment="1">
      <alignment horizontal="left" vertical="center"/>
    </xf>
    <xf numFmtId="0" fontId="17" fillId="0" borderId="18" xfId="0" applyFont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0" fontId="0" fillId="6" borderId="55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16" fillId="5" borderId="64" xfId="0" applyFont="1" applyFill="1" applyBorder="1" applyAlignment="1">
      <alignment horizontal="center" wrapText="1"/>
    </xf>
    <xf numFmtId="0" fontId="16" fillId="5" borderId="63" xfId="0" applyFont="1" applyFill="1" applyBorder="1" applyAlignment="1">
      <alignment horizontal="center" wrapText="1"/>
    </xf>
    <xf numFmtId="0" fontId="16" fillId="5" borderId="19" xfId="0" applyFont="1" applyFill="1" applyBorder="1" applyAlignment="1">
      <alignment horizontal="center" vertical="center" textRotation="90" wrapText="1"/>
    </xf>
    <xf numFmtId="0" fontId="16" fillId="5" borderId="3" xfId="0" applyFont="1" applyFill="1" applyBorder="1" applyAlignment="1">
      <alignment horizontal="center" vertical="center" textRotation="90" wrapText="1"/>
    </xf>
    <xf numFmtId="0" fontId="25" fillId="5" borderId="67" xfId="0" applyFont="1" applyFill="1" applyBorder="1" applyAlignment="1">
      <alignment horizontal="center" vertical="center" textRotation="90" wrapText="1"/>
    </xf>
    <xf numFmtId="0" fontId="25" fillId="5" borderId="44" xfId="0" applyFont="1" applyFill="1" applyBorder="1" applyAlignment="1">
      <alignment horizontal="center" vertical="center" textRotation="90" wrapText="1"/>
    </xf>
    <xf numFmtId="0" fontId="0" fillId="0" borderId="18" xfId="0" applyFont="1" applyBorder="1" applyAlignment="1">
      <alignment horizontal="center" vertical="center" wrapText="1"/>
    </xf>
    <xf numFmtId="0" fontId="0" fillId="7" borderId="18" xfId="0" applyFont="1" applyFill="1" applyBorder="1" applyAlignment="1">
      <alignment horizontal="center" vertical="center" wrapText="1"/>
    </xf>
    <xf numFmtId="0" fontId="0" fillId="0" borderId="59" xfId="0" applyFont="1" applyBorder="1" applyAlignment="1">
      <alignment horizontal="center" vertical="center" wrapText="1"/>
    </xf>
    <xf numFmtId="0" fontId="0" fillId="0" borderId="56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 textRotation="90" wrapText="1"/>
    </xf>
    <xf numFmtId="0" fontId="0" fillId="6" borderId="16" xfId="0" applyFont="1" applyFill="1" applyBorder="1" applyAlignment="1">
      <alignment horizontal="center" vertical="center" wrapText="1"/>
    </xf>
    <xf numFmtId="9" fontId="0" fillId="6" borderId="13" xfId="3" applyFont="1" applyFill="1" applyBorder="1" applyAlignment="1">
      <alignment horizontal="center" vertical="center"/>
    </xf>
    <xf numFmtId="9" fontId="0" fillId="6" borderId="26" xfId="3" applyFont="1" applyFill="1" applyBorder="1" applyAlignment="1">
      <alignment horizontal="center" vertical="center" wrapText="1"/>
    </xf>
    <xf numFmtId="0" fontId="25" fillId="5" borderId="51" xfId="0" applyFont="1" applyFill="1" applyBorder="1" applyAlignment="1">
      <alignment horizontal="center" vertical="center" textRotation="90" wrapText="1"/>
    </xf>
    <xf numFmtId="0" fontId="0" fillId="0" borderId="66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6" borderId="15" xfId="0" applyFont="1" applyFill="1" applyBorder="1" applyAlignment="1">
      <alignment horizontal="center" vertical="center" wrapText="1"/>
    </xf>
    <xf numFmtId="0" fontId="16" fillId="5" borderId="72" xfId="0" applyFont="1" applyFill="1" applyBorder="1" applyAlignment="1">
      <alignment horizontal="center" wrapText="1"/>
    </xf>
    <xf numFmtId="0" fontId="16" fillId="5" borderId="73" xfId="0" applyFont="1" applyFill="1" applyBorder="1" applyAlignment="1">
      <alignment horizontal="center" wrapText="1"/>
    </xf>
    <xf numFmtId="0" fontId="25" fillId="5" borderId="68" xfId="0" applyFont="1" applyFill="1" applyBorder="1" applyAlignment="1">
      <alignment horizontal="center" vertical="center" textRotation="90" wrapText="1"/>
    </xf>
    <xf numFmtId="0" fontId="0" fillId="0" borderId="28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1" fontId="0" fillId="6" borderId="62" xfId="0" applyNumberFormat="1" applyFill="1" applyBorder="1"/>
    <xf numFmtId="1" fontId="0" fillId="6" borderId="55" xfId="0" applyNumberFormat="1" applyFill="1" applyBorder="1"/>
    <xf numFmtId="1" fontId="0" fillId="6" borderId="58" xfId="0" applyNumberFormat="1" applyFill="1" applyBorder="1" applyAlignment="1">
      <alignment horizontal="center" vertical="center"/>
    </xf>
    <xf numFmtId="1" fontId="0" fillId="6" borderId="57" xfId="0" applyNumberFormat="1" applyFill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 wrapText="1"/>
    </xf>
    <xf numFmtId="1" fontId="0" fillId="0" borderId="59" xfId="0" applyNumberFormat="1" applyFont="1" applyBorder="1" applyAlignment="1">
      <alignment horizontal="center" vertical="center" wrapText="1"/>
    </xf>
    <xf numFmtId="1" fontId="0" fillId="0" borderId="56" xfId="0" applyNumberFormat="1" applyFont="1" applyBorder="1" applyAlignment="1">
      <alignment horizontal="center" vertical="center" wrapText="1"/>
    </xf>
    <xf numFmtId="1" fontId="0" fillId="0" borderId="56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9" fontId="0" fillId="6" borderId="15" xfId="3" applyFont="1" applyFill="1" applyBorder="1" applyAlignment="1">
      <alignment horizontal="center" vertical="center"/>
    </xf>
    <xf numFmtId="9" fontId="0" fillId="6" borderId="17" xfId="3" applyFont="1" applyFill="1" applyBorder="1" applyAlignment="1">
      <alignment horizontal="center" vertical="center"/>
    </xf>
    <xf numFmtId="9" fontId="0" fillId="6" borderId="55" xfId="3" applyFont="1" applyFill="1" applyBorder="1" applyAlignment="1">
      <alignment vertical="center"/>
    </xf>
    <xf numFmtId="0" fontId="0" fillId="6" borderId="15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1" fontId="0" fillId="0" borderId="4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0" fontId="25" fillId="5" borderId="74" xfId="0" applyFont="1" applyFill="1" applyBorder="1" applyAlignment="1">
      <alignment horizontal="center" vertical="center" textRotation="90" wrapText="1"/>
    </xf>
    <xf numFmtId="0" fontId="25" fillId="5" borderId="70" xfId="0" applyFont="1" applyFill="1" applyBorder="1" applyAlignment="1">
      <alignment horizontal="center" vertical="center" textRotation="90" wrapText="1"/>
    </xf>
    <xf numFmtId="0" fontId="25" fillId="5" borderId="75" xfId="0" applyFont="1" applyFill="1" applyBorder="1" applyAlignment="1">
      <alignment horizontal="center" vertical="center" textRotation="90" wrapText="1"/>
    </xf>
    <xf numFmtId="1" fontId="0" fillId="6" borderId="65" xfId="0" applyNumberFormat="1" applyFill="1" applyBorder="1" applyAlignment="1">
      <alignment horizontal="center" vertical="center"/>
    </xf>
    <xf numFmtId="0" fontId="25" fillId="5" borderId="69" xfId="0" applyFont="1" applyFill="1" applyBorder="1" applyAlignment="1">
      <alignment horizontal="center" vertical="center" textRotation="90" wrapText="1"/>
    </xf>
    <xf numFmtId="1" fontId="0" fillId="6" borderId="76" xfId="0" applyNumberFormat="1" applyFill="1" applyBorder="1" applyAlignment="1">
      <alignment horizontal="center" vertical="center"/>
    </xf>
    <xf numFmtId="1" fontId="0" fillId="0" borderId="66" xfId="0" applyNumberFormat="1" applyFont="1" applyBorder="1" applyAlignment="1">
      <alignment horizontal="center" vertical="center" wrapText="1"/>
    </xf>
    <xf numFmtId="1" fontId="0" fillId="0" borderId="37" xfId="0" applyNumberFormat="1" applyFont="1" applyBorder="1" applyAlignment="1">
      <alignment horizontal="center" vertical="center" wrapText="1"/>
    </xf>
    <xf numFmtId="1" fontId="0" fillId="0" borderId="60" xfId="0" applyNumberFormat="1" applyFill="1" applyBorder="1" applyAlignment="1">
      <alignment horizontal="center" vertical="center"/>
    </xf>
    <xf numFmtId="1" fontId="0" fillId="0" borderId="59" xfId="0" applyNumberFormat="1" applyFill="1" applyBorder="1" applyAlignment="1">
      <alignment horizontal="center" vertical="center"/>
    </xf>
    <xf numFmtId="169" fontId="0" fillId="10" borderId="30" xfId="3" applyNumberFormat="1" applyFont="1" applyFill="1" applyBorder="1" applyAlignment="1">
      <alignment horizontal="center" vertical="center"/>
    </xf>
    <xf numFmtId="169" fontId="0" fillId="10" borderId="53" xfId="3" applyNumberFormat="1" applyFont="1" applyFill="1" applyBorder="1" applyAlignment="1">
      <alignment horizontal="center" vertical="center"/>
    </xf>
    <xf numFmtId="169" fontId="0" fillId="8" borderId="30" xfId="3" applyNumberFormat="1" applyFont="1" applyFill="1" applyBorder="1" applyAlignment="1">
      <alignment horizontal="center" vertical="center"/>
    </xf>
    <xf numFmtId="169" fontId="0" fillId="4" borderId="30" xfId="3" applyNumberFormat="1" applyFont="1" applyFill="1" applyBorder="1" applyAlignment="1">
      <alignment horizontal="center" vertical="center"/>
    </xf>
    <xf numFmtId="169" fontId="0" fillId="4" borderId="53" xfId="3" applyNumberFormat="1" applyFont="1" applyFill="1" applyBorder="1" applyAlignment="1">
      <alignment horizontal="center" vertical="center"/>
    </xf>
    <xf numFmtId="169" fontId="0" fillId="10" borderId="40" xfId="3" applyNumberFormat="1" applyFont="1" applyFill="1" applyBorder="1" applyAlignment="1">
      <alignment horizontal="center" vertical="center"/>
    </xf>
    <xf numFmtId="1" fontId="0" fillId="0" borderId="66" xfId="0" applyNumberFormat="1" applyFill="1" applyBorder="1" applyAlignment="1">
      <alignment horizontal="center" vertical="center"/>
    </xf>
    <xf numFmtId="169" fontId="0" fillId="8" borderId="40" xfId="3" applyNumberFormat="1" applyFon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169" fontId="0" fillId="10" borderId="56" xfId="3" applyNumberFormat="1" applyFont="1" applyFill="1" applyBorder="1" applyAlignment="1">
      <alignment horizontal="center" vertical="center"/>
    </xf>
    <xf numFmtId="1" fontId="0" fillId="0" borderId="29" xfId="0" applyNumberFormat="1" applyFill="1" applyBorder="1" applyAlignment="1">
      <alignment horizontal="center" vertical="center"/>
    </xf>
    <xf numFmtId="169" fontId="0" fillId="8" borderId="56" xfId="3" applyNumberFormat="1" applyFont="1" applyFill="1" applyBorder="1" applyAlignment="1">
      <alignment horizontal="center" vertical="center"/>
    </xf>
    <xf numFmtId="169" fontId="0" fillId="4" borderId="56" xfId="3" applyNumberFormat="1" applyFont="1" applyFill="1" applyBorder="1" applyAlignment="1">
      <alignment horizontal="center" vertical="center"/>
    </xf>
    <xf numFmtId="1" fontId="0" fillId="0" borderId="54" xfId="0" applyNumberFormat="1" applyFill="1" applyBorder="1" applyAlignment="1">
      <alignment horizontal="center" vertical="center"/>
    </xf>
    <xf numFmtId="169" fontId="0" fillId="10" borderId="71" xfId="3" applyNumberFormat="1" applyFont="1" applyFill="1" applyBorder="1" applyAlignment="1">
      <alignment horizontal="center" vertical="center"/>
    </xf>
    <xf numFmtId="0" fontId="16" fillId="9" borderId="64" xfId="0" applyFont="1" applyFill="1" applyBorder="1" applyAlignment="1">
      <alignment horizontal="center" vertical="center" textRotation="90" wrapText="1"/>
    </xf>
    <xf numFmtId="0" fontId="25" fillId="9" borderId="73" xfId="0" applyFont="1" applyFill="1" applyBorder="1" applyAlignment="1">
      <alignment horizontal="center" vertical="center" textRotation="90" wrapText="1"/>
    </xf>
    <xf numFmtId="169" fontId="0" fillId="8" borderId="71" xfId="3" applyNumberFormat="1" applyFont="1" applyFill="1" applyBorder="1" applyAlignment="1">
      <alignment horizontal="center" vertical="center"/>
    </xf>
    <xf numFmtId="42" fontId="29" fillId="0" borderId="0" xfId="2" applyFont="1"/>
    <xf numFmtId="9" fontId="29" fillId="0" borderId="0" xfId="3" applyFont="1"/>
    <xf numFmtId="0" fontId="0" fillId="0" borderId="13" xfId="0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3" fontId="29" fillId="0" borderId="18" xfId="5" applyNumberFormat="1" applyBorder="1"/>
    <xf numFmtId="0" fontId="30" fillId="6" borderId="18" xfId="5" applyFont="1" applyFill="1" applyBorder="1"/>
    <xf numFmtId="0" fontId="29" fillId="6" borderId="18" xfId="5" applyFill="1" applyBorder="1"/>
    <xf numFmtId="0" fontId="29" fillId="6" borderId="18" xfId="5" applyFont="1" applyFill="1" applyBorder="1"/>
    <xf numFmtId="3" fontId="29" fillId="0" borderId="18" xfId="5" applyNumberFormat="1" applyFill="1" applyBorder="1"/>
    <xf numFmtId="42" fontId="0" fillId="0" borderId="0" xfId="0" applyNumberFormat="1" applyBorder="1"/>
    <xf numFmtId="42" fontId="2" fillId="0" borderId="0" xfId="0" applyNumberFormat="1" applyFont="1" applyBorder="1"/>
    <xf numFmtId="0" fontId="22" fillId="0" borderId="43" xfId="0" applyFont="1" applyBorder="1" applyAlignment="1">
      <alignment horizontal="center" vertical="center" wrapText="1"/>
    </xf>
    <xf numFmtId="42" fontId="0" fillId="0" borderId="43" xfId="0" applyNumberFormat="1" applyBorder="1"/>
    <xf numFmtId="3" fontId="29" fillId="0" borderId="0" xfId="5" applyNumberFormat="1" applyBorder="1"/>
    <xf numFmtId="0" fontId="30" fillId="0" borderId="0" xfId="5" applyFont="1" applyFill="1" applyBorder="1"/>
    <xf numFmtId="167" fontId="29" fillId="0" borderId="18" xfId="5" applyNumberFormat="1" applyBorder="1"/>
    <xf numFmtId="10" fontId="29" fillId="0" borderId="0" xfId="5" applyNumberFormat="1" applyFill="1"/>
    <xf numFmtId="0" fontId="29" fillId="0" borderId="0" xfId="5" applyFill="1"/>
    <xf numFmtId="0" fontId="31" fillId="0" borderId="0" xfId="5" applyFont="1"/>
    <xf numFmtId="169" fontId="32" fillId="0" borderId="0" xfId="7" applyNumberFormat="1" applyFont="1"/>
    <xf numFmtId="0" fontId="33" fillId="0" borderId="0" xfId="5" applyFont="1" applyAlignment="1">
      <alignment wrapText="1"/>
    </xf>
    <xf numFmtId="9" fontId="33" fillId="0" borderId="0" xfId="5" applyNumberFormat="1" applyFont="1" applyFill="1" applyAlignment="1">
      <alignment wrapText="1"/>
    </xf>
    <xf numFmtId="169" fontId="33" fillId="0" borderId="0" xfId="5" applyNumberFormat="1" applyFont="1" applyAlignment="1">
      <alignment wrapText="1"/>
    </xf>
    <xf numFmtId="0" fontId="34" fillId="0" borderId="0" xfId="5" applyFont="1" applyAlignment="1">
      <alignment wrapText="1"/>
    </xf>
    <xf numFmtId="9" fontId="34" fillId="0" borderId="0" xfId="3" applyFont="1" applyAlignment="1">
      <alignment wrapText="1"/>
    </xf>
    <xf numFmtId="42" fontId="34" fillId="0" borderId="0" xfId="2" applyNumberFormat="1" applyFont="1" applyAlignment="1">
      <alignment wrapText="1"/>
    </xf>
    <xf numFmtId="0" fontId="30" fillId="0" borderId="43" xfId="5" applyFont="1" applyBorder="1" applyAlignment="1">
      <alignment horizontal="center"/>
    </xf>
    <xf numFmtId="174" fontId="33" fillId="0" borderId="0" xfId="5" applyNumberFormat="1" applyFont="1" applyAlignment="1">
      <alignment wrapText="1"/>
    </xf>
    <xf numFmtId="174" fontId="29" fillId="0" borderId="18" xfId="5" applyNumberFormat="1" applyBorder="1"/>
    <xf numFmtId="41" fontId="0" fillId="0" borderId="5" xfId="1" applyFont="1" applyFill="1" applyBorder="1"/>
    <xf numFmtId="0" fontId="0" fillId="0" borderId="0" xfId="0" applyFill="1"/>
    <xf numFmtId="1" fontId="2" fillId="0" borderId="8" xfId="0" applyNumberFormat="1" applyFont="1" applyFill="1" applyBorder="1" applyAlignment="1">
      <alignment horizontal="center"/>
    </xf>
    <xf numFmtId="0" fontId="2" fillId="0" borderId="18" xfId="0" applyFont="1" applyBorder="1" applyAlignment="1">
      <alignment horizontal="center" vertical="center"/>
    </xf>
    <xf numFmtId="2" fontId="0" fillId="0" borderId="18" xfId="0" applyNumberFormat="1" applyBorder="1"/>
    <xf numFmtId="2" fontId="2" fillId="0" borderId="18" xfId="0" applyNumberFormat="1" applyFont="1" applyBorder="1"/>
    <xf numFmtId="165" fontId="2" fillId="0" borderId="18" xfId="0" applyNumberFormat="1" applyFont="1" applyBorder="1"/>
    <xf numFmtId="9" fontId="2" fillId="0" borderId="18" xfId="3" applyFont="1" applyBorder="1"/>
    <xf numFmtId="0" fontId="2" fillId="5" borderId="18" xfId="0" applyFont="1" applyFill="1" applyBorder="1"/>
    <xf numFmtId="42" fontId="2" fillId="5" borderId="18" xfId="2" applyFont="1" applyFill="1" applyBorder="1"/>
    <xf numFmtId="165" fontId="2" fillId="5" borderId="18" xfId="1" applyNumberFormat="1" applyFont="1" applyFill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173" fontId="32" fillId="0" borderId="18" xfId="6" applyNumberFormat="1" applyFont="1" applyFill="1" applyBorder="1"/>
    <xf numFmtId="169" fontId="31" fillId="0" borderId="18" xfId="5" applyNumberFormat="1" applyFont="1" applyBorder="1"/>
    <xf numFmtId="42" fontId="31" fillId="0" borderId="18" xfId="2" applyFont="1" applyFill="1" applyBorder="1"/>
    <xf numFmtId="42" fontId="31" fillId="0" borderId="18" xfId="2" applyFont="1" applyBorder="1"/>
    <xf numFmtId="3" fontId="31" fillId="0" borderId="18" xfId="5" applyNumberFormat="1" applyFont="1" applyFill="1" applyBorder="1"/>
    <xf numFmtId="3" fontId="31" fillId="0" borderId="18" xfId="5" applyNumberFormat="1" applyFont="1" applyBorder="1"/>
    <xf numFmtId="42" fontId="32" fillId="0" borderId="18" xfId="2" applyFont="1" applyBorder="1"/>
    <xf numFmtId="0" fontId="35" fillId="5" borderId="18" xfId="5" applyFont="1" applyFill="1" applyBorder="1"/>
    <xf numFmtId="0" fontId="31" fillId="5" borderId="18" xfId="5" applyFont="1" applyFill="1" applyBorder="1"/>
    <xf numFmtId="9" fontId="35" fillId="5" borderId="48" xfId="5" applyNumberFormat="1" applyFont="1" applyFill="1" applyBorder="1"/>
    <xf numFmtId="169" fontId="36" fillId="5" borderId="48" xfId="7" applyNumberFormat="1" applyFont="1" applyFill="1" applyBorder="1"/>
    <xf numFmtId="0" fontId="22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vertical="center"/>
    </xf>
    <xf numFmtId="0" fontId="17" fillId="7" borderId="0" xfId="0" applyFont="1" applyFill="1" applyBorder="1" applyAlignment="1">
      <alignment horizontal="center" vertical="center"/>
    </xf>
    <xf numFmtId="1" fontId="17" fillId="7" borderId="0" xfId="0" applyNumberFormat="1" applyFont="1" applyFill="1" applyBorder="1" applyAlignment="1">
      <alignment horizontal="center" vertical="center"/>
    </xf>
    <xf numFmtId="0" fontId="17" fillId="5" borderId="9" xfId="0" applyFont="1" applyFill="1" applyBorder="1"/>
    <xf numFmtId="0" fontId="22" fillId="5" borderId="9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26" xfId="0" applyFont="1" applyBorder="1" applyAlignment="1">
      <alignment vertical="center" wrapText="1"/>
    </xf>
    <xf numFmtId="0" fontId="22" fillId="5" borderId="6" xfId="0" applyFont="1" applyFill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13" xfId="0" applyFont="1" applyBorder="1" applyAlignment="1">
      <alignment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16" xfId="0" applyFont="1" applyBorder="1" applyAlignment="1">
      <alignment vertical="center" wrapText="1"/>
    </xf>
    <xf numFmtId="0" fontId="22" fillId="0" borderId="0" xfId="0" applyFont="1" applyBorder="1" applyAlignment="1"/>
    <xf numFmtId="0" fontId="0" fillId="4" borderId="18" xfId="0" applyFill="1" applyBorder="1"/>
    <xf numFmtId="1" fontId="0" fillId="4" borderId="18" xfId="0" applyNumberFormat="1" applyFill="1" applyBorder="1"/>
    <xf numFmtId="2" fontId="0" fillId="4" borderId="18" xfId="0" applyNumberFormat="1" applyFill="1" applyBorder="1"/>
    <xf numFmtId="1" fontId="0" fillId="0" borderId="18" xfId="0" applyNumberFormat="1" applyBorder="1"/>
    <xf numFmtId="168" fontId="0" fillId="0" borderId="18" xfId="0" applyNumberFormat="1" applyBorder="1"/>
    <xf numFmtId="169" fontId="0" fillId="0" borderId="18" xfId="3" applyNumberFormat="1" applyFont="1" applyBorder="1"/>
    <xf numFmtId="0" fontId="2" fillId="5" borderId="18" xfId="0" applyFont="1" applyFill="1" applyBorder="1" applyAlignment="1">
      <alignment wrapText="1"/>
    </xf>
    <xf numFmtId="0" fontId="2" fillId="0" borderId="18" xfId="0" applyFont="1" applyFill="1" applyBorder="1" applyAlignment="1"/>
    <xf numFmtId="0" fontId="0" fillId="0" borderId="18" xfId="0" applyFill="1" applyBorder="1" applyAlignment="1"/>
    <xf numFmtId="9" fontId="0" fillId="0" borderId="18" xfId="0" applyNumberFormat="1" applyFill="1" applyBorder="1" applyAlignment="1"/>
    <xf numFmtId="42" fontId="0" fillId="0" borderId="18" xfId="2" applyFont="1" applyFill="1" applyBorder="1" applyAlignment="1"/>
    <xf numFmtId="0" fontId="2" fillId="6" borderId="18" xfId="0" applyFont="1" applyFill="1" applyBorder="1" applyAlignment="1"/>
    <xf numFmtId="0" fontId="0" fillId="6" borderId="18" xfId="0" applyFill="1" applyBorder="1"/>
    <xf numFmtId="0" fontId="6" fillId="0" borderId="18" xfId="4" applyBorder="1"/>
    <xf numFmtId="0" fontId="0" fillId="7" borderId="0" xfId="0" applyFill="1" applyAlignment="1">
      <alignment horizontal="center" vertical="center"/>
    </xf>
    <xf numFmtId="169" fontId="0" fillId="7" borderId="0" xfId="0" applyNumberFormat="1" applyFill="1" applyAlignment="1">
      <alignment horizontal="center" vertical="center"/>
    </xf>
    <xf numFmtId="169" fontId="0" fillId="7" borderId="0" xfId="0" applyNumberFormat="1" applyFill="1"/>
    <xf numFmtId="0" fontId="23" fillId="7" borderId="0" xfId="0" applyFont="1" applyFill="1" applyAlignment="1">
      <alignment horizontal="center" wrapText="1"/>
    </xf>
    <xf numFmtId="9" fontId="0" fillId="0" borderId="71" xfId="0" applyNumberFormat="1" applyBorder="1" applyAlignment="1">
      <alignment horizontal="center" vertical="center" wrapText="1"/>
    </xf>
    <xf numFmtId="0" fontId="0" fillId="0" borderId="77" xfId="0" applyBorder="1"/>
    <xf numFmtId="0" fontId="0" fillId="0" borderId="78" xfId="0" applyBorder="1" applyAlignment="1">
      <alignment horizontal="center" vertical="center"/>
    </xf>
    <xf numFmtId="0" fontId="0" fillId="7" borderId="4" xfId="0" applyFill="1" applyBorder="1"/>
    <xf numFmtId="0" fontId="2" fillId="5" borderId="64" xfId="0" applyFont="1" applyFill="1" applyBorder="1" applyAlignment="1">
      <alignment horizontal="right"/>
    </xf>
    <xf numFmtId="1" fontId="2" fillId="0" borderId="1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 wrapText="1"/>
    </xf>
    <xf numFmtId="0" fontId="2" fillId="2" borderId="30" xfId="0" applyFont="1" applyFill="1" applyBorder="1" applyAlignment="1">
      <alignment horizontal="center" wrapText="1"/>
    </xf>
    <xf numFmtId="0" fontId="2" fillId="2" borderId="31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0" fillId="0" borderId="28" xfId="0" applyFont="1" applyFill="1" applyBorder="1" applyAlignment="1">
      <alignment horizontal="center" wrapText="1"/>
    </xf>
    <xf numFmtId="0" fontId="0" fillId="0" borderId="18" xfId="0" applyFont="1" applyFill="1" applyBorder="1" applyAlignment="1">
      <alignment horizontal="center" wrapText="1"/>
    </xf>
    <xf numFmtId="0" fontId="0" fillId="0" borderId="27" xfId="0" applyFont="1" applyFill="1" applyBorder="1" applyAlignment="1">
      <alignment horizontal="center" wrapText="1"/>
    </xf>
    <xf numFmtId="0" fontId="0" fillId="0" borderId="28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2" fillId="2" borderId="28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2" fillId="2" borderId="28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" fillId="2" borderId="27" xfId="0" applyFont="1" applyFill="1" applyBorder="1" applyAlignment="1">
      <alignment horizontal="center" wrapText="1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2" borderId="8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4" fillId="2" borderId="20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0" fillId="2" borderId="22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wrapText="1"/>
    </xf>
    <xf numFmtId="0" fontId="2" fillId="5" borderId="18" xfId="0" applyFont="1" applyFill="1" applyBorder="1" applyAlignment="1">
      <alignment horizontal="center"/>
    </xf>
    <xf numFmtId="0" fontId="0" fillId="0" borderId="18" xfId="0" applyFill="1" applyBorder="1" applyAlignment="1">
      <alignment horizontal="left"/>
    </xf>
    <xf numFmtId="0" fontId="2" fillId="6" borderId="18" xfId="0" applyFont="1" applyFill="1" applyBorder="1" applyAlignment="1">
      <alignment horizontal="left"/>
    </xf>
    <xf numFmtId="0" fontId="2" fillId="0" borderId="4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left" vertical="center"/>
    </xf>
    <xf numFmtId="0" fontId="0" fillId="0" borderId="43" xfId="0" applyFill="1" applyBorder="1" applyAlignment="1">
      <alignment horizontal="left"/>
    </xf>
    <xf numFmtId="0" fontId="6" fillId="0" borderId="18" xfId="4" applyFill="1" applyBorder="1" applyAlignment="1">
      <alignment horizontal="left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9" fontId="0" fillId="6" borderId="21" xfId="3" applyFont="1" applyFill="1" applyBorder="1" applyAlignment="1">
      <alignment horizontal="center"/>
    </xf>
    <xf numFmtId="9" fontId="0" fillId="6" borderId="22" xfId="3" applyFont="1" applyFill="1" applyBorder="1" applyAlignment="1">
      <alignment horizontal="center"/>
    </xf>
    <xf numFmtId="9" fontId="0" fillId="6" borderId="6" xfId="3" applyFont="1" applyFill="1" applyBorder="1" applyAlignment="1">
      <alignment horizontal="center"/>
    </xf>
    <xf numFmtId="9" fontId="0" fillId="6" borderId="26" xfId="3" applyFont="1" applyFill="1" applyBorder="1" applyAlignment="1">
      <alignment horizontal="center"/>
    </xf>
    <xf numFmtId="9" fontId="0" fillId="6" borderId="25" xfId="3" applyFont="1" applyFill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9" fontId="11" fillId="6" borderId="21" xfId="3" applyFont="1" applyFill="1" applyBorder="1" applyAlignment="1">
      <alignment horizontal="center"/>
    </xf>
    <xf numFmtId="9" fontId="11" fillId="6" borderId="22" xfId="3" applyFont="1" applyFill="1" applyBorder="1" applyAlignment="1">
      <alignment horizontal="center"/>
    </xf>
    <xf numFmtId="9" fontId="11" fillId="6" borderId="26" xfId="3" applyFont="1" applyFill="1" applyBorder="1" applyAlignment="1">
      <alignment horizontal="center"/>
    </xf>
    <xf numFmtId="9" fontId="11" fillId="6" borderId="25" xfId="3" applyFont="1" applyFill="1" applyBorder="1" applyAlignment="1">
      <alignment horizontal="center"/>
    </xf>
    <xf numFmtId="9" fontId="12" fillId="6" borderId="21" xfId="3" applyFont="1" applyFill="1" applyBorder="1" applyAlignment="1">
      <alignment horizontal="right"/>
    </xf>
    <xf numFmtId="9" fontId="12" fillId="6" borderId="22" xfId="3" applyFont="1" applyFill="1" applyBorder="1" applyAlignment="1">
      <alignment horizontal="right"/>
    </xf>
    <xf numFmtId="9" fontId="12" fillId="6" borderId="6" xfId="3" applyFont="1" applyFill="1" applyBorder="1" applyAlignment="1">
      <alignment horizontal="right"/>
    </xf>
    <xf numFmtId="0" fontId="2" fillId="5" borderId="21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22" fillId="0" borderId="43" xfId="0" applyFont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4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19" fillId="0" borderId="1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20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20" fillId="8" borderId="2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0" fillId="8" borderId="4" xfId="0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0" fontId="22" fillId="7" borderId="43" xfId="0" applyFont="1" applyFill="1" applyBorder="1" applyAlignment="1">
      <alignment horizontal="center"/>
    </xf>
    <xf numFmtId="0" fontId="22" fillId="7" borderId="0" xfId="0" applyFont="1" applyFill="1" applyBorder="1" applyAlignment="1">
      <alignment horizontal="center" vertical="center"/>
    </xf>
    <xf numFmtId="0" fontId="22" fillId="7" borderId="43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18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left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0" fillId="7" borderId="8" xfId="0" applyFill="1" applyBorder="1" applyAlignment="1">
      <alignment horizontal="left" vertical="top" wrapText="1"/>
    </xf>
    <xf numFmtId="0" fontId="0" fillId="7" borderId="0" xfId="0" applyFill="1" applyBorder="1" applyAlignment="1">
      <alignment horizontal="left" vertical="top" wrapText="1"/>
    </xf>
    <xf numFmtId="0" fontId="0" fillId="7" borderId="7" xfId="0" applyFill="1" applyBorder="1" applyAlignment="1">
      <alignment horizontal="left" vertical="top" wrapText="1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0" fillId="0" borderId="8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2" fillId="0" borderId="3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0" fillId="7" borderId="49" xfId="0" applyFill="1" applyBorder="1" applyAlignment="1">
      <alignment horizontal="left" vertical="top" wrapText="1"/>
    </xf>
    <xf numFmtId="0" fontId="0" fillId="7" borderId="41" xfId="0" applyFill="1" applyBorder="1" applyAlignment="1">
      <alignment horizontal="left" vertical="top" wrapText="1"/>
    </xf>
    <xf numFmtId="0" fontId="0" fillId="7" borderId="38" xfId="0" applyFill="1" applyBorder="1" applyAlignment="1">
      <alignment horizontal="left" vertical="top" wrapText="1"/>
    </xf>
    <xf numFmtId="0" fontId="2" fillId="7" borderId="8" xfId="0" applyFont="1" applyFill="1" applyBorder="1" applyAlignment="1">
      <alignment horizontal="left" vertical="top" wrapText="1"/>
    </xf>
    <xf numFmtId="0" fontId="2" fillId="7" borderId="0" xfId="0" applyFont="1" applyFill="1" applyBorder="1" applyAlignment="1">
      <alignment horizontal="left" vertical="top" wrapText="1"/>
    </xf>
    <xf numFmtId="0" fontId="2" fillId="7" borderId="7" xfId="0" applyFont="1" applyFill="1" applyBorder="1" applyAlignment="1">
      <alignment horizontal="left" vertical="top" wrapText="1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68" xfId="0" applyBorder="1" applyAlignment="1">
      <alignment horizontal="center"/>
    </xf>
    <xf numFmtId="0" fontId="0" fillId="0" borderId="28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0" fillId="0" borderId="3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20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2" fillId="0" borderId="28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10" borderId="37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6" borderId="1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20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wrapText="1"/>
    </xf>
    <xf numFmtId="0" fontId="16" fillId="5" borderId="11" xfId="0" applyFont="1" applyFill="1" applyBorder="1" applyAlignment="1">
      <alignment horizontal="center" wrapText="1"/>
    </xf>
    <xf numFmtId="9" fontId="0" fillId="6" borderId="1" xfId="3" applyFont="1" applyFill="1" applyBorder="1" applyAlignment="1">
      <alignment horizontal="center" vertical="center" wrapText="1"/>
    </xf>
    <xf numFmtId="9" fontId="0" fillId="6" borderId="8" xfId="3" applyFont="1" applyFill="1" applyBorder="1" applyAlignment="1">
      <alignment horizontal="center" vertical="center" wrapText="1"/>
    </xf>
    <xf numFmtId="9" fontId="0" fillId="6" borderId="20" xfId="3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wrapText="1"/>
    </xf>
    <xf numFmtId="0" fontId="26" fillId="5" borderId="9" xfId="0" applyFont="1" applyFill="1" applyBorder="1" applyAlignment="1">
      <alignment horizontal="center" vertical="center"/>
    </xf>
    <xf numFmtId="0" fontId="26" fillId="5" borderId="10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9" fontId="0" fillId="6" borderId="26" xfId="3" applyFont="1" applyFill="1" applyBorder="1" applyAlignment="1">
      <alignment horizontal="center" vertical="center" wrapText="1"/>
    </xf>
    <xf numFmtId="9" fontId="0" fillId="6" borderId="13" xfId="3" applyFont="1" applyFill="1" applyBorder="1" applyAlignment="1">
      <alignment horizontal="center" vertical="center" wrapText="1"/>
    </xf>
    <xf numFmtId="9" fontId="0" fillId="6" borderId="13" xfId="3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12" xfId="0" applyFont="1" applyFill="1" applyBorder="1" applyAlignment="1">
      <alignment horizontal="center" vertical="center" wrapText="1"/>
    </xf>
    <xf numFmtId="0" fontId="0" fillId="6" borderId="13" xfId="0" applyFont="1" applyFill="1" applyBorder="1" applyAlignment="1">
      <alignment horizontal="center"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27" fillId="7" borderId="8" xfId="0" applyFont="1" applyFill="1" applyBorder="1" applyAlignment="1">
      <alignment horizontal="center" vertical="center"/>
    </xf>
    <xf numFmtId="0" fontId="27" fillId="7" borderId="20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7" fillId="7" borderId="21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5" borderId="9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0" fontId="28" fillId="5" borderId="11" xfId="0" applyFont="1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5" borderId="64" xfId="0" applyFill="1" applyBorder="1" applyAlignment="1">
      <alignment horizontal="center" vertical="center"/>
    </xf>
    <xf numFmtId="0" fontId="0" fillId="5" borderId="73" xfId="0" applyFill="1" applyBorder="1" applyAlignment="1">
      <alignment horizontal="center" vertical="center"/>
    </xf>
    <xf numFmtId="0" fontId="0" fillId="6" borderId="62" xfId="0" applyFont="1" applyFill="1" applyBorder="1" applyAlignment="1">
      <alignment horizontal="center" vertical="center" wrapText="1"/>
    </xf>
    <xf numFmtId="0" fontId="0" fillId="6" borderId="15" xfId="0" applyFont="1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2" fillId="5" borderId="69" xfId="0" applyFont="1" applyFill="1" applyBorder="1" applyAlignment="1">
      <alignment horizontal="center" vertical="center"/>
    </xf>
    <xf numFmtId="0" fontId="2" fillId="5" borderId="70" xfId="0" applyFont="1" applyFill="1" applyBorder="1" applyAlignment="1">
      <alignment horizontal="center" vertical="center"/>
    </xf>
    <xf numFmtId="0" fontId="2" fillId="5" borderId="61" xfId="0" applyFont="1" applyFill="1" applyBorder="1" applyAlignment="1">
      <alignment horizontal="center" vertical="center"/>
    </xf>
    <xf numFmtId="0" fontId="2" fillId="5" borderId="59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0" fillId="6" borderId="55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9" fontId="0" fillId="6" borderId="15" xfId="3" applyFont="1" applyFill="1" applyBorder="1" applyAlignment="1">
      <alignment horizontal="center" vertical="center"/>
    </xf>
    <xf numFmtId="9" fontId="2" fillId="6" borderId="22" xfId="3" applyFont="1" applyFill="1" applyBorder="1" applyAlignment="1">
      <alignment horizontal="center" vertical="center"/>
    </xf>
    <xf numFmtId="9" fontId="2" fillId="6" borderId="6" xfId="3" applyFont="1" applyFill="1" applyBorder="1" applyAlignment="1">
      <alignment horizontal="center" vertical="center"/>
    </xf>
    <xf numFmtId="9" fontId="0" fillId="6" borderId="55" xfId="3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wrapText="1"/>
    </xf>
    <xf numFmtId="42" fontId="0" fillId="4" borderId="18" xfId="0" applyNumberFormat="1" applyFill="1" applyBorder="1"/>
  </cellXfs>
  <cellStyles count="8">
    <cellStyle name="Hipervínculo" xfId="4" builtinId="8"/>
    <cellStyle name="Millares [0]" xfId="1" builtinId="6"/>
    <cellStyle name="Moneda [0]" xfId="2" builtinId="7"/>
    <cellStyle name="Moneda [0] 2" xfId="6" xr:uid="{CD486655-E2FC-4DFD-8251-E99729F82947}"/>
    <cellStyle name="Normal" xfId="0" builtinId="0"/>
    <cellStyle name="Normal 2" xfId="5" xr:uid="{98D37497-91C4-4DF1-9015-46C6DC5EB94A}"/>
    <cellStyle name="Porcentaje" xfId="3" builtinId="5"/>
    <cellStyle name="Porcentaje 2" xfId="7" xr:uid="{C7EE4E87-B967-4F62-A27C-B41ABECDC7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cargas'!$CC$22:$CZ$22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86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251.5275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17</c:v>
                </c:pt>
                <c:pt idx="17">
                  <c:v>178.5</c:v>
                </c:pt>
                <c:pt idx="18">
                  <c:v>69</c:v>
                </c:pt>
                <c:pt idx="19">
                  <c:v>69</c:v>
                </c:pt>
                <c:pt idx="20">
                  <c:v>86</c:v>
                </c:pt>
                <c:pt idx="21">
                  <c:v>120</c:v>
                </c:pt>
                <c:pt idx="22">
                  <c:v>120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1-4CEF-AA3E-105AE88F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941816"/>
        <c:axId val="544937552"/>
      </c:lineChart>
      <c:catAx>
        <c:axId val="54494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37552"/>
        <c:crosses val="autoZero"/>
        <c:auto val="1"/>
        <c:lblAlgn val="ctr"/>
        <c:lblOffset val="100"/>
        <c:noMultiLvlLbl val="0"/>
      </c:catAx>
      <c:valAx>
        <c:axId val="54493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</a:t>
                </a:r>
                <a:r>
                  <a:rPr lang="es-CO"/>
                  <a:t>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(WORD)'!$CC$30:$CZ$30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348</c:v>
                </c:pt>
                <c:pt idx="19">
                  <c:v>248</c:v>
                </c:pt>
                <c:pt idx="20">
                  <c:v>248</c:v>
                </c:pt>
                <c:pt idx="21">
                  <c:v>68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C-462D-8696-347225BFB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334776"/>
        <c:axId val="538334120"/>
      </c:lineChart>
      <c:catAx>
        <c:axId val="538334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334120"/>
        <c:crosses val="autoZero"/>
        <c:auto val="1"/>
        <c:lblAlgn val="ctr"/>
        <c:lblOffset val="100"/>
        <c:noMultiLvlLbl val="0"/>
      </c:catAx>
      <c:valAx>
        <c:axId val="53833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33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(WORD)'!$CC$36:$CZ$36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220.5</c:v>
                </c:pt>
                <c:pt idx="20">
                  <c:v>140</c:v>
                </c:pt>
                <c:pt idx="21">
                  <c:v>28</c:v>
                </c:pt>
                <c:pt idx="22">
                  <c:v>28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6-464A-AE6A-7BA0ACEE3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265088"/>
        <c:axId val="425265744"/>
      </c:lineChart>
      <c:catAx>
        <c:axId val="42526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</a:t>
                </a:r>
                <a:r>
                  <a:rPr lang="es-CO" baseline="0"/>
                  <a:t> (Horas)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5265744"/>
        <c:crosses val="autoZero"/>
        <c:auto val="1"/>
        <c:lblAlgn val="ctr"/>
        <c:lblOffset val="100"/>
        <c:noMultiLvlLbl val="0"/>
      </c:catAx>
      <c:valAx>
        <c:axId val="42526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526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</a:t>
            </a:r>
            <a:r>
              <a:rPr lang="es-CO" baseline="0"/>
              <a:t> 4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'Inventario de cargas (WORD)'!$CC$38:$CZ$38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1120</c:v>
                </c:pt>
                <c:pt idx="21">
                  <c:v>1120</c:v>
                </c:pt>
                <c:pt idx="22">
                  <c:v>1120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B-4D8B-B1C2-54FED414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947720"/>
        <c:axId val="544948048"/>
      </c:lineChart>
      <c:catAx>
        <c:axId val="544947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8048"/>
        <c:crosses val="autoZero"/>
        <c:auto val="1"/>
        <c:lblAlgn val="ctr"/>
        <c:lblOffset val="100"/>
        <c:noMultiLvlLbl val="0"/>
      </c:catAx>
      <c:valAx>
        <c:axId val="54494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(WORD)'!$CC$39:$CZ$39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243.5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537.5</c:v>
                </c:pt>
                <c:pt idx="20">
                  <c:v>1594</c:v>
                </c:pt>
                <c:pt idx="21">
                  <c:v>1336</c:v>
                </c:pt>
                <c:pt idx="22">
                  <c:v>1268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3-4561-AD31-C64A123AB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139408"/>
        <c:axId val="538139736"/>
      </c:lineChart>
      <c:catAx>
        <c:axId val="53813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139736"/>
        <c:crosses val="autoZero"/>
        <c:auto val="1"/>
        <c:lblAlgn val="ctr"/>
        <c:lblOffset val="100"/>
        <c:noMultiLvlLbl val="0"/>
      </c:catAx>
      <c:valAx>
        <c:axId val="53813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13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  <a:r>
              <a:rPr lang="es-CO" baseline="0"/>
              <a:t> (sin piso 4)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(WORD)'!$CC$41:$CZ$41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243.5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537.5</c:v>
                </c:pt>
                <c:pt idx="20">
                  <c:v>474</c:v>
                </c:pt>
                <c:pt idx="21">
                  <c:v>216</c:v>
                </c:pt>
                <c:pt idx="22">
                  <c:v>148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D-41E7-86F0-D3E89662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028776"/>
        <c:axId val="432025824"/>
      </c:lineChart>
      <c:catAx>
        <c:axId val="432028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025824"/>
        <c:crosses val="autoZero"/>
        <c:auto val="1"/>
        <c:lblAlgn val="ctr"/>
        <c:lblOffset val="100"/>
        <c:noMultiLvlLbl val="0"/>
      </c:catAx>
      <c:valAx>
        <c:axId val="4320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028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 piso 1 y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(WORD)'!$CC$42:$CZ$42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186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251.5275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317</c:v>
                </c:pt>
                <c:pt idx="20">
                  <c:v>334</c:v>
                </c:pt>
                <c:pt idx="21">
                  <c:v>188</c:v>
                </c:pt>
                <c:pt idx="22">
                  <c:v>120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3-4160-82AB-DB20F682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347160"/>
        <c:axId val="434346504"/>
      </c:lineChart>
      <c:catAx>
        <c:axId val="434347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4346504"/>
        <c:crosses val="autoZero"/>
        <c:auto val="1"/>
        <c:lblAlgn val="ctr"/>
        <c:lblOffset val="100"/>
        <c:noMultiLvlLbl val="0"/>
      </c:catAx>
      <c:valAx>
        <c:axId val="43434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434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  <a:r>
              <a:rPr lang="es-CO" baseline="0"/>
              <a:t> piso 1 y 3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(WORD)'!$CC$43:$CZ$43</c:f>
              <c:numCache>
                <c:formatCode>_(* #,##0_);_(* \(#,##0\);_(* "-"_);_(@_)</c:formatCode>
                <c:ptCount val="24"/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143.5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17</c:v>
                </c:pt>
                <c:pt idx="17">
                  <c:v>178.5</c:v>
                </c:pt>
                <c:pt idx="18">
                  <c:v>69</c:v>
                </c:pt>
                <c:pt idx="19">
                  <c:v>289.5</c:v>
                </c:pt>
                <c:pt idx="20">
                  <c:v>226</c:v>
                </c:pt>
                <c:pt idx="21">
                  <c:v>148</c:v>
                </c:pt>
                <c:pt idx="22">
                  <c:v>148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8-476B-BA4D-6B5846CD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54120"/>
        <c:axId val="428956744"/>
      </c:lineChart>
      <c:catAx>
        <c:axId val="4289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8956744"/>
        <c:crosses val="autoZero"/>
        <c:auto val="1"/>
        <c:lblAlgn val="ctr"/>
        <c:lblOffset val="100"/>
        <c:noMultiLvlLbl val="0"/>
      </c:catAx>
      <c:valAx>
        <c:axId val="42895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89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cargas'!$CC$30:$CZ$30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348</c:v>
                </c:pt>
                <c:pt idx="19">
                  <c:v>248</c:v>
                </c:pt>
                <c:pt idx="20">
                  <c:v>248</c:v>
                </c:pt>
                <c:pt idx="21">
                  <c:v>68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D-4889-978D-778AFBFEC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334776"/>
        <c:axId val="538334120"/>
      </c:lineChart>
      <c:catAx>
        <c:axId val="538334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334120"/>
        <c:crosses val="autoZero"/>
        <c:auto val="1"/>
        <c:lblAlgn val="ctr"/>
        <c:lblOffset val="100"/>
        <c:noMultiLvlLbl val="0"/>
      </c:catAx>
      <c:valAx>
        <c:axId val="53833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334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cargas'!$CC$36:$CZ$36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220.5</c:v>
                </c:pt>
                <c:pt idx="20">
                  <c:v>140</c:v>
                </c:pt>
                <c:pt idx="21">
                  <c:v>28</c:v>
                </c:pt>
                <c:pt idx="22">
                  <c:v>28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2-4ECE-9B39-5B6B23974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265088"/>
        <c:axId val="425265744"/>
      </c:lineChart>
      <c:catAx>
        <c:axId val="42526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</a:t>
                </a:r>
                <a:r>
                  <a:rPr lang="es-CO" baseline="0"/>
                  <a:t> (Horas)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5265744"/>
        <c:crosses val="autoZero"/>
        <c:auto val="1"/>
        <c:lblAlgn val="ctr"/>
        <c:lblOffset val="100"/>
        <c:noMultiLvlLbl val="0"/>
      </c:catAx>
      <c:valAx>
        <c:axId val="42526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5265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</a:t>
            </a:r>
            <a:r>
              <a:rPr lang="es-CO" baseline="0"/>
              <a:t> 4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'Inventario de cargas'!$CC$38:$CZ$38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1120</c:v>
                </c:pt>
                <c:pt idx="21">
                  <c:v>1120</c:v>
                </c:pt>
                <c:pt idx="22">
                  <c:v>1120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1-4F40-AEB5-6D384046E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947720"/>
        <c:axId val="544948048"/>
      </c:lineChart>
      <c:catAx>
        <c:axId val="544947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8048"/>
        <c:crosses val="autoZero"/>
        <c:auto val="1"/>
        <c:lblAlgn val="ctr"/>
        <c:lblOffset val="100"/>
        <c:noMultiLvlLbl val="0"/>
      </c:catAx>
      <c:valAx>
        <c:axId val="54494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cargas'!$CC$39:$CZ$39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243.5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537.5</c:v>
                </c:pt>
                <c:pt idx="20">
                  <c:v>1594</c:v>
                </c:pt>
                <c:pt idx="21">
                  <c:v>1336</c:v>
                </c:pt>
                <c:pt idx="22">
                  <c:v>1268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C-45A8-8C30-622F68E7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139408"/>
        <c:axId val="538139736"/>
      </c:lineChart>
      <c:catAx>
        <c:axId val="53813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139736"/>
        <c:crosses val="autoZero"/>
        <c:auto val="1"/>
        <c:lblAlgn val="ctr"/>
        <c:lblOffset val="100"/>
        <c:noMultiLvlLbl val="0"/>
      </c:catAx>
      <c:valAx>
        <c:axId val="53813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/>
                  <a:t>Potencia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13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  <a:r>
              <a:rPr lang="es-CO" baseline="0"/>
              <a:t> (sin piso 4)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cargas'!$CC$41:$CZ$41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243.5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537.5</c:v>
                </c:pt>
                <c:pt idx="20">
                  <c:v>474</c:v>
                </c:pt>
                <c:pt idx="21">
                  <c:v>216</c:v>
                </c:pt>
                <c:pt idx="22">
                  <c:v>148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0-4D42-8A85-ACDFFF6B6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028776"/>
        <c:axId val="432025824"/>
      </c:lineChart>
      <c:catAx>
        <c:axId val="432028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025824"/>
        <c:crosses val="autoZero"/>
        <c:auto val="1"/>
        <c:lblAlgn val="ctr"/>
        <c:lblOffset val="100"/>
        <c:noMultiLvlLbl val="0"/>
      </c:catAx>
      <c:valAx>
        <c:axId val="4320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028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 piso 1 y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cargas'!$CC$42:$CZ$42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186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251.5275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197</c:v>
                </c:pt>
                <c:pt idx="16">
                  <c:v>197</c:v>
                </c:pt>
                <c:pt idx="17">
                  <c:v>358.5</c:v>
                </c:pt>
                <c:pt idx="18">
                  <c:v>417</c:v>
                </c:pt>
                <c:pt idx="19">
                  <c:v>317</c:v>
                </c:pt>
                <c:pt idx="20">
                  <c:v>334</c:v>
                </c:pt>
                <c:pt idx="21">
                  <c:v>188</c:v>
                </c:pt>
                <c:pt idx="22">
                  <c:v>120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5-4237-85ED-7FC4E45E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347160"/>
        <c:axId val="434346504"/>
      </c:lineChart>
      <c:catAx>
        <c:axId val="434347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4346504"/>
        <c:crosses val="autoZero"/>
        <c:auto val="1"/>
        <c:lblAlgn val="ctr"/>
        <c:lblOffset val="100"/>
        <c:noMultiLvlLbl val="0"/>
      </c:catAx>
      <c:valAx>
        <c:axId val="43434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434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consumo</a:t>
            </a:r>
            <a:r>
              <a:rPr lang="es-CO" baseline="0"/>
              <a:t> piso 1 y 3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cargas'!$CC$43:$CZ$43</c:f>
              <c:numCache>
                <c:formatCode>_(* #,##0_);_(* \(#,##0\);_(* "-"_);_(@_)</c:formatCode>
                <c:ptCount val="24"/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143.5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297.52750000000003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17</c:v>
                </c:pt>
                <c:pt idx="17">
                  <c:v>178.5</c:v>
                </c:pt>
                <c:pt idx="18">
                  <c:v>69</c:v>
                </c:pt>
                <c:pt idx="19">
                  <c:v>289.5</c:v>
                </c:pt>
                <c:pt idx="20">
                  <c:v>226</c:v>
                </c:pt>
                <c:pt idx="21">
                  <c:v>148</c:v>
                </c:pt>
                <c:pt idx="22">
                  <c:v>148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F-4413-8B02-FB6150F6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54120"/>
        <c:axId val="428956744"/>
      </c:lineChart>
      <c:catAx>
        <c:axId val="428954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8956744"/>
        <c:crosses val="autoZero"/>
        <c:auto val="1"/>
        <c:lblAlgn val="ctr"/>
        <c:lblOffset val="100"/>
        <c:noMultiLvlLbl val="0"/>
      </c:catAx>
      <c:valAx>
        <c:axId val="42895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(Watts)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895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Piso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'Inventario de cargas (WORD)'!$CC$2:$CZ$2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'Inventario de cargas (WORD)'!$CC$22:$CZ$22</c:f>
              <c:numCache>
                <c:formatCode>_(* #,##0_);_(* \(#,##0\);_(* "-"_);_(@_)</c:formatCode>
                <c:ptCount val="24"/>
                <c:pt idx="0">
                  <c:v>86</c:v>
                </c:pt>
                <c:pt idx="1">
                  <c:v>103</c:v>
                </c:pt>
                <c:pt idx="2">
                  <c:v>120</c:v>
                </c:pt>
                <c:pt idx="3">
                  <c:v>120</c:v>
                </c:pt>
                <c:pt idx="4">
                  <c:v>103</c:v>
                </c:pt>
                <c:pt idx="5">
                  <c:v>178.5</c:v>
                </c:pt>
                <c:pt idx="6">
                  <c:v>86</c:v>
                </c:pt>
                <c:pt idx="7">
                  <c:v>86</c:v>
                </c:pt>
                <c:pt idx="8">
                  <c:v>307</c:v>
                </c:pt>
                <c:pt idx="9">
                  <c:v>221</c:v>
                </c:pt>
                <c:pt idx="10">
                  <c:v>221</c:v>
                </c:pt>
                <c:pt idx="11">
                  <c:v>251.5275</c:v>
                </c:pt>
                <c:pt idx="12">
                  <c:v>221</c:v>
                </c:pt>
                <c:pt idx="13">
                  <c:v>0</c:v>
                </c:pt>
                <c:pt idx="14">
                  <c:v>0</c:v>
                </c:pt>
                <c:pt idx="15">
                  <c:v>17</c:v>
                </c:pt>
                <c:pt idx="16">
                  <c:v>17</c:v>
                </c:pt>
                <c:pt idx="17">
                  <c:v>178.5</c:v>
                </c:pt>
                <c:pt idx="18">
                  <c:v>69</c:v>
                </c:pt>
                <c:pt idx="19">
                  <c:v>69</c:v>
                </c:pt>
                <c:pt idx="20">
                  <c:v>86</c:v>
                </c:pt>
                <c:pt idx="21">
                  <c:v>120</c:v>
                </c:pt>
                <c:pt idx="22">
                  <c:v>120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8-43C0-9415-1437B3F5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941816"/>
        <c:axId val="544937552"/>
      </c:lineChart>
      <c:catAx>
        <c:axId val="54494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Tiempo (Horas)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37552"/>
        <c:crosses val="autoZero"/>
        <c:auto val="1"/>
        <c:lblAlgn val="ctr"/>
        <c:lblOffset val="100"/>
        <c:noMultiLvlLbl val="0"/>
      </c:catAx>
      <c:valAx>
        <c:axId val="54493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Potencia</a:t>
                </a:r>
                <a:r>
                  <a:rPr lang="es-CO" baseline="0"/>
                  <a:t> </a:t>
                </a:r>
                <a:r>
                  <a:rPr lang="es-CO"/>
                  <a:t> (Watts)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44941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105</xdr:col>
      <xdr:colOff>508000</xdr:colOff>
      <xdr:row>1</xdr:row>
      <xdr:rowOff>612775</xdr:rowOff>
    </xdr:from>
    <xdr:to>
      <xdr:col>111</xdr:col>
      <xdr:colOff>508000</xdr:colOff>
      <xdr:row>10</xdr:row>
      <xdr:rowOff>292100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0F818D0-3EBC-449A-93CB-B1EDF909FE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112</xdr:col>
      <xdr:colOff>158750</xdr:colOff>
      <xdr:row>1</xdr:row>
      <xdr:rowOff>628650</xdr:rowOff>
    </xdr:from>
    <xdr:to>
      <xdr:col>118</xdr:col>
      <xdr:colOff>158750</xdr:colOff>
      <xdr:row>10</xdr:row>
      <xdr:rowOff>307975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72703E-7318-40BE-B932-0EF5899031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105</xdr:col>
      <xdr:colOff>492125</xdr:colOff>
      <xdr:row>11</xdr:row>
      <xdr:rowOff>184150</xdr:rowOff>
    </xdr:from>
    <xdr:to>
      <xdr:col>111</xdr:col>
      <xdr:colOff>492125</xdr:colOff>
      <xdr:row>23</xdr:row>
      <xdr:rowOff>101600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4C8BD1-943E-4A24-A490-615D7746F7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112</xdr:col>
      <xdr:colOff>269875</xdr:colOff>
      <xdr:row>11</xdr:row>
      <xdr:rowOff>191620</xdr:rowOff>
    </xdr:from>
    <xdr:to>
      <xdr:col>118</xdr:col>
      <xdr:colOff>280147</xdr:colOff>
      <xdr:row>23</xdr:row>
      <xdr:rowOff>168088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F81AE4-7DDD-49F2-8E38-4731B341FE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119</xdr:col>
      <xdr:colOff>19844</xdr:colOff>
      <xdr:row>1</xdr:row>
      <xdr:rowOff>636587</xdr:rowOff>
    </xdr:from>
    <xdr:to>
      <xdr:col>125</xdr:col>
      <xdr:colOff>19844</xdr:colOff>
      <xdr:row>10</xdr:row>
      <xdr:rowOff>359569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41022C7-7057-428B-B522-D993F6EF29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125</xdr:col>
      <xdr:colOff>682625</xdr:colOff>
      <xdr:row>1</xdr:row>
      <xdr:rowOff>604837</xdr:rowOff>
    </xdr:from>
    <xdr:to>
      <xdr:col>131</xdr:col>
      <xdr:colOff>682625</xdr:colOff>
      <xdr:row>10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53911A-3985-400E-889F-105FD2293B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746125</xdr:colOff>
      <xdr:row>11</xdr:row>
      <xdr:rowOff>319087</xdr:rowOff>
    </xdr:from>
    <xdr:to>
      <xdr:col>124</xdr:col>
      <xdr:colOff>746125</xdr:colOff>
      <xdr:row>24</xdr:row>
      <xdr:rowOff>14287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C0BAA5-97EF-496C-B574-9C48949EB1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125</xdr:col>
      <xdr:colOff>682625</xdr:colOff>
      <xdr:row>11</xdr:row>
      <xdr:rowOff>334962</xdr:rowOff>
    </xdr:from>
    <xdr:to>
      <xdr:col>131</xdr:col>
      <xdr:colOff>682625</xdr:colOff>
      <xdr:row>24</xdr:row>
      <xdr:rowOff>30162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E4B6D6A-63A4-4700-A3C9-77DA7F63DD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105</xdr:col>
      <xdr:colOff>508000</xdr:colOff>
      <xdr:row>1</xdr:row>
      <xdr:rowOff>612775</xdr:rowOff>
    </xdr:from>
    <xdr:to>
      <xdr:col>111</xdr:col>
      <xdr:colOff>508000</xdr:colOff>
      <xdr:row>10</xdr:row>
      <xdr:rowOff>292100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23B731-3C33-4851-98A1-9D4000D9C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112</xdr:col>
      <xdr:colOff>158750</xdr:colOff>
      <xdr:row>1</xdr:row>
      <xdr:rowOff>628650</xdr:rowOff>
    </xdr:from>
    <xdr:to>
      <xdr:col>118</xdr:col>
      <xdr:colOff>158750</xdr:colOff>
      <xdr:row>10</xdr:row>
      <xdr:rowOff>307975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7190EC-8404-4658-AEC6-E6FAAAA54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105</xdr:col>
      <xdr:colOff>492125</xdr:colOff>
      <xdr:row>11</xdr:row>
      <xdr:rowOff>184150</xdr:rowOff>
    </xdr:from>
    <xdr:to>
      <xdr:col>111</xdr:col>
      <xdr:colOff>492125</xdr:colOff>
      <xdr:row>23</xdr:row>
      <xdr:rowOff>101600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39FFBB8-BC23-4F9E-951E-408577971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112</xdr:col>
      <xdr:colOff>269875</xdr:colOff>
      <xdr:row>11</xdr:row>
      <xdr:rowOff>191620</xdr:rowOff>
    </xdr:from>
    <xdr:to>
      <xdr:col>118</xdr:col>
      <xdr:colOff>280147</xdr:colOff>
      <xdr:row>23</xdr:row>
      <xdr:rowOff>168088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CE0840-C416-4BF3-8A15-937B6BF21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119</xdr:col>
      <xdr:colOff>19844</xdr:colOff>
      <xdr:row>1</xdr:row>
      <xdr:rowOff>636587</xdr:rowOff>
    </xdr:from>
    <xdr:to>
      <xdr:col>125</xdr:col>
      <xdr:colOff>19844</xdr:colOff>
      <xdr:row>10</xdr:row>
      <xdr:rowOff>359569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65F26A-7B0F-4FD0-B451-010D5A3D3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125</xdr:col>
      <xdr:colOff>682625</xdr:colOff>
      <xdr:row>1</xdr:row>
      <xdr:rowOff>604837</xdr:rowOff>
    </xdr:from>
    <xdr:to>
      <xdr:col>131</xdr:col>
      <xdr:colOff>682625</xdr:colOff>
      <xdr:row>10</xdr:row>
      <xdr:rowOff>349250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13038D-7512-470A-8BA3-04ABF60D2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118</xdr:col>
      <xdr:colOff>746125</xdr:colOff>
      <xdr:row>11</xdr:row>
      <xdr:rowOff>319087</xdr:rowOff>
    </xdr:from>
    <xdr:to>
      <xdr:col>124</xdr:col>
      <xdr:colOff>746125</xdr:colOff>
      <xdr:row>24</xdr:row>
      <xdr:rowOff>14287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125225-FB15-44C7-9771-279918FCB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125</xdr:col>
      <xdr:colOff>682625</xdr:colOff>
      <xdr:row>11</xdr:row>
      <xdr:rowOff>334962</xdr:rowOff>
    </xdr:from>
    <xdr:to>
      <xdr:col>131</xdr:col>
      <xdr:colOff>682625</xdr:colOff>
      <xdr:row>24</xdr:row>
      <xdr:rowOff>30162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7821C8-C75A-40F7-9373-E8388BFA0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14</xdr:row>
      <xdr:rowOff>206131</xdr:rowOff>
    </xdr:from>
    <xdr:to>
      <xdr:col>6</xdr:col>
      <xdr:colOff>1590675</xdr:colOff>
      <xdr:row>18</xdr:row>
      <xdr:rowOff>75882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B5E122-C73A-40C2-A52E-3907C715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5" y="3558931"/>
          <a:ext cx="1514475" cy="860351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219077</xdr:colOff>
      <xdr:row>19</xdr:row>
      <xdr:rowOff>95250</xdr:rowOff>
    </xdr:from>
    <xdr:to>
      <xdr:col>6</xdr:col>
      <xdr:colOff>1556421</xdr:colOff>
      <xdr:row>23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58AC6C-C6B8-47BE-B31C-3CB9CC5E9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2" y="4686300"/>
          <a:ext cx="1337344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30</xdr:row>
      <xdr:rowOff>66675</xdr:rowOff>
    </xdr:from>
    <xdr:to>
      <xdr:col>6</xdr:col>
      <xdr:colOff>1219200</xdr:colOff>
      <xdr:row>30</xdr:row>
      <xdr:rowOff>1181099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580D95-F11E-473A-BA90-19AC1B8F69F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86450" y="6981825"/>
          <a:ext cx="847725" cy="1114424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32</xdr:row>
      <xdr:rowOff>76200</xdr:rowOff>
    </xdr:from>
    <xdr:to>
      <xdr:col>6</xdr:col>
      <xdr:colOff>1257300</xdr:colOff>
      <xdr:row>32</xdr:row>
      <xdr:rowOff>963839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1654315-7795-40DC-BBB9-D845F90A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0276" y="9620250"/>
          <a:ext cx="761999" cy="887639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33</xdr:row>
      <xdr:rowOff>104775</xdr:rowOff>
    </xdr:from>
    <xdr:to>
      <xdr:col>6</xdr:col>
      <xdr:colOff>1367002</xdr:colOff>
      <xdr:row>33</xdr:row>
      <xdr:rowOff>742856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1115402-4F26-4E8C-9645-451CE255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3125" y="10734675"/>
          <a:ext cx="928852" cy="638081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34</xdr:row>
      <xdr:rowOff>66675</xdr:rowOff>
    </xdr:from>
    <xdr:to>
      <xdr:col>6</xdr:col>
      <xdr:colOff>1428750</xdr:colOff>
      <xdr:row>34</xdr:row>
      <xdr:rowOff>1251378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64A1285-204C-4852-86F0-F94815D5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53125" y="14039850"/>
          <a:ext cx="990600" cy="118470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31</xdr:row>
      <xdr:rowOff>133350</xdr:rowOff>
    </xdr:from>
    <xdr:to>
      <xdr:col>6</xdr:col>
      <xdr:colOff>1457325</xdr:colOff>
      <xdr:row>31</xdr:row>
      <xdr:rowOff>820549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FAC7CE8-19AD-4B12-AD18-C118ECAF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8763000"/>
          <a:ext cx="1209675" cy="687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36</xdr:row>
      <xdr:rowOff>0</xdr:rowOff>
    </xdr:from>
    <xdr:to>
      <xdr:col>7</xdr:col>
      <xdr:colOff>0</xdr:colOff>
      <xdr:row>39</xdr:row>
      <xdr:rowOff>9525</xdr:rowOff>
    </xdr:to>
    <xdr:sp macro="" textlink="">
      <xdr:nvSpPr>
        <xdr:cNvPr id="30" name="Conector 1">
          <a:extLst>
            <a:ext uri="{FF2B5EF4-FFF2-40B4-BE49-F238E27FC236}">
              <a16:creationId xmlns:a16="http://schemas.microsoft.com/office/drawing/2014/main" id="{E5DD7D96-66F8-416D-9F46-1CE5D6C81DDE}"/>
            </a:ext>
          </a:extLst>
        </xdr:cNvPr>
        <xdr:cNvSpPr/>
      </xdr:nvSpPr>
      <xdr:spPr>
        <a:xfrm>
          <a:off x="800099" y="14087475"/>
          <a:ext cx="723901" cy="58102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1</a:t>
          </a:r>
        </a:p>
      </xdr:txBody>
    </xdr:sp>
    <xdr:clientData/>
  </xdr:twoCellAnchor>
  <xdr:twoCellAnchor>
    <xdr:from>
      <xdr:col>8</xdr:col>
      <xdr:colOff>38099</xdr:colOff>
      <xdr:row>36</xdr:row>
      <xdr:rowOff>0</xdr:rowOff>
    </xdr:from>
    <xdr:to>
      <xdr:col>9</xdr:col>
      <xdr:colOff>0</xdr:colOff>
      <xdr:row>39</xdr:row>
      <xdr:rowOff>9525</xdr:rowOff>
    </xdr:to>
    <xdr:sp macro="" textlink="">
      <xdr:nvSpPr>
        <xdr:cNvPr id="31" name="Conector 2">
          <a:extLst>
            <a:ext uri="{FF2B5EF4-FFF2-40B4-BE49-F238E27FC236}">
              <a16:creationId xmlns:a16="http://schemas.microsoft.com/office/drawing/2014/main" id="{3C76DE01-CC39-4D33-9AA9-5A59E6A8579F}"/>
            </a:ext>
          </a:extLst>
        </xdr:cNvPr>
        <xdr:cNvSpPr/>
      </xdr:nvSpPr>
      <xdr:spPr>
        <a:xfrm>
          <a:off x="2324099" y="14087475"/>
          <a:ext cx="723901" cy="58102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2</a:t>
          </a:r>
        </a:p>
      </xdr:txBody>
    </xdr:sp>
    <xdr:clientData/>
  </xdr:twoCellAnchor>
  <xdr:twoCellAnchor>
    <xdr:from>
      <xdr:col>10</xdr:col>
      <xdr:colOff>85724</xdr:colOff>
      <xdr:row>39</xdr:row>
      <xdr:rowOff>111124</xdr:rowOff>
    </xdr:from>
    <xdr:to>
      <xdr:col>11</xdr:col>
      <xdr:colOff>47625</xdr:colOff>
      <xdr:row>42</xdr:row>
      <xdr:rowOff>120649</xdr:rowOff>
    </xdr:to>
    <xdr:sp macro="" textlink="">
      <xdr:nvSpPr>
        <xdr:cNvPr id="32" name="Conector 3">
          <a:extLst>
            <a:ext uri="{FF2B5EF4-FFF2-40B4-BE49-F238E27FC236}">
              <a16:creationId xmlns:a16="http://schemas.microsoft.com/office/drawing/2014/main" id="{16CA32B7-CEBE-40AA-8E1D-8A13A456BF9F}"/>
            </a:ext>
          </a:extLst>
        </xdr:cNvPr>
        <xdr:cNvSpPr/>
      </xdr:nvSpPr>
      <xdr:spPr>
        <a:xfrm>
          <a:off x="10674349" y="7588249"/>
          <a:ext cx="723901" cy="628650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3</a:t>
          </a:r>
        </a:p>
      </xdr:txBody>
    </xdr:sp>
    <xdr:clientData/>
  </xdr:twoCellAnchor>
  <xdr:twoCellAnchor>
    <xdr:from>
      <xdr:col>10</xdr:col>
      <xdr:colOff>73817</xdr:colOff>
      <xdr:row>32</xdr:row>
      <xdr:rowOff>190501</xdr:rowOff>
    </xdr:from>
    <xdr:to>
      <xdr:col>11</xdr:col>
      <xdr:colOff>35718</xdr:colOff>
      <xdr:row>35</xdr:row>
      <xdr:rowOff>200026</xdr:rowOff>
    </xdr:to>
    <xdr:sp macro="" textlink="">
      <xdr:nvSpPr>
        <xdr:cNvPr id="33" name="Conector 4">
          <a:extLst>
            <a:ext uri="{FF2B5EF4-FFF2-40B4-BE49-F238E27FC236}">
              <a16:creationId xmlns:a16="http://schemas.microsoft.com/office/drawing/2014/main" id="{38A96735-AA3C-4F12-84DE-FCAF51421444}"/>
            </a:ext>
          </a:extLst>
        </xdr:cNvPr>
        <xdr:cNvSpPr/>
      </xdr:nvSpPr>
      <xdr:spPr>
        <a:xfrm>
          <a:off x="10384630" y="7858126"/>
          <a:ext cx="723901" cy="61674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4</a:t>
          </a:r>
        </a:p>
      </xdr:txBody>
    </xdr:sp>
    <xdr:clientData/>
  </xdr:twoCellAnchor>
  <xdr:twoCellAnchor>
    <xdr:from>
      <xdr:col>12</xdr:col>
      <xdr:colOff>26193</xdr:colOff>
      <xdr:row>36</xdr:row>
      <xdr:rowOff>47625</xdr:rowOff>
    </xdr:from>
    <xdr:to>
      <xdr:col>12</xdr:col>
      <xdr:colOff>750094</xdr:colOff>
      <xdr:row>39</xdr:row>
      <xdr:rowOff>57150</xdr:rowOff>
    </xdr:to>
    <xdr:sp macro="" textlink="">
      <xdr:nvSpPr>
        <xdr:cNvPr id="34" name="Conector 5">
          <a:extLst>
            <a:ext uri="{FF2B5EF4-FFF2-40B4-BE49-F238E27FC236}">
              <a16:creationId xmlns:a16="http://schemas.microsoft.com/office/drawing/2014/main" id="{DDD19319-065E-4881-B2E2-4E307AB96186}"/>
            </a:ext>
          </a:extLst>
        </xdr:cNvPr>
        <xdr:cNvSpPr/>
      </xdr:nvSpPr>
      <xdr:spPr>
        <a:xfrm>
          <a:off x="11861006" y="8524875"/>
          <a:ext cx="723901" cy="61674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5</a:t>
          </a:r>
        </a:p>
      </xdr:txBody>
    </xdr:sp>
    <xdr:clientData/>
  </xdr:twoCellAnchor>
  <xdr:twoCellAnchor>
    <xdr:from>
      <xdr:col>14</xdr:col>
      <xdr:colOff>38098</xdr:colOff>
      <xdr:row>36</xdr:row>
      <xdr:rowOff>35719</xdr:rowOff>
    </xdr:from>
    <xdr:to>
      <xdr:col>15</xdr:col>
      <xdr:colOff>-1</xdr:colOff>
      <xdr:row>39</xdr:row>
      <xdr:rowOff>45244</xdr:rowOff>
    </xdr:to>
    <xdr:sp macro="" textlink="">
      <xdr:nvSpPr>
        <xdr:cNvPr id="35" name="Conector 6">
          <a:extLst>
            <a:ext uri="{FF2B5EF4-FFF2-40B4-BE49-F238E27FC236}">
              <a16:creationId xmlns:a16="http://schemas.microsoft.com/office/drawing/2014/main" id="{22FDBAB0-0054-4F6E-BB59-7F98862E14D6}"/>
            </a:ext>
          </a:extLst>
        </xdr:cNvPr>
        <xdr:cNvSpPr/>
      </xdr:nvSpPr>
      <xdr:spPr>
        <a:xfrm>
          <a:off x="13396911" y="8512969"/>
          <a:ext cx="723901" cy="61674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6</a:t>
          </a:r>
        </a:p>
      </xdr:txBody>
    </xdr:sp>
    <xdr:clientData/>
  </xdr:twoCellAnchor>
  <xdr:twoCellAnchor>
    <xdr:from>
      <xdr:col>16</xdr:col>
      <xdr:colOff>26193</xdr:colOff>
      <xdr:row>36</xdr:row>
      <xdr:rowOff>47625</xdr:rowOff>
    </xdr:from>
    <xdr:to>
      <xdr:col>16</xdr:col>
      <xdr:colOff>750094</xdr:colOff>
      <xdr:row>39</xdr:row>
      <xdr:rowOff>57150</xdr:rowOff>
    </xdr:to>
    <xdr:sp macro="" textlink="">
      <xdr:nvSpPr>
        <xdr:cNvPr id="36" name="Conector 7">
          <a:extLst>
            <a:ext uri="{FF2B5EF4-FFF2-40B4-BE49-F238E27FC236}">
              <a16:creationId xmlns:a16="http://schemas.microsoft.com/office/drawing/2014/main" id="{6B96F9A3-96EB-4333-A308-AE316693354C}"/>
            </a:ext>
          </a:extLst>
        </xdr:cNvPr>
        <xdr:cNvSpPr/>
      </xdr:nvSpPr>
      <xdr:spPr>
        <a:xfrm>
          <a:off x="14909006" y="8524875"/>
          <a:ext cx="723901" cy="61674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7</a:t>
          </a:r>
        </a:p>
      </xdr:txBody>
    </xdr:sp>
    <xdr:clientData/>
  </xdr:twoCellAnchor>
  <xdr:twoCellAnchor>
    <xdr:from>
      <xdr:col>18</xdr:col>
      <xdr:colOff>14286</xdr:colOff>
      <xdr:row>36</xdr:row>
      <xdr:rowOff>47625</xdr:rowOff>
    </xdr:from>
    <xdr:to>
      <xdr:col>18</xdr:col>
      <xdr:colOff>738187</xdr:colOff>
      <xdr:row>39</xdr:row>
      <xdr:rowOff>57150</xdr:rowOff>
    </xdr:to>
    <xdr:sp macro="" textlink="">
      <xdr:nvSpPr>
        <xdr:cNvPr id="37" name="Conector 8">
          <a:extLst>
            <a:ext uri="{FF2B5EF4-FFF2-40B4-BE49-F238E27FC236}">
              <a16:creationId xmlns:a16="http://schemas.microsoft.com/office/drawing/2014/main" id="{4660A2B7-B9D4-40BE-9F18-1D7A241B243F}"/>
            </a:ext>
          </a:extLst>
        </xdr:cNvPr>
        <xdr:cNvSpPr/>
      </xdr:nvSpPr>
      <xdr:spPr>
        <a:xfrm>
          <a:off x="16421099" y="8524875"/>
          <a:ext cx="723901" cy="616744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8</a:t>
          </a:r>
        </a:p>
      </xdr:txBody>
    </xdr:sp>
    <xdr:clientData/>
  </xdr:twoCellAnchor>
  <xdr:twoCellAnchor>
    <xdr:from>
      <xdr:col>20</xdr:col>
      <xdr:colOff>41502</xdr:colOff>
      <xdr:row>32</xdr:row>
      <xdr:rowOff>0</xdr:rowOff>
    </xdr:from>
    <xdr:to>
      <xdr:col>20</xdr:col>
      <xdr:colOff>741589</xdr:colOff>
      <xdr:row>35</xdr:row>
      <xdr:rowOff>49325</xdr:rowOff>
    </xdr:to>
    <xdr:sp macro="" textlink="">
      <xdr:nvSpPr>
        <xdr:cNvPr id="38" name="Conector 9">
          <a:extLst>
            <a:ext uri="{FF2B5EF4-FFF2-40B4-BE49-F238E27FC236}">
              <a16:creationId xmlns:a16="http://schemas.microsoft.com/office/drawing/2014/main" id="{81DC78FD-31BD-47DE-8C1A-4F98F0C27019}"/>
            </a:ext>
          </a:extLst>
        </xdr:cNvPr>
        <xdr:cNvSpPr/>
      </xdr:nvSpPr>
      <xdr:spPr>
        <a:xfrm>
          <a:off x="18247859" y="5987143"/>
          <a:ext cx="700087" cy="661646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10</a:t>
          </a:r>
        </a:p>
      </xdr:txBody>
    </xdr:sp>
    <xdr:clientData/>
  </xdr:twoCellAnchor>
  <xdr:twoCellAnchor>
    <xdr:from>
      <xdr:col>7</xdr:col>
      <xdr:colOff>0</xdr:colOff>
      <xdr:row>37</xdr:row>
      <xdr:rowOff>100013</xdr:rowOff>
    </xdr:from>
    <xdr:to>
      <xdr:col>8</xdr:col>
      <xdr:colOff>38099</xdr:colOff>
      <xdr:row>37</xdr:row>
      <xdr:rowOff>100013</xdr:rowOff>
    </xdr:to>
    <xdr:cxnSp macro="">
      <xdr:nvCxnSpPr>
        <xdr:cNvPr id="39" name="Conector recto de flecha 38">
          <a:extLst>
            <a:ext uri="{FF2B5EF4-FFF2-40B4-BE49-F238E27FC236}">
              <a16:creationId xmlns:a16="http://schemas.microsoft.com/office/drawing/2014/main" id="{847692C4-14B2-42C3-A574-CC174C241605}"/>
            </a:ext>
          </a:extLst>
        </xdr:cNvPr>
        <xdr:cNvCxnSpPr>
          <a:stCxn id="30" idx="6"/>
          <a:endCxn id="31" idx="2"/>
        </xdr:cNvCxnSpPr>
      </xdr:nvCxnSpPr>
      <xdr:spPr>
        <a:xfrm>
          <a:off x="1524000" y="14377988"/>
          <a:ext cx="8000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655987</xdr:colOff>
      <xdr:row>34</xdr:row>
      <xdr:rowOff>94060</xdr:rowOff>
    </xdr:from>
    <xdr:to>
      <xdr:col>10</xdr:col>
      <xdr:colOff>73817</xdr:colOff>
      <xdr:row>36</xdr:row>
      <xdr:rowOff>90320</xdr:rowOff>
    </xdr:to>
    <xdr:cxnSp macro="">
      <xdr:nvCxnSpPr>
        <xdr:cNvPr id="40" name="Conector recto de flecha 39">
          <a:extLst>
            <a:ext uri="{FF2B5EF4-FFF2-40B4-BE49-F238E27FC236}">
              <a16:creationId xmlns:a16="http://schemas.microsoft.com/office/drawing/2014/main" id="{F2B079F7-4FAC-40A1-BE3A-C2201349052C}"/>
            </a:ext>
          </a:extLst>
        </xdr:cNvPr>
        <xdr:cNvCxnSpPr>
          <a:stCxn id="31" idx="7"/>
          <a:endCxn id="33" idx="2"/>
        </xdr:cNvCxnSpPr>
      </xdr:nvCxnSpPr>
      <xdr:spPr>
        <a:xfrm flipV="1">
          <a:off x="9442800" y="8166498"/>
          <a:ext cx="941830" cy="40107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35718</xdr:colOff>
      <xdr:row>34</xdr:row>
      <xdr:rowOff>94060</xdr:rowOff>
    </xdr:from>
    <xdr:to>
      <xdr:col>12</xdr:col>
      <xdr:colOff>132206</xdr:colOff>
      <xdr:row>36</xdr:row>
      <xdr:rowOff>137945</xdr:rowOff>
    </xdr:to>
    <xdr:cxnSp macro="">
      <xdr:nvCxnSpPr>
        <xdr:cNvPr id="41" name="Conector recto de flecha 40">
          <a:extLst>
            <a:ext uri="{FF2B5EF4-FFF2-40B4-BE49-F238E27FC236}">
              <a16:creationId xmlns:a16="http://schemas.microsoft.com/office/drawing/2014/main" id="{DA6262D2-B4A6-4412-8EDF-EF1F9DABBD78}"/>
            </a:ext>
          </a:extLst>
        </xdr:cNvPr>
        <xdr:cNvCxnSpPr>
          <a:stCxn id="33" idx="6"/>
          <a:endCxn id="34" idx="1"/>
        </xdr:cNvCxnSpPr>
      </xdr:nvCxnSpPr>
      <xdr:spPr>
        <a:xfrm>
          <a:off x="11108531" y="8166498"/>
          <a:ext cx="858488" cy="44869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-1</xdr:colOff>
      <xdr:row>37</xdr:row>
      <xdr:rowOff>141685</xdr:rowOff>
    </xdr:from>
    <xdr:to>
      <xdr:col>16</xdr:col>
      <xdr:colOff>26193</xdr:colOff>
      <xdr:row>37</xdr:row>
      <xdr:rowOff>153591</xdr:rowOff>
    </xdr:to>
    <xdr:cxnSp macro="">
      <xdr:nvCxnSpPr>
        <xdr:cNvPr id="42" name="Conector recto de flecha 41">
          <a:extLst>
            <a:ext uri="{FF2B5EF4-FFF2-40B4-BE49-F238E27FC236}">
              <a16:creationId xmlns:a16="http://schemas.microsoft.com/office/drawing/2014/main" id="{5094B05E-8835-4735-954E-1E3CA4E8EDB1}"/>
            </a:ext>
          </a:extLst>
        </xdr:cNvPr>
        <xdr:cNvCxnSpPr>
          <a:stCxn id="35" idx="6"/>
          <a:endCxn id="36" idx="2"/>
        </xdr:cNvCxnSpPr>
      </xdr:nvCxnSpPr>
      <xdr:spPr>
        <a:xfrm>
          <a:off x="14120812" y="8821341"/>
          <a:ext cx="788194" cy="1190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632174</xdr:colOff>
      <xdr:row>33</xdr:row>
      <xdr:rowOff>126716</xdr:rowOff>
    </xdr:from>
    <xdr:to>
      <xdr:col>20</xdr:col>
      <xdr:colOff>41502</xdr:colOff>
      <xdr:row>36</xdr:row>
      <xdr:rowOff>138692</xdr:rowOff>
    </xdr:to>
    <xdr:cxnSp macro="">
      <xdr:nvCxnSpPr>
        <xdr:cNvPr id="43" name="Conector recto de flecha 42">
          <a:extLst>
            <a:ext uri="{FF2B5EF4-FFF2-40B4-BE49-F238E27FC236}">
              <a16:creationId xmlns:a16="http://schemas.microsoft.com/office/drawing/2014/main" id="{5A7B3EF0-D81B-40EB-A0A5-19C9A697DB1E}"/>
            </a:ext>
          </a:extLst>
        </xdr:cNvPr>
        <xdr:cNvCxnSpPr>
          <a:stCxn id="37" idx="7"/>
          <a:endCxn id="38" idx="2"/>
        </xdr:cNvCxnSpPr>
      </xdr:nvCxnSpPr>
      <xdr:spPr>
        <a:xfrm flipV="1">
          <a:off x="17314531" y="6317966"/>
          <a:ext cx="933328" cy="62429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655987</xdr:colOff>
      <xdr:row>38</xdr:row>
      <xdr:rowOff>123836</xdr:rowOff>
    </xdr:from>
    <xdr:to>
      <xdr:col>10</xdr:col>
      <xdr:colOff>85724</xdr:colOff>
      <xdr:row>41</xdr:row>
      <xdr:rowOff>12699</xdr:rowOff>
    </xdr:to>
    <xdr:cxnSp macro="">
      <xdr:nvCxnSpPr>
        <xdr:cNvPr id="44" name="Conector recto de flecha 43">
          <a:extLst>
            <a:ext uri="{FF2B5EF4-FFF2-40B4-BE49-F238E27FC236}">
              <a16:creationId xmlns:a16="http://schemas.microsoft.com/office/drawing/2014/main" id="{19710FBF-48CA-4F4C-9131-551258ACFE72}"/>
            </a:ext>
          </a:extLst>
        </xdr:cNvPr>
        <xdr:cNvCxnSpPr>
          <a:stCxn id="31" idx="5"/>
          <a:endCxn id="32" idx="2"/>
        </xdr:cNvCxnSpPr>
      </xdr:nvCxnSpPr>
      <xdr:spPr>
        <a:xfrm>
          <a:off x="9720612" y="7394586"/>
          <a:ext cx="953737" cy="50798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646340</xdr:colOff>
      <xdr:row>35</xdr:row>
      <xdr:rowOff>32316</xdr:rowOff>
    </xdr:from>
    <xdr:to>
      <xdr:col>25</xdr:col>
      <xdr:colOff>650252</xdr:colOff>
      <xdr:row>38</xdr:row>
      <xdr:rowOff>198321</xdr:rowOff>
    </xdr:to>
    <xdr:cxnSp macro="">
      <xdr:nvCxnSpPr>
        <xdr:cNvPr id="45" name="Conector recto de flecha 44">
          <a:extLst>
            <a:ext uri="{FF2B5EF4-FFF2-40B4-BE49-F238E27FC236}">
              <a16:creationId xmlns:a16="http://schemas.microsoft.com/office/drawing/2014/main" id="{1DA7D9DF-1278-4945-B775-E3BB77C034FB}"/>
            </a:ext>
          </a:extLst>
        </xdr:cNvPr>
        <xdr:cNvCxnSpPr>
          <a:stCxn id="117" idx="4"/>
          <a:endCxn id="144" idx="0"/>
        </xdr:cNvCxnSpPr>
      </xdr:nvCxnSpPr>
      <xdr:spPr>
        <a:xfrm>
          <a:off x="22662697" y="6631780"/>
          <a:ext cx="3912" cy="778327"/>
        </a:xfrm>
        <a:prstGeom prst="straightConnector1">
          <a:avLst/>
        </a:prstGeom>
        <a:ln w="1905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750094</xdr:colOff>
      <xdr:row>37</xdr:row>
      <xdr:rowOff>141685</xdr:rowOff>
    </xdr:from>
    <xdr:to>
      <xdr:col>14</xdr:col>
      <xdr:colOff>38098</xdr:colOff>
      <xdr:row>37</xdr:row>
      <xdr:rowOff>153591</xdr:rowOff>
    </xdr:to>
    <xdr:cxnSp macro="">
      <xdr:nvCxnSpPr>
        <xdr:cNvPr id="46" name="Conector recto de flecha 45">
          <a:extLst>
            <a:ext uri="{FF2B5EF4-FFF2-40B4-BE49-F238E27FC236}">
              <a16:creationId xmlns:a16="http://schemas.microsoft.com/office/drawing/2014/main" id="{C911C357-C79A-40CA-850F-F4D7344D4024}"/>
            </a:ext>
          </a:extLst>
        </xdr:cNvPr>
        <xdr:cNvCxnSpPr>
          <a:stCxn id="34" idx="6"/>
          <a:endCxn id="35" idx="2"/>
        </xdr:cNvCxnSpPr>
      </xdr:nvCxnSpPr>
      <xdr:spPr>
        <a:xfrm flipV="1">
          <a:off x="12584907" y="8821341"/>
          <a:ext cx="812004" cy="1190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741589</xdr:colOff>
      <xdr:row>33</xdr:row>
      <xdr:rowOff>117020</xdr:rowOff>
    </xdr:from>
    <xdr:to>
      <xdr:col>21</xdr:col>
      <xdr:colOff>689542</xdr:colOff>
      <xdr:row>33</xdr:row>
      <xdr:rowOff>126716</xdr:rowOff>
    </xdr:to>
    <xdr:cxnSp macro="">
      <xdr:nvCxnSpPr>
        <xdr:cNvPr id="47" name="Conector recto de flecha 46">
          <a:extLst>
            <a:ext uri="{FF2B5EF4-FFF2-40B4-BE49-F238E27FC236}">
              <a16:creationId xmlns:a16="http://schemas.microsoft.com/office/drawing/2014/main" id="{A62347E1-9EA8-4ED9-AD9F-A9B1E54ADB18}"/>
            </a:ext>
          </a:extLst>
        </xdr:cNvPr>
        <xdr:cNvCxnSpPr>
          <a:stCxn id="38" idx="6"/>
          <a:endCxn id="109" idx="2"/>
        </xdr:cNvCxnSpPr>
      </xdr:nvCxnSpPr>
      <xdr:spPr>
        <a:xfrm flipV="1">
          <a:off x="18947946" y="6308270"/>
          <a:ext cx="709953" cy="96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734722</xdr:colOff>
      <xdr:row>39</xdr:row>
      <xdr:rowOff>141718</xdr:rowOff>
    </xdr:from>
    <xdr:ext cx="519207" cy="358074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5BAB68E4-D0C0-4EA4-987D-7EE2E3436A71}"/>
            </a:ext>
          </a:extLst>
        </xdr:cNvPr>
        <xdr:cNvSpPr txBox="1"/>
      </xdr:nvSpPr>
      <xdr:spPr>
        <a:xfrm rot="1566428">
          <a:off x="9799347" y="7618843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C(2)</a:t>
          </a:r>
        </a:p>
        <a:p>
          <a:endParaRPr lang="es-CO" sz="1100"/>
        </a:p>
      </xdr:txBody>
    </xdr:sp>
    <xdr:clientData/>
  </xdr:oneCellAnchor>
  <xdr:oneCellAnchor>
    <xdr:from>
      <xdr:col>15</xdr:col>
      <xdr:colOff>97631</xdr:colOff>
      <xdr:row>35</xdr:row>
      <xdr:rowOff>135731</xdr:rowOff>
    </xdr:from>
    <xdr:ext cx="623548" cy="358074"/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1740CDE5-11BA-4992-89B2-6B7BC8076BFF}"/>
            </a:ext>
          </a:extLst>
        </xdr:cNvPr>
        <xdr:cNvSpPr txBox="1"/>
      </xdr:nvSpPr>
      <xdr:spPr>
        <a:xfrm>
          <a:off x="14493988" y="6735195"/>
          <a:ext cx="623548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F(20)</a:t>
          </a:r>
        </a:p>
        <a:p>
          <a:endParaRPr lang="es-CO" sz="1100"/>
        </a:p>
      </xdr:txBody>
    </xdr:sp>
    <xdr:clientData/>
  </xdr:oneCellAnchor>
  <xdr:oneCellAnchor>
    <xdr:from>
      <xdr:col>13</xdr:col>
      <xdr:colOff>11905</xdr:colOff>
      <xdr:row>35</xdr:row>
      <xdr:rowOff>154782</xdr:rowOff>
    </xdr:from>
    <xdr:ext cx="519207" cy="358074"/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E404A55-F437-446C-A939-3ABF1C420C29}"/>
            </a:ext>
          </a:extLst>
        </xdr:cNvPr>
        <xdr:cNvSpPr txBox="1"/>
      </xdr:nvSpPr>
      <xdr:spPr>
        <a:xfrm>
          <a:off x="12608718" y="8429626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E(7)</a:t>
          </a:r>
        </a:p>
        <a:p>
          <a:endParaRPr lang="es-CO" sz="1100"/>
        </a:p>
      </xdr:txBody>
    </xdr:sp>
    <xdr:clientData/>
  </xdr:oneCellAnchor>
  <xdr:oneCellAnchor>
    <xdr:from>
      <xdr:col>7</xdr:col>
      <xdr:colOff>95250</xdr:colOff>
      <xdr:row>35</xdr:row>
      <xdr:rowOff>0</xdr:rowOff>
    </xdr:from>
    <xdr:ext cx="619125" cy="317500"/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958F146-CB46-4DCF-8DC2-976763B2A424}"/>
            </a:ext>
          </a:extLst>
        </xdr:cNvPr>
        <xdr:cNvSpPr txBox="1"/>
      </xdr:nvSpPr>
      <xdr:spPr>
        <a:xfrm>
          <a:off x="8397875" y="6651625"/>
          <a:ext cx="619125" cy="317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A(15)</a:t>
          </a:r>
        </a:p>
        <a:p>
          <a:endParaRPr lang="es-CO" sz="1100"/>
        </a:p>
      </xdr:txBody>
    </xdr:sp>
    <xdr:clientData/>
  </xdr:oneCellAnchor>
  <xdr:oneCellAnchor>
    <xdr:from>
      <xdr:col>8</xdr:col>
      <xdr:colOff>666750</xdr:colOff>
      <xdr:row>32</xdr:row>
      <xdr:rowOff>178594</xdr:rowOff>
    </xdr:from>
    <xdr:ext cx="654843" cy="358074"/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5C7D1026-6817-458C-BAAD-901992F4156D}"/>
            </a:ext>
          </a:extLst>
        </xdr:cNvPr>
        <xdr:cNvSpPr txBox="1"/>
      </xdr:nvSpPr>
      <xdr:spPr>
        <a:xfrm>
          <a:off x="9453563" y="7846219"/>
          <a:ext cx="654843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B(13)</a:t>
          </a:r>
        </a:p>
        <a:p>
          <a:endParaRPr lang="es-CO" sz="1100"/>
        </a:p>
      </xdr:txBody>
    </xdr:sp>
    <xdr:clientData/>
  </xdr:oneCellAnchor>
  <xdr:oneCellAnchor>
    <xdr:from>
      <xdr:col>11</xdr:col>
      <xdr:colOff>11906</xdr:colOff>
      <xdr:row>36</xdr:row>
      <xdr:rowOff>107156</xdr:rowOff>
    </xdr:from>
    <xdr:ext cx="519207" cy="358074"/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8FBDE22D-B548-412D-A137-23A66B541EC3}"/>
            </a:ext>
          </a:extLst>
        </xdr:cNvPr>
        <xdr:cNvSpPr txBox="1"/>
      </xdr:nvSpPr>
      <xdr:spPr>
        <a:xfrm>
          <a:off x="11084719" y="8584406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D(4)</a:t>
          </a:r>
        </a:p>
        <a:p>
          <a:endParaRPr lang="es-CO" sz="1100"/>
        </a:p>
      </xdr:txBody>
    </xdr:sp>
    <xdr:clientData/>
  </xdr:oneCellAnchor>
  <xdr:oneCellAnchor>
    <xdr:from>
      <xdr:col>17</xdr:col>
      <xdr:colOff>83342</xdr:colOff>
      <xdr:row>35</xdr:row>
      <xdr:rowOff>107157</xdr:rowOff>
    </xdr:from>
    <xdr:ext cx="519207" cy="358074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CD72074-E3F9-4131-8B2B-3C9E92238DC6}"/>
            </a:ext>
          </a:extLst>
        </xdr:cNvPr>
        <xdr:cNvSpPr txBox="1"/>
      </xdr:nvSpPr>
      <xdr:spPr>
        <a:xfrm rot="21444018">
          <a:off x="15728155" y="8382001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G(6)</a:t>
          </a:r>
        </a:p>
        <a:p>
          <a:endParaRPr lang="es-CO" sz="1100"/>
        </a:p>
      </xdr:txBody>
    </xdr:sp>
    <xdr:clientData/>
  </xdr:oneCellAnchor>
  <xdr:oneCellAnchor>
    <xdr:from>
      <xdr:col>18</xdr:col>
      <xdr:colOff>714375</xdr:colOff>
      <xdr:row>32</xdr:row>
      <xdr:rowOff>11906</xdr:rowOff>
    </xdr:from>
    <xdr:ext cx="519207" cy="358074"/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4C1287CB-0385-4E08-B28E-CE9C831AB0B6}"/>
            </a:ext>
          </a:extLst>
        </xdr:cNvPr>
        <xdr:cNvSpPr txBox="1"/>
      </xdr:nvSpPr>
      <xdr:spPr>
        <a:xfrm>
          <a:off x="17121188" y="7679531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H(3)</a:t>
          </a:r>
        </a:p>
        <a:p>
          <a:endParaRPr lang="es-CO" sz="1100"/>
        </a:p>
      </xdr:txBody>
    </xdr:sp>
    <xdr:clientData/>
  </xdr:oneCellAnchor>
  <xdr:twoCellAnchor>
    <xdr:from>
      <xdr:col>18</xdr:col>
      <xdr:colOff>632174</xdr:colOff>
      <xdr:row>38</xdr:row>
      <xdr:rowOff>170190</xdr:rowOff>
    </xdr:from>
    <xdr:to>
      <xdr:col>20</xdr:col>
      <xdr:colOff>59530</xdr:colOff>
      <xdr:row>40</xdr:row>
      <xdr:rowOff>145087</xdr:rowOff>
    </xdr:to>
    <xdr:cxnSp macro="">
      <xdr:nvCxnSpPr>
        <xdr:cNvPr id="83" name="Conector recto de flecha 82">
          <a:extLst>
            <a:ext uri="{FF2B5EF4-FFF2-40B4-BE49-F238E27FC236}">
              <a16:creationId xmlns:a16="http://schemas.microsoft.com/office/drawing/2014/main" id="{D50A1656-30B3-47F8-A48C-94E360C0B3FC}"/>
            </a:ext>
          </a:extLst>
        </xdr:cNvPr>
        <xdr:cNvCxnSpPr>
          <a:stCxn id="37" idx="5"/>
          <a:endCxn id="87" idx="2"/>
        </xdr:cNvCxnSpPr>
      </xdr:nvCxnSpPr>
      <xdr:spPr>
        <a:xfrm>
          <a:off x="17314531" y="7381976"/>
          <a:ext cx="951356" cy="3831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750094</xdr:colOff>
      <xdr:row>37</xdr:row>
      <xdr:rowOff>153591</xdr:rowOff>
    </xdr:from>
    <xdr:to>
      <xdr:col>18</xdr:col>
      <xdr:colOff>14286</xdr:colOff>
      <xdr:row>37</xdr:row>
      <xdr:rowOff>153591</xdr:rowOff>
    </xdr:to>
    <xdr:cxnSp macro="">
      <xdr:nvCxnSpPr>
        <xdr:cNvPr id="84" name="Conector recto de flecha 83">
          <a:extLst>
            <a:ext uri="{FF2B5EF4-FFF2-40B4-BE49-F238E27FC236}">
              <a16:creationId xmlns:a16="http://schemas.microsoft.com/office/drawing/2014/main" id="{A68CD73D-1E47-4200-8B01-821E1BB6EC9F}"/>
            </a:ext>
          </a:extLst>
        </xdr:cNvPr>
        <xdr:cNvCxnSpPr>
          <a:stCxn id="36" idx="6"/>
          <a:endCxn id="37" idx="2"/>
        </xdr:cNvCxnSpPr>
      </xdr:nvCxnSpPr>
      <xdr:spPr>
        <a:xfrm>
          <a:off x="15632907" y="8833247"/>
          <a:ext cx="788192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59530</xdr:colOff>
      <xdr:row>39</xdr:row>
      <xdr:rowOff>45244</xdr:rowOff>
    </xdr:from>
    <xdr:to>
      <xdr:col>20</xdr:col>
      <xdr:colOff>721179</xdr:colOff>
      <xdr:row>42</xdr:row>
      <xdr:rowOff>40822</xdr:rowOff>
    </xdr:to>
    <xdr:sp macro="" textlink="">
      <xdr:nvSpPr>
        <xdr:cNvPr id="87" name="Conector 9">
          <a:extLst>
            <a:ext uri="{FF2B5EF4-FFF2-40B4-BE49-F238E27FC236}">
              <a16:creationId xmlns:a16="http://schemas.microsoft.com/office/drawing/2014/main" id="{EEC1AAE0-0B30-4531-AB96-D461E7DA5484}"/>
            </a:ext>
          </a:extLst>
        </xdr:cNvPr>
        <xdr:cNvSpPr/>
      </xdr:nvSpPr>
      <xdr:spPr>
        <a:xfrm>
          <a:off x="18265887" y="7461137"/>
          <a:ext cx="661649" cy="607899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 9</a:t>
          </a:r>
        </a:p>
      </xdr:txBody>
    </xdr:sp>
    <xdr:clientData/>
  </xdr:twoCellAnchor>
  <xdr:oneCellAnchor>
    <xdr:from>
      <xdr:col>21</xdr:col>
      <xdr:colOff>94570</xdr:colOff>
      <xdr:row>31</xdr:row>
      <xdr:rowOff>164305</xdr:rowOff>
    </xdr:from>
    <xdr:ext cx="519207" cy="358074"/>
    <xdr:sp macro="" textlink="">
      <xdr:nvSpPr>
        <xdr:cNvPr id="93" name="CuadroTexto 92">
          <a:extLst>
            <a:ext uri="{FF2B5EF4-FFF2-40B4-BE49-F238E27FC236}">
              <a16:creationId xmlns:a16="http://schemas.microsoft.com/office/drawing/2014/main" id="{B6EC066A-F059-4705-B92D-509A889472F5}"/>
            </a:ext>
          </a:extLst>
        </xdr:cNvPr>
        <xdr:cNvSpPr txBox="1"/>
      </xdr:nvSpPr>
      <xdr:spPr>
        <a:xfrm>
          <a:off x="19062927" y="5947341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J(3)</a:t>
          </a:r>
        </a:p>
        <a:p>
          <a:endParaRPr lang="es-CO" sz="1100"/>
        </a:p>
      </xdr:txBody>
    </xdr:sp>
    <xdr:clientData/>
  </xdr:oneCellAnchor>
  <xdr:oneCellAnchor>
    <xdr:from>
      <xdr:col>21</xdr:col>
      <xdr:colOff>332015</xdr:colOff>
      <xdr:row>38</xdr:row>
      <xdr:rowOff>80282</xdr:rowOff>
    </xdr:from>
    <xdr:ext cx="519207" cy="358074"/>
    <xdr:sp macro="" textlink="">
      <xdr:nvSpPr>
        <xdr:cNvPr id="94" name="CuadroTexto 93">
          <a:extLst>
            <a:ext uri="{FF2B5EF4-FFF2-40B4-BE49-F238E27FC236}">
              <a16:creationId xmlns:a16="http://schemas.microsoft.com/office/drawing/2014/main" id="{A63354DD-2174-443B-9D29-5722A63CDF6A}"/>
            </a:ext>
          </a:extLst>
        </xdr:cNvPr>
        <xdr:cNvSpPr txBox="1"/>
      </xdr:nvSpPr>
      <xdr:spPr>
        <a:xfrm>
          <a:off x="19300372" y="7292068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M(5)</a:t>
          </a:r>
        </a:p>
        <a:p>
          <a:endParaRPr lang="es-CO" sz="1100"/>
        </a:p>
      </xdr:txBody>
    </xdr:sp>
    <xdr:clientData/>
  </xdr:oneCellAnchor>
  <xdr:twoCellAnchor>
    <xdr:from>
      <xdr:col>21</xdr:col>
      <xdr:colOff>689542</xdr:colOff>
      <xdr:row>32</xdr:row>
      <xdr:rowOff>10204</xdr:rowOff>
    </xdr:from>
    <xdr:to>
      <xdr:col>22</xdr:col>
      <xdr:colOff>651443</xdr:colOff>
      <xdr:row>35</xdr:row>
      <xdr:rowOff>19728</xdr:rowOff>
    </xdr:to>
    <xdr:sp macro="" textlink="">
      <xdr:nvSpPr>
        <xdr:cNvPr id="109" name="Conector 7">
          <a:extLst>
            <a:ext uri="{FF2B5EF4-FFF2-40B4-BE49-F238E27FC236}">
              <a16:creationId xmlns:a16="http://schemas.microsoft.com/office/drawing/2014/main" id="{6011AA02-B6D4-43DB-8ADE-9BE4CBC86B7A}"/>
            </a:ext>
          </a:extLst>
        </xdr:cNvPr>
        <xdr:cNvSpPr/>
      </xdr:nvSpPr>
      <xdr:spPr>
        <a:xfrm>
          <a:off x="19657899" y="5997347"/>
          <a:ext cx="723901" cy="62184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12</a:t>
          </a:r>
        </a:p>
      </xdr:txBody>
    </xdr:sp>
    <xdr:clientData/>
  </xdr:twoCellAnchor>
  <xdr:twoCellAnchor>
    <xdr:from>
      <xdr:col>23</xdr:col>
      <xdr:colOff>77218</xdr:colOff>
      <xdr:row>39</xdr:row>
      <xdr:rowOff>22111</xdr:rowOff>
    </xdr:from>
    <xdr:to>
      <xdr:col>24</xdr:col>
      <xdr:colOff>39119</xdr:colOff>
      <xdr:row>42</xdr:row>
      <xdr:rowOff>31635</xdr:rowOff>
    </xdr:to>
    <xdr:sp macro="" textlink="">
      <xdr:nvSpPr>
        <xdr:cNvPr id="110" name="Conector 8">
          <a:extLst>
            <a:ext uri="{FF2B5EF4-FFF2-40B4-BE49-F238E27FC236}">
              <a16:creationId xmlns:a16="http://schemas.microsoft.com/office/drawing/2014/main" id="{43E66C44-9210-495A-8F70-E84269C3A45E}"/>
            </a:ext>
          </a:extLst>
        </xdr:cNvPr>
        <xdr:cNvSpPr/>
      </xdr:nvSpPr>
      <xdr:spPr>
        <a:xfrm>
          <a:off x="20571843" y="7499236"/>
          <a:ext cx="723901" cy="628649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11</a:t>
          </a:r>
        </a:p>
      </xdr:txBody>
    </xdr:sp>
    <xdr:clientData/>
  </xdr:twoCellAnchor>
  <xdr:twoCellAnchor>
    <xdr:from>
      <xdr:col>23</xdr:col>
      <xdr:colOff>555172</xdr:colOff>
      <xdr:row>31</xdr:row>
      <xdr:rowOff>188798</xdr:rowOff>
    </xdr:from>
    <xdr:to>
      <xdr:col>24</xdr:col>
      <xdr:colOff>457542</xdr:colOff>
      <xdr:row>35</xdr:row>
      <xdr:rowOff>32315</xdr:rowOff>
    </xdr:to>
    <xdr:sp macro="" textlink="">
      <xdr:nvSpPr>
        <xdr:cNvPr id="111" name="Conector 9">
          <a:extLst>
            <a:ext uri="{FF2B5EF4-FFF2-40B4-BE49-F238E27FC236}">
              <a16:creationId xmlns:a16="http://schemas.microsoft.com/office/drawing/2014/main" id="{03D7378C-EC67-4B1D-B178-1C9A55615D4E}"/>
            </a:ext>
          </a:extLst>
        </xdr:cNvPr>
        <xdr:cNvSpPr/>
      </xdr:nvSpPr>
      <xdr:spPr>
        <a:xfrm>
          <a:off x="21047529" y="5971834"/>
          <a:ext cx="664370" cy="65994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13</a:t>
          </a:r>
        </a:p>
      </xdr:txBody>
    </xdr:sp>
    <xdr:clientData/>
  </xdr:twoCellAnchor>
  <xdr:twoCellAnchor>
    <xdr:from>
      <xdr:col>20</xdr:col>
      <xdr:colOff>639064</xdr:colOff>
      <xdr:row>34</xdr:row>
      <xdr:rowOff>156536</xdr:rowOff>
    </xdr:from>
    <xdr:to>
      <xdr:col>23</xdr:col>
      <xdr:colOff>77218</xdr:colOff>
      <xdr:row>40</xdr:row>
      <xdr:rowOff>128927</xdr:rowOff>
    </xdr:to>
    <xdr:cxnSp macro="">
      <xdr:nvCxnSpPr>
        <xdr:cNvPr id="112" name="Conector recto de flecha 111">
          <a:extLst>
            <a:ext uri="{FF2B5EF4-FFF2-40B4-BE49-F238E27FC236}">
              <a16:creationId xmlns:a16="http://schemas.microsoft.com/office/drawing/2014/main" id="{62BE394B-8AF9-4774-A2BD-906314073111}"/>
            </a:ext>
          </a:extLst>
        </xdr:cNvPr>
        <xdr:cNvCxnSpPr>
          <a:stCxn id="38" idx="5"/>
          <a:endCxn id="110" idx="2"/>
        </xdr:cNvCxnSpPr>
      </xdr:nvCxnSpPr>
      <xdr:spPr>
        <a:xfrm>
          <a:off x="18845421" y="6551893"/>
          <a:ext cx="1724154" cy="119703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22</xdr:col>
      <xdr:colOff>760297</xdr:colOff>
      <xdr:row>31</xdr:row>
      <xdr:rowOff>86747</xdr:rowOff>
    </xdr:from>
    <xdr:ext cx="519207" cy="358074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367B57CD-F313-4D53-B42B-C654ED4C910E}"/>
            </a:ext>
          </a:extLst>
        </xdr:cNvPr>
        <xdr:cNvSpPr txBox="1"/>
      </xdr:nvSpPr>
      <xdr:spPr>
        <a:xfrm rot="21444018">
          <a:off x="20490654" y="5869783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K(2)</a:t>
          </a:r>
        </a:p>
        <a:p>
          <a:endParaRPr lang="es-CO" sz="1100"/>
        </a:p>
      </xdr:txBody>
    </xdr:sp>
    <xdr:clientData/>
  </xdr:oneCellAnchor>
  <xdr:oneCellAnchor>
    <xdr:from>
      <xdr:col>24</xdr:col>
      <xdr:colOff>597014</xdr:colOff>
      <xdr:row>31</xdr:row>
      <xdr:rowOff>59532</xdr:rowOff>
    </xdr:from>
    <xdr:ext cx="519207" cy="358074"/>
    <xdr:sp macro="" textlink="">
      <xdr:nvSpPr>
        <xdr:cNvPr id="114" name="CuadroTexto 113">
          <a:extLst>
            <a:ext uri="{FF2B5EF4-FFF2-40B4-BE49-F238E27FC236}">
              <a16:creationId xmlns:a16="http://schemas.microsoft.com/office/drawing/2014/main" id="{44512B34-0EE9-417B-82DE-5FB0D95CF1A4}"/>
            </a:ext>
          </a:extLst>
        </xdr:cNvPr>
        <xdr:cNvSpPr txBox="1"/>
      </xdr:nvSpPr>
      <xdr:spPr>
        <a:xfrm>
          <a:off x="21851371" y="5842568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L(3)</a:t>
          </a:r>
        </a:p>
        <a:p>
          <a:endParaRPr lang="es-CO" sz="1100"/>
        </a:p>
      </xdr:txBody>
    </xdr:sp>
    <xdr:clientData/>
  </xdr:oneCellAnchor>
  <xdr:twoCellAnchor>
    <xdr:from>
      <xdr:col>25</xdr:col>
      <xdr:colOff>301059</xdr:colOff>
      <xdr:row>31</xdr:row>
      <xdr:rowOff>188799</xdr:rowOff>
    </xdr:from>
    <xdr:to>
      <xdr:col>26</xdr:col>
      <xdr:colOff>229621</xdr:colOff>
      <xdr:row>35</xdr:row>
      <xdr:rowOff>32316</xdr:rowOff>
    </xdr:to>
    <xdr:sp macro="" textlink="">
      <xdr:nvSpPr>
        <xdr:cNvPr id="117" name="Conector 9">
          <a:extLst>
            <a:ext uri="{FF2B5EF4-FFF2-40B4-BE49-F238E27FC236}">
              <a16:creationId xmlns:a16="http://schemas.microsoft.com/office/drawing/2014/main" id="{CD2C8931-F9D8-4AF8-8FC7-CA9F41F7F3DB}"/>
            </a:ext>
          </a:extLst>
        </xdr:cNvPr>
        <xdr:cNvSpPr/>
      </xdr:nvSpPr>
      <xdr:spPr>
        <a:xfrm>
          <a:off x="22317416" y="5971835"/>
          <a:ext cx="690562" cy="65994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14</a:t>
          </a:r>
        </a:p>
      </xdr:txBody>
    </xdr:sp>
    <xdr:clientData/>
  </xdr:twoCellAnchor>
  <xdr:oneCellAnchor>
    <xdr:from>
      <xdr:col>18</xdr:col>
      <xdr:colOff>668338</xdr:colOff>
      <xdr:row>40</xdr:row>
      <xdr:rowOff>25400</xdr:rowOff>
    </xdr:from>
    <xdr:ext cx="519207" cy="358074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1601DF6-F741-44EA-A872-80B90A14F7A1}"/>
            </a:ext>
          </a:extLst>
        </xdr:cNvPr>
        <xdr:cNvSpPr txBox="1"/>
      </xdr:nvSpPr>
      <xdr:spPr>
        <a:xfrm>
          <a:off x="17352963" y="7708900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I(2)</a:t>
          </a:r>
        </a:p>
        <a:p>
          <a:endParaRPr lang="es-CO" sz="1100"/>
        </a:p>
      </xdr:txBody>
    </xdr:sp>
    <xdr:clientData/>
  </xdr:oneCellAnchor>
  <xdr:oneCellAnchor>
    <xdr:from>
      <xdr:col>24</xdr:col>
      <xdr:colOff>224859</xdr:colOff>
      <xdr:row>41</xdr:row>
      <xdr:rowOff>1021</xdr:rowOff>
    </xdr:from>
    <xdr:ext cx="519207" cy="358074"/>
    <xdr:sp macro="" textlink="">
      <xdr:nvSpPr>
        <xdr:cNvPr id="119" name="CuadroTexto 118">
          <a:extLst>
            <a:ext uri="{FF2B5EF4-FFF2-40B4-BE49-F238E27FC236}">
              <a16:creationId xmlns:a16="http://schemas.microsoft.com/office/drawing/2014/main" id="{8B7693B8-E0E9-4630-A5AB-EA01D73C5F24}"/>
            </a:ext>
          </a:extLst>
        </xdr:cNvPr>
        <xdr:cNvSpPr txBox="1"/>
      </xdr:nvSpPr>
      <xdr:spPr>
        <a:xfrm>
          <a:off x="21479216" y="7825128"/>
          <a:ext cx="519207" cy="3580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N(4)</a:t>
          </a:r>
        </a:p>
        <a:p>
          <a:endParaRPr lang="es-CO" sz="1100"/>
        </a:p>
      </xdr:txBody>
    </xdr:sp>
    <xdr:clientData/>
  </xdr:oneCellAnchor>
  <xdr:twoCellAnchor>
    <xdr:from>
      <xdr:col>25</xdr:col>
      <xdr:colOff>318067</xdr:colOff>
      <xdr:row>38</xdr:row>
      <xdr:rowOff>198321</xdr:rowOff>
    </xdr:from>
    <xdr:to>
      <xdr:col>26</xdr:col>
      <xdr:colOff>220437</xdr:colOff>
      <xdr:row>42</xdr:row>
      <xdr:rowOff>41838</xdr:rowOff>
    </xdr:to>
    <xdr:sp macro="" textlink="">
      <xdr:nvSpPr>
        <xdr:cNvPr id="144" name="Conector 9">
          <a:extLst>
            <a:ext uri="{FF2B5EF4-FFF2-40B4-BE49-F238E27FC236}">
              <a16:creationId xmlns:a16="http://schemas.microsoft.com/office/drawing/2014/main" id="{E3EE609F-05F2-4B41-8338-B83B64916A47}"/>
            </a:ext>
          </a:extLst>
        </xdr:cNvPr>
        <xdr:cNvSpPr/>
      </xdr:nvSpPr>
      <xdr:spPr>
        <a:xfrm>
          <a:off x="22334424" y="7410107"/>
          <a:ext cx="664370" cy="659945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15</a:t>
          </a:r>
        </a:p>
      </xdr:txBody>
    </xdr:sp>
    <xdr:clientData/>
  </xdr:twoCellAnchor>
  <xdr:twoCellAnchor>
    <xdr:from>
      <xdr:col>28</xdr:col>
      <xdr:colOff>26536</xdr:colOff>
      <xdr:row>34</xdr:row>
      <xdr:rowOff>176892</xdr:rowOff>
    </xdr:from>
    <xdr:to>
      <xdr:col>28</xdr:col>
      <xdr:colOff>731386</xdr:colOff>
      <xdr:row>38</xdr:row>
      <xdr:rowOff>22109</xdr:rowOff>
    </xdr:to>
    <xdr:sp macro="" textlink="">
      <xdr:nvSpPr>
        <xdr:cNvPr id="145" name="Conector 9">
          <a:extLst>
            <a:ext uri="{FF2B5EF4-FFF2-40B4-BE49-F238E27FC236}">
              <a16:creationId xmlns:a16="http://schemas.microsoft.com/office/drawing/2014/main" id="{7CF6E215-B738-49D0-8C6A-D71F5EE41833}"/>
            </a:ext>
          </a:extLst>
        </xdr:cNvPr>
        <xdr:cNvSpPr/>
      </xdr:nvSpPr>
      <xdr:spPr>
        <a:xfrm>
          <a:off x="24328893" y="6572249"/>
          <a:ext cx="704850" cy="661646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16</a:t>
          </a:r>
        </a:p>
      </xdr:txBody>
    </xdr:sp>
    <xdr:clientData/>
  </xdr:twoCellAnchor>
  <xdr:twoCellAnchor>
    <xdr:from>
      <xdr:col>24</xdr:col>
      <xdr:colOff>457542</xdr:colOff>
      <xdr:row>33</xdr:row>
      <xdr:rowOff>110557</xdr:rowOff>
    </xdr:from>
    <xdr:to>
      <xdr:col>25</xdr:col>
      <xdr:colOff>301059</xdr:colOff>
      <xdr:row>33</xdr:row>
      <xdr:rowOff>110558</xdr:rowOff>
    </xdr:to>
    <xdr:cxnSp macro="">
      <xdr:nvCxnSpPr>
        <xdr:cNvPr id="150" name="Conector recto de flecha 149">
          <a:extLst>
            <a:ext uri="{FF2B5EF4-FFF2-40B4-BE49-F238E27FC236}">
              <a16:creationId xmlns:a16="http://schemas.microsoft.com/office/drawing/2014/main" id="{81130E9D-687A-41BE-9DDE-4DEBBD1BF0A3}"/>
            </a:ext>
          </a:extLst>
        </xdr:cNvPr>
        <xdr:cNvCxnSpPr>
          <a:stCxn id="111" idx="6"/>
          <a:endCxn id="117" idx="2"/>
        </xdr:cNvCxnSpPr>
      </xdr:nvCxnSpPr>
      <xdr:spPr>
        <a:xfrm>
          <a:off x="21711899" y="6301807"/>
          <a:ext cx="605517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220437</xdr:colOff>
      <xdr:row>36</xdr:row>
      <xdr:rowOff>99501</xdr:rowOff>
    </xdr:from>
    <xdr:to>
      <xdr:col>28</xdr:col>
      <xdr:colOff>26536</xdr:colOff>
      <xdr:row>40</xdr:row>
      <xdr:rowOff>120080</xdr:rowOff>
    </xdr:to>
    <xdr:cxnSp macro="">
      <xdr:nvCxnSpPr>
        <xdr:cNvPr id="151" name="Conector recto de flecha 150">
          <a:extLst>
            <a:ext uri="{FF2B5EF4-FFF2-40B4-BE49-F238E27FC236}">
              <a16:creationId xmlns:a16="http://schemas.microsoft.com/office/drawing/2014/main" id="{C1B7084A-0021-4A78-81F7-C9885C05D821}"/>
            </a:ext>
          </a:extLst>
        </xdr:cNvPr>
        <xdr:cNvCxnSpPr>
          <a:stCxn id="144" idx="6"/>
          <a:endCxn id="145" idx="2"/>
        </xdr:cNvCxnSpPr>
      </xdr:nvCxnSpPr>
      <xdr:spPr>
        <a:xfrm flipV="1">
          <a:off x="23001062" y="6957501"/>
          <a:ext cx="1330099" cy="84607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39119</xdr:colOff>
      <xdr:row>40</xdr:row>
      <xdr:rowOff>120080</xdr:rowOff>
    </xdr:from>
    <xdr:to>
      <xdr:col>25</xdr:col>
      <xdr:colOff>318067</xdr:colOff>
      <xdr:row>40</xdr:row>
      <xdr:rowOff>128927</xdr:rowOff>
    </xdr:to>
    <xdr:cxnSp macro="">
      <xdr:nvCxnSpPr>
        <xdr:cNvPr id="152" name="Conector recto de flecha 151">
          <a:extLst>
            <a:ext uri="{FF2B5EF4-FFF2-40B4-BE49-F238E27FC236}">
              <a16:creationId xmlns:a16="http://schemas.microsoft.com/office/drawing/2014/main" id="{B6257DFB-734B-4936-9D88-7DCB5660E66B}"/>
            </a:ext>
          </a:extLst>
        </xdr:cNvPr>
        <xdr:cNvCxnSpPr>
          <a:stCxn id="110" idx="6"/>
          <a:endCxn id="144" idx="2"/>
        </xdr:cNvCxnSpPr>
      </xdr:nvCxnSpPr>
      <xdr:spPr>
        <a:xfrm flipV="1">
          <a:off x="21293476" y="7740080"/>
          <a:ext cx="1040948" cy="884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651443</xdr:colOff>
      <xdr:row>33</xdr:row>
      <xdr:rowOff>110557</xdr:rowOff>
    </xdr:from>
    <xdr:to>
      <xdr:col>23</xdr:col>
      <xdr:colOff>555172</xdr:colOff>
      <xdr:row>33</xdr:row>
      <xdr:rowOff>117020</xdr:rowOff>
    </xdr:to>
    <xdr:cxnSp macro="">
      <xdr:nvCxnSpPr>
        <xdr:cNvPr id="153" name="Conector recto de flecha 152">
          <a:extLst>
            <a:ext uri="{FF2B5EF4-FFF2-40B4-BE49-F238E27FC236}">
              <a16:creationId xmlns:a16="http://schemas.microsoft.com/office/drawing/2014/main" id="{9EFA0D7B-26BB-4750-BB83-40E72D0FF044}"/>
            </a:ext>
          </a:extLst>
        </xdr:cNvPr>
        <xdr:cNvCxnSpPr>
          <a:stCxn id="109" idx="6"/>
          <a:endCxn id="111" idx="2"/>
        </xdr:cNvCxnSpPr>
      </xdr:nvCxnSpPr>
      <xdr:spPr>
        <a:xfrm flipV="1">
          <a:off x="20381800" y="6301807"/>
          <a:ext cx="665729" cy="646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193222</xdr:colOff>
      <xdr:row>34</xdr:row>
      <xdr:rowOff>187438</xdr:rowOff>
    </xdr:from>
    <xdr:to>
      <xdr:col>31</xdr:col>
      <xdr:colOff>95592</xdr:colOff>
      <xdr:row>38</xdr:row>
      <xdr:rowOff>30955</xdr:rowOff>
    </xdr:to>
    <xdr:sp macro="" textlink="">
      <xdr:nvSpPr>
        <xdr:cNvPr id="177" name="Conector 9">
          <a:extLst>
            <a:ext uri="{FF2B5EF4-FFF2-40B4-BE49-F238E27FC236}">
              <a16:creationId xmlns:a16="http://schemas.microsoft.com/office/drawing/2014/main" id="{7FF707DF-8038-41B3-9B56-ED1ED83FB0EC}"/>
            </a:ext>
          </a:extLst>
        </xdr:cNvPr>
        <xdr:cNvSpPr/>
      </xdr:nvSpPr>
      <xdr:spPr>
        <a:xfrm>
          <a:off x="26019579" y="6582795"/>
          <a:ext cx="664370" cy="659946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17</a:t>
          </a:r>
        </a:p>
      </xdr:txBody>
    </xdr:sp>
    <xdr:clientData/>
  </xdr:twoCellAnchor>
  <xdr:twoCellAnchor>
    <xdr:from>
      <xdr:col>32</xdr:col>
      <xdr:colOff>51369</xdr:colOff>
      <xdr:row>34</xdr:row>
      <xdr:rowOff>189819</xdr:rowOff>
    </xdr:from>
    <xdr:to>
      <xdr:col>32</xdr:col>
      <xdr:colOff>756219</xdr:colOff>
      <xdr:row>38</xdr:row>
      <xdr:rowOff>33336</xdr:rowOff>
    </xdr:to>
    <xdr:sp macro="" textlink="">
      <xdr:nvSpPr>
        <xdr:cNvPr id="178" name="Conector 9">
          <a:extLst>
            <a:ext uri="{FF2B5EF4-FFF2-40B4-BE49-F238E27FC236}">
              <a16:creationId xmlns:a16="http://schemas.microsoft.com/office/drawing/2014/main" id="{BF587A95-3FDE-4023-BF25-86495F48676C}"/>
            </a:ext>
          </a:extLst>
        </xdr:cNvPr>
        <xdr:cNvSpPr/>
      </xdr:nvSpPr>
      <xdr:spPr>
        <a:xfrm>
          <a:off x="27401726" y="6585176"/>
          <a:ext cx="704850" cy="659946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800"/>
            <a:t> 18</a:t>
          </a:r>
        </a:p>
      </xdr:txBody>
    </xdr:sp>
    <xdr:clientData/>
  </xdr:twoCellAnchor>
  <xdr:twoCellAnchor>
    <xdr:from>
      <xdr:col>31</xdr:col>
      <xdr:colOff>95592</xdr:colOff>
      <xdr:row>36</xdr:row>
      <xdr:rowOff>109197</xdr:rowOff>
    </xdr:from>
    <xdr:to>
      <xdr:col>32</xdr:col>
      <xdr:colOff>51369</xdr:colOff>
      <xdr:row>36</xdr:row>
      <xdr:rowOff>111578</xdr:rowOff>
    </xdr:to>
    <xdr:cxnSp macro="">
      <xdr:nvCxnSpPr>
        <xdr:cNvPr id="179" name="Conector recto de flecha 178">
          <a:extLst>
            <a:ext uri="{FF2B5EF4-FFF2-40B4-BE49-F238E27FC236}">
              <a16:creationId xmlns:a16="http://schemas.microsoft.com/office/drawing/2014/main" id="{0D50AE65-ECAC-43A6-9853-D42F8BA553A6}"/>
            </a:ext>
          </a:extLst>
        </xdr:cNvPr>
        <xdr:cNvCxnSpPr>
          <a:stCxn id="177" idx="6"/>
          <a:endCxn id="178" idx="2"/>
        </xdr:cNvCxnSpPr>
      </xdr:nvCxnSpPr>
      <xdr:spPr>
        <a:xfrm>
          <a:off x="26683949" y="6912768"/>
          <a:ext cx="717777" cy="23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731386</xdr:colOff>
      <xdr:row>36</xdr:row>
      <xdr:rowOff>99501</xdr:rowOff>
    </xdr:from>
    <xdr:to>
      <xdr:col>30</xdr:col>
      <xdr:colOff>193222</xdr:colOff>
      <xdr:row>36</xdr:row>
      <xdr:rowOff>109197</xdr:rowOff>
    </xdr:to>
    <xdr:cxnSp macro="">
      <xdr:nvCxnSpPr>
        <xdr:cNvPr id="180" name="Conector recto de flecha 179">
          <a:extLst>
            <a:ext uri="{FF2B5EF4-FFF2-40B4-BE49-F238E27FC236}">
              <a16:creationId xmlns:a16="http://schemas.microsoft.com/office/drawing/2014/main" id="{704CFDBA-9F91-4CF2-8FDB-BE88818CB627}"/>
            </a:ext>
          </a:extLst>
        </xdr:cNvPr>
        <xdr:cNvCxnSpPr>
          <a:stCxn id="145" idx="6"/>
          <a:endCxn id="177" idx="2"/>
        </xdr:cNvCxnSpPr>
      </xdr:nvCxnSpPr>
      <xdr:spPr>
        <a:xfrm>
          <a:off x="25033743" y="6903072"/>
          <a:ext cx="985836" cy="96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29</xdr:col>
      <xdr:colOff>86407</xdr:colOff>
      <xdr:row>37</xdr:row>
      <xdr:rowOff>131307</xdr:rowOff>
    </xdr:from>
    <xdr:ext cx="610392" cy="326233"/>
    <xdr:sp macro="" textlink="">
      <xdr:nvSpPr>
        <xdr:cNvPr id="193" name="CuadroTexto 192">
          <a:extLst>
            <a:ext uri="{FF2B5EF4-FFF2-40B4-BE49-F238E27FC236}">
              <a16:creationId xmlns:a16="http://schemas.microsoft.com/office/drawing/2014/main" id="{B7F99A6A-0345-49F5-8912-A72B097399A7}"/>
            </a:ext>
          </a:extLst>
        </xdr:cNvPr>
        <xdr:cNvSpPr txBox="1"/>
      </xdr:nvSpPr>
      <xdr:spPr>
        <a:xfrm>
          <a:off x="25150764" y="7138986"/>
          <a:ext cx="610392" cy="3262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P(17)</a:t>
          </a:r>
        </a:p>
        <a:p>
          <a:endParaRPr lang="es-CO" sz="1100"/>
        </a:p>
      </xdr:txBody>
    </xdr:sp>
    <xdr:clientData/>
  </xdr:oneCellAnchor>
  <xdr:oneCellAnchor>
    <xdr:from>
      <xdr:col>26</xdr:col>
      <xdr:colOff>240506</xdr:colOff>
      <xdr:row>36</xdr:row>
      <xdr:rowOff>187780</xdr:rowOff>
    </xdr:from>
    <xdr:ext cx="519207" cy="356505"/>
    <xdr:sp macro="" textlink="">
      <xdr:nvSpPr>
        <xdr:cNvPr id="194" name="CuadroTexto 193">
          <a:extLst>
            <a:ext uri="{FF2B5EF4-FFF2-40B4-BE49-F238E27FC236}">
              <a16:creationId xmlns:a16="http://schemas.microsoft.com/office/drawing/2014/main" id="{02F6946F-C157-4371-9EA1-D25477C8F6B7}"/>
            </a:ext>
          </a:extLst>
        </xdr:cNvPr>
        <xdr:cNvSpPr txBox="1"/>
      </xdr:nvSpPr>
      <xdr:spPr>
        <a:xfrm>
          <a:off x="23018863" y="6991351"/>
          <a:ext cx="519207" cy="3565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O(4)</a:t>
          </a:r>
        </a:p>
        <a:p>
          <a:endParaRPr lang="es-CO" sz="1100"/>
        </a:p>
      </xdr:txBody>
    </xdr:sp>
    <xdr:clientData/>
  </xdr:oneCellAnchor>
  <xdr:oneCellAnchor>
    <xdr:from>
      <xdr:col>31</xdr:col>
      <xdr:colOff>142307</xdr:colOff>
      <xdr:row>37</xdr:row>
      <xdr:rowOff>95250</xdr:rowOff>
    </xdr:from>
    <xdr:ext cx="610392" cy="326233"/>
    <xdr:sp macro="" textlink="">
      <xdr:nvSpPr>
        <xdr:cNvPr id="202" name="CuadroTexto 201">
          <a:extLst>
            <a:ext uri="{FF2B5EF4-FFF2-40B4-BE49-F238E27FC236}">
              <a16:creationId xmlns:a16="http://schemas.microsoft.com/office/drawing/2014/main" id="{847121BE-A47D-455F-A704-55EDBF0CE6E9}"/>
            </a:ext>
          </a:extLst>
        </xdr:cNvPr>
        <xdr:cNvSpPr txBox="1"/>
      </xdr:nvSpPr>
      <xdr:spPr>
        <a:xfrm>
          <a:off x="26730664" y="7102929"/>
          <a:ext cx="610392" cy="3262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800"/>
            <a:t>Q(2)</a:t>
          </a:r>
        </a:p>
        <a:p>
          <a:endParaRPr lang="es-CO" sz="1100"/>
        </a:p>
      </xdr:txBody>
    </xdr:sp>
    <xdr:clientData/>
  </xdr:oneCellAnchor>
  <xdr:twoCellAnchor>
    <xdr:from>
      <xdr:col>7</xdr:col>
      <xdr:colOff>68036</xdr:colOff>
      <xdr:row>30</xdr:row>
      <xdr:rowOff>149678</xdr:rowOff>
    </xdr:from>
    <xdr:to>
      <xdr:col>8</xdr:col>
      <xdr:colOff>56129</xdr:colOff>
      <xdr:row>32</xdr:row>
      <xdr:rowOff>197302</xdr:rowOff>
    </xdr:to>
    <xdr:sp macro="" textlink="">
      <xdr:nvSpPr>
        <xdr:cNvPr id="203" name="Rectángulo 202">
          <a:extLst>
            <a:ext uri="{FF2B5EF4-FFF2-40B4-BE49-F238E27FC236}">
              <a16:creationId xmlns:a16="http://schemas.microsoft.com/office/drawing/2014/main" id="{D37935D8-D287-44EF-89B5-93B995556EAA}"/>
            </a:ext>
          </a:extLst>
        </xdr:cNvPr>
        <xdr:cNvSpPr/>
      </xdr:nvSpPr>
      <xdr:spPr>
        <a:xfrm>
          <a:off x="8368393" y="5728607"/>
          <a:ext cx="750093" cy="45583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0           15                    0           15</a:t>
          </a:r>
        </a:p>
      </xdr:txBody>
    </xdr:sp>
    <xdr:clientData/>
  </xdr:twoCellAnchor>
  <xdr:twoCellAnchor>
    <xdr:from>
      <xdr:col>9</xdr:col>
      <xdr:colOff>0</xdr:colOff>
      <xdr:row>30</xdr:row>
      <xdr:rowOff>-1</xdr:rowOff>
    </xdr:from>
    <xdr:to>
      <xdr:col>9</xdr:col>
      <xdr:colOff>726281</xdr:colOff>
      <xdr:row>32</xdr:row>
      <xdr:rowOff>47624</xdr:rowOff>
    </xdr:to>
    <xdr:sp macro="" textlink="">
      <xdr:nvSpPr>
        <xdr:cNvPr id="205" name="Rectángulo 204">
          <a:extLst>
            <a:ext uri="{FF2B5EF4-FFF2-40B4-BE49-F238E27FC236}">
              <a16:creationId xmlns:a16="http://schemas.microsoft.com/office/drawing/2014/main" id="{6D5A5D57-EB1F-49CE-8C7C-E57B842E29DF}"/>
            </a:ext>
          </a:extLst>
        </xdr:cNvPr>
        <xdr:cNvSpPr/>
      </xdr:nvSpPr>
      <xdr:spPr>
        <a:xfrm>
          <a:off x="9548813" y="7262812"/>
          <a:ext cx="726281" cy="45243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15       28                       15       28</a:t>
          </a:r>
        </a:p>
      </xdr:txBody>
    </xdr:sp>
    <xdr:clientData/>
  </xdr:twoCellAnchor>
  <xdr:twoCellAnchor>
    <xdr:from>
      <xdr:col>11</xdr:col>
      <xdr:colOff>261938</xdr:colOff>
      <xdr:row>31</xdr:row>
      <xdr:rowOff>190499</xdr:rowOff>
    </xdr:from>
    <xdr:to>
      <xdr:col>12</xdr:col>
      <xdr:colOff>261938</xdr:colOff>
      <xdr:row>34</xdr:row>
      <xdr:rowOff>21430</xdr:rowOff>
    </xdr:to>
    <xdr:sp macro="" textlink="">
      <xdr:nvSpPr>
        <xdr:cNvPr id="206" name="Rectángulo 205">
          <a:extLst>
            <a:ext uri="{FF2B5EF4-FFF2-40B4-BE49-F238E27FC236}">
              <a16:creationId xmlns:a16="http://schemas.microsoft.com/office/drawing/2014/main" id="{509E5D3E-B4AA-4765-9559-F50F40CE6210}"/>
            </a:ext>
          </a:extLst>
        </xdr:cNvPr>
        <xdr:cNvSpPr/>
      </xdr:nvSpPr>
      <xdr:spPr>
        <a:xfrm>
          <a:off x="11334751" y="7655718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28        32                    28        32</a:t>
          </a:r>
        </a:p>
      </xdr:txBody>
    </xdr:sp>
    <xdr:clientData/>
  </xdr:twoCellAnchor>
  <xdr:twoCellAnchor>
    <xdr:from>
      <xdr:col>13</xdr:col>
      <xdr:colOff>0</xdr:colOff>
      <xdr:row>32</xdr:row>
      <xdr:rowOff>0</xdr:rowOff>
    </xdr:from>
    <xdr:to>
      <xdr:col>14</xdr:col>
      <xdr:colOff>0</xdr:colOff>
      <xdr:row>34</xdr:row>
      <xdr:rowOff>33337</xdr:rowOff>
    </xdr:to>
    <xdr:sp macro="" textlink="">
      <xdr:nvSpPr>
        <xdr:cNvPr id="207" name="Rectángulo 206">
          <a:extLst>
            <a:ext uri="{FF2B5EF4-FFF2-40B4-BE49-F238E27FC236}">
              <a16:creationId xmlns:a16="http://schemas.microsoft.com/office/drawing/2014/main" id="{0F204D8B-76F6-42CC-81FC-51C5738FD5AD}"/>
            </a:ext>
          </a:extLst>
        </xdr:cNvPr>
        <xdr:cNvSpPr/>
      </xdr:nvSpPr>
      <xdr:spPr>
        <a:xfrm>
          <a:off x="12596813" y="7667625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32         39                    32         39</a:t>
          </a:r>
        </a:p>
      </xdr:txBody>
    </xdr:sp>
    <xdr:clientData/>
  </xdr:twoCellAnchor>
  <xdr:twoCellAnchor>
    <xdr:from>
      <xdr:col>14</xdr:col>
      <xdr:colOff>750094</xdr:colOff>
      <xdr:row>32</xdr:row>
      <xdr:rowOff>47624</xdr:rowOff>
    </xdr:from>
    <xdr:to>
      <xdr:col>15</xdr:col>
      <xdr:colOff>750094</xdr:colOff>
      <xdr:row>34</xdr:row>
      <xdr:rowOff>80961</xdr:rowOff>
    </xdr:to>
    <xdr:sp macro="" textlink="">
      <xdr:nvSpPr>
        <xdr:cNvPr id="208" name="Rectángulo 207">
          <a:extLst>
            <a:ext uri="{FF2B5EF4-FFF2-40B4-BE49-F238E27FC236}">
              <a16:creationId xmlns:a16="http://schemas.microsoft.com/office/drawing/2014/main" id="{027D09E1-8A0D-42F7-BF5F-DA77E273DA17}"/>
            </a:ext>
          </a:extLst>
        </xdr:cNvPr>
        <xdr:cNvSpPr/>
      </xdr:nvSpPr>
      <xdr:spPr>
        <a:xfrm>
          <a:off x="14108907" y="7715249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39         59                     39         59</a:t>
          </a:r>
        </a:p>
      </xdr:txBody>
    </xdr:sp>
    <xdr:clientData/>
  </xdr:twoCellAnchor>
  <xdr:twoCellAnchor>
    <xdr:from>
      <xdr:col>17</xdr:col>
      <xdr:colOff>0</xdr:colOff>
      <xdr:row>32</xdr:row>
      <xdr:rowOff>0</xdr:rowOff>
    </xdr:from>
    <xdr:to>
      <xdr:col>18</xdr:col>
      <xdr:colOff>0</xdr:colOff>
      <xdr:row>34</xdr:row>
      <xdr:rowOff>33337</xdr:rowOff>
    </xdr:to>
    <xdr:sp macro="" textlink="">
      <xdr:nvSpPr>
        <xdr:cNvPr id="209" name="Rectángulo 208">
          <a:extLst>
            <a:ext uri="{FF2B5EF4-FFF2-40B4-BE49-F238E27FC236}">
              <a16:creationId xmlns:a16="http://schemas.microsoft.com/office/drawing/2014/main" id="{CBF48306-2657-4A6A-B1A7-0E2048CC0BD8}"/>
            </a:ext>
          </a:extLst>
        </xdr:cNvPr>
        <xdr:cNvSpPr/>
      </xdr:nvSpPr>
      <xdr:spPr>
        <a:xfrm>
          <a:off x="15644813" y="7667625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59         65                     59         65</a:t>
          </a:r>
        </a:p>
      </xdr:txBody>
    </xdr:sp>
    <xdr:clientData/>
  </xdr:twoCellAnchor>
  <xdr:twoCellAnchor>
    <xdr:from>
      <xdr:col>18</xdr:col>
      <xdr:colOff>750094</xdr:colOff>
      <xdr:row>28</xdr:row>
      <xdr:rowOff>178595</xdr:rowOff>
    </xdr:from>
    <xdr:to>
      <xdr:col>19</xdr:col>
      <xdr:colOff>750094</xdr:colOff>
      <xdr:row>31</xdr:row>
      <xdr:rowOff>21432</xdr:rowOff>
    </xdr:to>
    <xdr:sp macro="" textlink="">
      <xdr:nvSpPr>
        <xdr:cNvPr id="210" name="Rectángulo 209">
          <a:extLst>
            <a:ext uri="{FF2B5EF4-FFF2-40B4-BE49-F238E27FC236}">
              <a16:creationId xmlns:a16="http://schemas.microsoft.com/office/drawing/2014/main" id="{9813F2BC-62EC-4D76-84F0-6A98FAE3044C}"/>
            </a:ext>
          </a:extLst>
        </xdr:cNvPr>
        <xdr:cNvSpPr/>
      </xdr:nvSpPr>
      <xdr:spPr>
        <a:xfrm>
          <a:off x="17156907" y="7048501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65         68                     65         68</a:t>
          </a:r>
        </a:p>
      </xdr:txBody>
    </xdr:sp>
    <xdr:clientData/>
  </xdr:twoCellAnchor>
  <xdr:twoCellAnchor>
    <xdr:from>
      <xdr:col>18</xdr:col>
      <xdr:colOff>468312</xdr:colOff>
      <xdr:row>42</xdr:row>
      <xdr:rowOff>178594</xdr:rowOff>
    </xdr:from>
    <xdr:to>
      <xdr:col>19</xdr:col>
      <xdr:colOff>468312</xdr:colOff>
      <xdr:row>45</xdr:row>
      <xdr:rowOff>5557</xdr:rowOff>
    </xdr:to>
    <xdr:sp macro="" textlink="">
      <xdr:nvSpPr>
        <xdr:cNvPr id="211" name="Rectángulo 210">
          <a:extLst>
            <a:ext uri="{FF2B5EF4-FFF2-40B4-BE49-F238E27FC236}">
              <a16:creationId xmlns:a16="http://schemas.microsoft.com/office/drawing/2014/main" id="{AB2DDB27-C706-4FC3-BCD8-B8E9C75F3C27}"/>
            </a:ext>
          </a:extLst>
        </xdr:cNvPr>
        <xdr:cNvSpPr/>
      </xdr:nvSpPr>
      <xdr:spPr>
        <a:xfrm>
          <a:off x="17152937" y="8274844"/>
          <a:ext cx="762000" cy="4460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65         67                     66         68</a:t>
          </a:r>
        </a:p>
      </xdr:txBody>
    </xdr:sp>
    <xdr:clientData/>
  </xdr:twoCellAnchor>
  <xdr:twoCellAnchor>
    <xdr:from>
      <xdr:col>21</xdr:col>
      <xdr:colOff>47625</xdr:colOff>
      <xdr:row>28</xdr:row>
      <xdr:rowOff>154782</xdr:rowOff>
    </xdr:from>
    <xdr:to>
      <xdr:col>22</xdr:col>
      <xdr:colOff>47625</xdr:colOff>
      <xdr:row>30</xdr:row>
      <xdr:rowOff>200025</xdr:rowOff>
    </xdr:to>
    <xdr:sp macro="" textlink="">
      <xdr:nvSpPr>
        <xdr:cNvPr id="212" name="Rectángulo 211">
          <a:extLst>
            <a:ext uri="{FF2B5EF4-FFF2-40B4-BE49-F238E27FC236}">
              <a16:creationId xmlns:a16="http://schemas.microsoft.com/office/drawing/2014/main" id="{22211517-BE85-49FB-991F-90FB57400538}"/>
            </a:ext>
          </a:extLst>
        </xdr:cNvPr>
        <xdr:cNvSpPr/>
      </xdr:nvSpPr>
      <xdr:spPr>
        <a:xfrm>
          <a:off x="18740438" y="7024688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68         71                     69         72</a:t>
          </a:r>
        </a:p>
      </xdr:txBody>
    </xdr:sp>
    <xdr:clientData/>
  </xdr:twoCellAnchor>
  <xdr:twoCellAnchor>
    <xdr:from>
      <xdr:col>21</xdr:col>
      <xdr:colOff>335075</xdr:colOff>
      <xdr:row>41</xdr:row>
      <xdr:rowOff>18709</xdr:rowOff>
    </xdr:from>
    <xdr:to>
      <xdr:col>22</xdr:col>
      <xdr:colOff>335075</xdr:colOff>
      <xdr:row>43</xdr:row>
      <xdr:rowOff>52048</xdr:rowOff>
    </xdr:to>
    <xdr:sp macro="" textlink="">
      <xdr:nvSpPr>
        <xdr:cNvPr id="213" name="Rectángulo 212">
          <a:extLst>
            <a:ext uri="{FF2B5EF4-FFF2-40B4-BE49-F238E27FC236}">
              <a16:creationId xmlns:a16="http://schemas.microsoft.com/office/drawing/2014/main" id="{765C1159-BD2A-4E14-805B-819C9799D721}"/>
            </a:ext>
          </a:extLst>
        </xdr:cNvPr>
        <xdr:cNvSpPr/>
      </xdr:nvSpPr>
      <xdr:spPr>
        <a:xfrm>
          <a:off x="19303432" y="7842816"/>
          <a:ext cx="762000" cy="4415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68         73                     68         73</a:t>
          </a:r>
        </a:p>
      </xdr:txBody>
    </xdr:sp>
    <xdr:clientData/>
  </xdr:twoCellAnchor>
  <xdr:twoCellAnchor>
    <xdr:from>
      <xdr:col>22</xdr:col>
      <xdr:colOff>639536</xdr:colOff>
      <xdr:row>28</xdr:row>
      <xdr:rowOff>40821</xdr:rowOff>
    </xdr:from>
    <xdr:to>
      <xdr:col>23</xdr:col>
      <xdr:colOff>639536</xdr:colOff>
      <xdr:row>30</xdr:row>
      <xdr:rowOff>84363</xdr:rowOff>
    </xdr:to>
    <xdr:sp macro="" textlink="">
      <xdr:nvSpPr>
        <xdr:cNvPr id="214" name="Rectángulo 213">
          <a:extLst>
            <a:ext uri="{FF2B5EF4-FFF2-40B4-BE49-F238E27FC236}">
              <a16:creationId xmlns:a16="http://schemas.microsoft.com/office/drawing/2014/main" id="{7EDF5E9B-448E-4C48-AB99-299DC5A39F3A}"/>
            </a:ext>
          </a:extLst>
        </xdr:cNvPr>
        <xdr:cNvSpPr/>
      </xdr:nvSpPr>
      <xdr:spPr>
        <a:xfrm>
          <a:off x="20369893" y="5225142"/>
          <a:ext cx="762000" cy="4381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71         73                    72         74</a:t>
          </a:r>
        </a:p>
      </xdr:txBody>
    </xdr:sp>
    <xdr:clientData/>
  </xdr:twoCellAnchor>
  <xdr:twoCellAnchor>
    <xdr:from>
      <xdr:col>24</xdr:col>
      <xdr:colOff>285750</xdr:colOff>
      <xdr:row>43</xdr:row>
      <xdr:rowOff>95251</xdr:rowOff>
    </xdr:from>
    <xdr:to>
      <xdr:col>25</xdr:col>
      <xdr:colOff>285750</xdr:colOff>
      <xdr:row>45</xdr:row>
      <xdr:rowOff>128587</xdr:rowOff>
    </xdr:to>
    <xdr:sp macro="" textlink="">
      <xdr:nvSpPr>
        <xdr:cNvPr id="215" name="Rectángulo 214">
          <a:extLst>
            <a:ext uri="{FF2B5EF4-FFF2-40B4-BE49-F238E27FC236}">
              <a16:creationId xmlns:a16="http://schemas.microsoft.com/office/drawing/2014/main" id="{6159D74D-9CE5-47B7-B90E-56B4ACE546EF}"/>
            </a:ext>
          </a:extLst>
        </xdr:cNvPr>
        <xdr:cNvSpPr/>
      </xdr:nvSpPr>
      <xdr:spPr>
        <a:xfrm>
          <a:off x="21540107" y="8327572"/>
          <a:ext cx="762000" cy="4415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73         77                     73         77</a:t>
          </a:r>
        </a:p>
      </xdr:txBody>
    </xdr:sp>
    <xdr:clientData/>
  </xdr:twoCellAnchor>
  <xdr:twoCellAnchor>
    <xdr:from>
      <xdr:col>24</xdr:col>
      <xdr:colOff>571500</xdr:colOff>
      <xdr:row>27</xdr:row>
      <xdr:rowOff>176894</xdr:rowOff>
    </xdr:from>
    <xdr:to>
      <xdr:col>25</xdr:col>
      <xdr:colOff>571500</xdr:colOff>
      <xdr:row>30</xdr:row>
      <xdr:rowOff>31637</xdr:rowOff>
    </xdr:to>
    <xdr:sp macro="" textlink="">
      <xdr:nvSpPr>
        <xdr:cNvPr id="216" name="Rectángulo 215">
          <a:extLst>
            <a:ext uri="{FF2B5EF4-FFF2-40B4-BE49-F238E27FC236}">
              <a16:creationId xmlns:a16="http://schemas.microsoft.com/office/drawing/2014/main" id="{6899F2C0-F3C7-4CF9-8B61-38F070C29805}"/>
            </a:ext>
          </a:extLst>
        </xdr:cNvPr>
        <xdr:cNvSpPr/>
      </xdr:nvSpPr>
      <xdr:spPr>
        <a:xfrm>
          <a:off x="21825857" y="5170715"/>
          <a:ext cx="762000" cy="4398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73         76                     74         77</a:t>
          </a:r>
        </a:p>
      </xdr:txBody>
    </xdr:sp>
    <xdr:clientData/>
  </xdr:twoCellAnchor>
  <xdr:twoCellAnchor>
    <xdr:from>
      <xdr:col>26</xdr:col>
      <xdr:colOff>517071</xdr:colOff>
      <xdr:row>33</xdr:row>
      <xdr:rowOff>190501</xdr:rowOff>
    </xdr:from>
    <xdr:to>
      <xdr:col>27</xdr:col>
      <xdr:colOff>517071</xdr:colOff>
      <xdr:row>36</xdr:row>
      <xdr:rowOff>19733</xdr:rowOff>
    </xdr:to>
    <xdr:sp macro="" textlink="">
      <xdr:nvSpPr>
        <xdr:cNvPr id="217" name="Rectángulo 216">
          <a:extLst>
            <a:ext uri="{FF2B5EF4-FFF2-40B4-BE49-F238E27FC236}">
              <a16:creationId xmlns:a16="http://schemas.microsoft.com/office/drawing/2014/main" id="{CC6CFB9D-323E-4B5F-8112-E134D2EC2D7E}"/>
            </a:ext>
          </a:extLst>
        </xdr:cNvPr>
        <xdr:cNvSpPr/>
      </xdr:nvSpPr>
      <xdr:spPr>
        <a:xfrm>
          <a:off x="23295428" y="6381751"/>
          <a:ext cx="762000" cy="4415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77        81                     77        81</a:t>
          </a:r>
        </a:p>
      </xdr:txBody>
    </xdr:sp>
    <xdr:clientData/>
  </xdr:twoCellAnchor>
  <xdr:twoCellAnchor>
    <xdr:from>
      <xdr:col>28</xdr:col>
      <xdr:colOff>693964</xdr:colOff>
      <xdr:row>39</xdr:row>
      <xdr:rowOff>199005</xdr:rowOff>
    </xdr:from>
    <xdr:to>
      <xdr:col>29</xdr:col>
      <xdr:colOff>693964</xdr:colOff>
      <xdr:row>42</xdr:row>
      <xdr:rowOff>28235</xdr:rowOff>
    </xdr:to>
    <xdr:sp macro="" textlink="">
      <xdr:nvSpPr>
        <xdr:cNvPr id="218" name="Rectángulo 217">
          <a:extLst>
            <a:ext uri="{FF2B5EF4-FFF2-40B4-BE49-F238E27FC236}">
              <a16:creationId xmlns:a16="http://schemas.microsoft.com/office/drawing/2014/main" id="{9DFAFF19-2505-4BD6-B8D9-8D7FC0148191}"/>
            </a:ext>
          </a:extLst>
        </xdr:cNvPr>
        <xdr:cNvSpPr/>
      </xdr:nvSpPr>
      <xdr:spPr>
        <a:xfrm>
          <a:off x="24996321" y="7614898"/>
          <a:ext cx="762000" cy="4415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81         98                     81         98</a:t>
          </a:r>
        </a:p>
      </xdr:txBody>
    </xdr:sp>
    <xdr:clientData/>
  </xdr:twoCellAnchor>
  <xdr:twoCellAnchor>
    <xdr:from>
      <xdr:col>31</xdr:col>
      <xdr:colOff>132669</xdr:colOff>
      <xdr:row>40</xdr:row>
      <xdr:rowOff>1</xdr:rowOff>
    </xdr:from>
    <xdr:to>
      <xdr:col>32</xdr:col>
      <xdr:colOff>132669</xdr:colOff>
      <xdr:row>42</xdr:row>
      <xdr:rowOff>33338</xdr:rowOff>
    </xdr:to>
    <xdr:sp macro="" textlink="">
      <xdr:nvSpPr>
        <xdr:cNvPr id="219" name="Rectángulo 218">
          <a:extLst>
            <a:ext uri="{FF2B5EF4-FFF2-40B4-BE49-F238E27FC236}">
              <a16:creationId xmlns:a16="http://schemas.microsoft.com/office/drawing/2014/main" id="{A2ED5D62-386A-4CE6-B9FD-5D9EC7636B07}"/>
            </a:ext>
          </a:extLst>
        </xdr:cNvPr>
        <xdr:cNvSpPr/>
      </xdr:nvSpPr>
      <xdr:spPr>
        <a:xfrm>
          <a:off x="26721026" y="7620001"/>
          <a:ext cx="762000" cy="4415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98       100                     98       100</a:t>
          </a:r>
        </a:p>
      </xdr:txBody>
    </xdr:sp>
    <xdr:clientData/>
  </xdr:twoCellAnchor>
  <xdr:twoCellAnchor>
    <xdr:from>
      <xdr:col>8</xdr:col>
      <xdr:colOff>390526</xdr:colOff>
      <xdr:row>42</xdr:row>
      <xdr:rowOff>176211</xdr:rowOff>
    </xdr:from>
    <xdr:to>
      <xdr:col>9</xdr:col>
      <xdr:colOff>354807</xdr:colOff>
      <xdr:row>45</xdr:row>
      <xdr:rowOff>21430</xdr:rowOff>
    </xdr:to>
    <xdr:sp macro="" textlink="">
      <xdr:nvSpPr>
        <xdr:cNvPr id="225" name="Rectángulo 224">
          <a:extLst>
            <a:ext uri="{FF2B5EF4-FFF2-40B4-BE49-F238E27FC236}">
              <a16:creationId xmlns:a16="http://schemas.microsoft.com/office/drawing/2014/main" id="{6D3BF1E7-C9FE-4FA2-893F-DBFFCD854E19}"/>
            </a:ext>
          </a:extLst>
        </xdr:cNvPr>
        <xdr:cNvSpPr/>
      </xdr:nvSpPr>
      <xdr:spPr>
        <a:xfrm>
          <a:off x="9177339" y="9867899"/>
          <a:ext cx="726281" cy="45243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/>
            <a:t>15       17                     26       28</a:t>
          </a:r>
        </a:p>
      </xdr:txBody>
    </xdr:sp>
    <xdr:clientData/>
  </xdr:twoCellAnchor>
  <xdr:twoCellAnchor>
    <xdr:from>
      <xdr:col>6</xdr:col>
      <xdr:colOff>631033</xdr:colOff>
      <xdr:row>37</xdr:row>
      <xdr:rowOff>23813</xdr:rowOff>
    </xdr:from>
    <xdr:to>
      <xdr:col>8</xdr:col>
      <xdr:colOff>130969</xdr:colOff>
      <xdr:row>37</xdr:row>
      <xdr:rowOff>166689</xdr:rowOff>
    </xdr:to>
    <xdr:sp macro="" textlink="">
      <xdr:nvSpPr>
        <xdr:cNvPr id="226" name="Rectángulo 225">
          <a:extLst>
            <a:ext uri="{FF2B5EF4-FFF2-40B4-BE49-F238E27FC236}">
              <a16:creationId xmlns:a16="http://schemas.microsoft.com/office/drawing/2014/main" id="{02630B92-319E-4D51-90E8-8FEFD9CDB4DC}"/>
            </a:ext>
          </a:extLst>
        </xdr:cNvPr>
        <xdr:cNvSpPr/>
      </xdr:nvSpPr>
      <xdr:spPr>
        <a:xfrm>
          <a:off x="7893846" y="8703469"/>
          <a:ext cx="1023936" cy="14287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505068</xdr:colOff>
      <xdr:row>35</xdr:row>
      <xdr:rowOff>8333</xdr:rowOff>
    </xdr:from>
    <xdr:to>
      <xdr:col>10</xdr:col>
      <xdr:colOff>173400</xdr:colOff>
      <xdr:row>35</xdr:row>
      <xdr:rowOff>197001</xdr:rowOff>
    </xdr:to>
    <xdr:sp macro="" textlink="">
      <xdr:nvSpPr>
        <xdr:cNvPr id="227" name="Rectángulo 226">
          <a:extLst>
            <a:ext uri="{FF2B5EF4-FFF2-40B4-BE49-F238E27FC236}">
              <a16:creationId xmlns:a16="http://schemas.microsoft.com/office/drawing/2014/main" id="{99987749-5FE7-4C83-A4AC-B494A6DF43FC}"/>
            </a:ext>
          </a:extLst>
        </xdr:cNvPr>
        <xdr:cNvSpPr/>
      </xdr:nvSpPr>
      <xdr:spPr>
        <a:xfrm rot="20158471">
          <a:off x="9291881" y="8283177"/>
          <a:ext cx="1192332" cy="18866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</xdr:col>
      <xdr:colOff>698225</xdr:colOff>
      <xdr:row>35</xdr:row>
      <xdr:rowOff>44473</xdr:rowOff>
    </xdr:from>
    <xdr:to>
      <xdr:col>12</xdr:col>
      <xdr:colOff>260948</xdr:colOff>
      <xdr:row>36</xdr:row>
      <xdr:rowOff>13994</xdr:rowOff>
    </xdr:to>
    <xdr:sp macro="" textlink="">
      <xdr:nvSpPr>
        <xdr:cNvPr id="228" name="Rectángulo 227">
          <a:extLst>
            <a:ext uri="{FF2B5EF4-FFF2-40B4-BE49-F238E27FC236}">
              <a16:creationId xmlns:a16="http://schemas.microsoft.com/office/drawing/2014/main" id="{A5FF1174-AFA6-43CA-B9CD-D97EA22EA305}"/>
            </a:ext>
          </a:extLst>
        </xdr:cNvPr>
        <xdr:cNvSpPr/>
      </xdr:nvSpPr>
      <xdr:spPr>
        <a:xfrm rot="1702856">
          <a:off x="11009038" y="8319317"/>
          <a:ext cx="1086723" cy="17192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695327</xdr:colOff>
      <xdr:row>37</xdr:row>
      <xdr:rowOff>71438</xdr:rowOff>
    </xdr:from>
    <xdr:to>
      <xdr:col>14</xdr:col>
      <xdr:colOff>83343</xdr:colOff>
      <xdr:row>38</xdr:row>
      <xdr:rowOff>35719</xdr:rowOff>
    </xdr:to>
    <xdr:sp macro="" textlink="">
      <xdr:nvSpPr>
        <xdr:cNvPr id="229" name="Rectángulo 228">
          <a:extLst>
            <a:ext uri="{FF2B5EF4-FFF2-40B4-BE49-F238E27FC236}">
              <a16:creationId xmlns:a16="http://schemas.microsoft.com/office/drawing/2014/main" id="{E05FA5C5-390E-44E7-80E8-9516F3449BAF}"/>
            </a:ext>
          </a:extLst>
        </xdr:cNvPr>
        <xdr:cNvSpPr/>
      </xdr:nvSpPr>
      <xdr:spPr>
        <a:xfrm>
          <a:off x="12530140" y="8751094"/>
          <a:ext cx="912016" cy="16668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692944</xdr:colOff>
      <xdr:row>37</xdr:row>
      <xdr:rowOff>71438</xdr:rowOff>
    </xdr:from>
    <xdr:to>
      <xdr:col>16</xdr:col>
      <xdr:colOff>107156</xdr:colOff>
      <xdr:row>38</xdr:row>
      <xdr:rowOff>23813</xdr:rowOff>
    </xdr:to>
    <xdr:sp macro="" textlink="">
      <xdr:nvSpPr>
        <xdr:cNvPr id="230" name="Rectángulo 229">
          <a:extLst>
            <a:ext uri="{FF2B5EF4-FFF2-40B4-BE49-F238E27FC236}">
              <a16:creationId xmlns:a16="http://schemas.microsoft.com/office/drawing/2014/main" id="{DCD2D9C2-D38A-4F68-B136-94F616A88B95}"/>
            </a:ext>
          </a:extLst>
        </xdr:cNvPr>
        <xdr:cNvSpPr/>
      </xdr:nvSpPr>
      <xdr:spPr>
        <a:xfrm>
          <a:off x="14051757" y="8751094"/>
          <a:ext cx="938212" cy="1547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</xdr:col>
      <xdr:colOff>666749</xdr:colOff>
      <xdr:row>37</xdr:row>
      <xdr:rowOff>71438</xdr:rowOff>
    </xdr:from>
    <xdr:to>
      <xdr:col>18</xdr:col>
      <xdr:colOff>107157</xdr:colOff>
      <xdr:row>38</xdr:row>
      <xdr:rowOff>47624</xdr:rowOff>
    </xdr:to>
    <xdr:sp macro="" textlink="">
      <xdr:nvSpPr>
        <xdr:cNvPr id="231" name="Rectángulo 230">
          <a:extLst>
            <a:ext uri="{FF2B5EF4-FFF2-40B4-BE49-F238E27FC236}">
              <a16:creationId xmlns:a16="http://schemas.microsoft.com/office/drawing/2014/main" id="{95EBF5CF-C11F-4010-9DC0-9811487E5E83}"/>
            </a:ext>
          </a:extLst>
        </xdr:cNvPr>
        <xdr:cNvSpPr/>
      </xdr:nvSpPr>
      <xdr:spPr>
        <a:xfrm>
          <a:off x="15549562" y="8751094"/>
          <a:ext cx="964408" cy="17859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18</xdr:col>
      <xdr:colOff>487169</xdr:colOff>
      <xdr:row>34</xdr:row>
      <xdr:rowOff>170253</xdr:rowOff>
    </xdr:from>
    <xdr:to>
      <xdr:col>20</xdr:col>
      <xdr:colOff>203800</xdr:colOff>
      <xdr:row>35</xdr:row>
      <xdr:rowOff>140020</xdr:rowOff>
    </xdr:to>
    <xdr:sp macro="" textlink="">
      <xdr:nvSpPr>
        <xdr:cNvPr id="232" name="Rectángulo 231">
          <a:extLst>
            <a:ext uri="{FF2B5EF4-FFF2-40B4-BE49-F238E27FC236}">
              <a16:creationId xmlns:a16="http://schemas.microsoft.com/office/drawing/2014/main" id="{72142532-782C-483F-B264-38A92FCCAF04}"/>
            </a:ext>
          </a:extLst>
        </xdr:cNvPr>
        <xdr:cNvSpPr/>
      </xdr:nvSpPr>
      <xdr:spPr>
        <a:xfrm rot="19520634">
          <a:off x="17171794" y="6615503"/>
          <a:ext cx="1240631" cy="17614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23</xdr:col>
      <xdr:colOff>713581</xdr:colOff>
      <xdr:row>40</xdr:row>
      <xdr:rowOff>70643</xdr:rowOff>
    </xdr:from>
    <xdr:to>
      <xdr:col>25</xdr:col>
      <xdr:colOff>412750</xdr:colOff>
      <xdr:row>41</xdr:row>
      <xdr:rowOff>31750</xdr:rowOff>
    </xdr:to>
    <xdr:sp macro="" textlink="">
      <xdr:nvSpPr>
        <xdr:cNvPr id="233" name="Rectángulo 232">
          <a:extLst>
            <a:ext uri="{FF2B5EF4-FFF2-40B4-BE49-F238E27FC236}">
              <a16:creationId xmlns:a16="http://schemas.microsoft.com/office/drawing/2014/main" id="{16B346E7-8092-4F80-9970-C39A951ABB73}"/>
            </a:ext>
          </a:extLst>
        </xdr:cNvPr>
        <xdr:cNvSpPr/>
      </xdr:nvSpPr>
      <xdr:spPr>
        <a:xfrm>
          <a:off x="21208206" y="7754143"/>
          <a:ext cx="1223169" cy="16748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26</xdr:col>
      <xdr:colOff>40422</xdr:colOff>
      <xdr:row>38</xdr:row>
      <xdr:rowOff>24474</xdr:rowOff>
    </xdr:from>
    <xdr:to>
      <xdr:col>28</xdr:col>
      <xdr:colOff>233166</xdr:colOff>
      <xdr:row>38</xdr:row>
      <xdr:rowOff>187629</xdr:rowOff>
    </xdr:to>
    <xdr:sp macro="" textlink="">
      <xdr:nvSpPr>
        <xdr:cNvPr id="234" name="Rectángulo 233">
          <a:extLst>
            <a:ext uri="{FF2B5EF4-FFF2-40B4-BE49-F238E27FC236}">
              <a16:creationId xmlns:a16="http://schemas.microsoft.com/office/drawing/2014/main" id="{5CBC8D9F-8904-4254-A917-280BF4380A2F}"/>
            </a:ext>
          </a:extLst>
        </xdr:cNvPr>
        <xdr:cNvSpPr/>
      </xdr:nvSpPr>
      <xdr:spPr>
        <a:xfrm rot="19652684">
          <a:off x="22821047" y="7295224"/>
          <a:ext cx="1716744" cy="16315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473013</xdr:colOff>
      <xdr:row>37</xdr:row>
      <xdr:rowOff>84850</xdr:rowOff>
    </xdr:from>
    <xdr:to>
      <xdr:col>23</xdr:col>
      <xdr:colOff>320736</xdr:colOff>
      <xdr:row>38</xdr:row>
      <xdr:rowOff>73900</xdr:rowOff>
    </xdr:to>
    <xdr:sp macro="" textlink="">
      <xdr:nvSpPr>
        <xdr:cNvPr id="235" name="Rectángulo 234">
          <a:extLst>
            <a:ext uri="{FF2B5EF4-FFF2-40B4-BE49-F238E27FC236}">
              <a16:creationId xmlns:a16="http://schemas.microsoft.com/office/drawing/2014/main" id="{0CD9D056-28E6-43FF-8D4D-DD3DBC3042E4}"/>
            </a:ext>
          </a:extLst>
        </xdr:cNvPr>
        <xdr:cNvSpPr/>
      </xdr:nvSpPr>
      <xdr:spPr>
        <a:xfrm rot="2123872">
          <a:off x="18681638" y="7149225"/>
          <a:ext cx="2133723" cy="1954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28</xdr:col>
      <xdr:colOff>675368</xdr:colOff>
      <xdr:row>36</xdr:row>
      <xdr:rowOff>14855</xdr:rowOff>
    </xdr:from>
    <xdr:to>
      <xdr:col>30</xdr:col>
      <xdr:colOff>222250</xdr:colOff>
      <xdr:row>37</xdr:row>
      <xdr:rowOff>0</xdr:rowOff>
    </xdr:to>
    <xdr:sp macro="" textlink="">
      <xdr:nvSpPr>
        <xdr:cNvPr id="237" name="Rectángulo 236">
          <a:extLst>
            <a:ext uri="{FF2B5EF4-FFF2-40B4-BE49-F238E27FC236}">
              <a16:creationId xmlns:a16="http://schemas.microsoft.com/office/drawing/2014/main" id="{332DB5A6-0D7C-4450-916D-F139BA405E81}"/>
            </a:ext>
          </a:extLst>
        </xdr:cNvPr>
        <xdr:cNvSpPr/>
      </xdr:nvSpPr>
      <xdr:spPr>
        <a:xfrm>
          <a:off x="24979993" y="6872855"/>
          <a:ext cx="1070882" cy="191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390355</xdr:colOff>
      <xdr:row>35</xdr:row>
      <xdr:rowOff>49325</xdr:rowOff>
    </xdr:from>
    <xdr:to>
      <xdr:col>20</xdr:col>
      <xdr:colOff>391546</xdr:colOff>
      <xdr:row>39</xdr:row>
      <xdr:rowOff>45244</xdr:rowOff>
    </xdr:to>
    <xdr:cxnSp macro="">
      <xdr:nvCxnSpPr>
        <xdr:cNvPr id="88" name="Conector recto de flecha 87">
          <a:extLst>
            <a:ext uri="{FF2B5EF4-FFF2-40B4-BE49-F238E27FC236}">
              <a16:creationId xmlns:a16="http://schemas.microsoft.com/office/drawing/2014/main" id="{93F53FC0-2CB8-4442-9EEE-0D7964630D1F}"/>
            </a:ext>
          </a:extLst>
        </xdr:cNvPr>
        <xdr:cNvCxnSpPr>
          <a:stCxn id="87" idx="0"/>
          <a:endCxn id="38" idx="4"/>
        </xdr:cNvCxnSpPr>
      </xdr:nvCxnSpPr>
      <xdr:spPr>
        <a:xfrm flipV="1">
          <a:off x="18596712" y="6648789"/>
          <a:ext cx="1191" cy="812348"/>
        </a:xfrm>
        <a:prstGeom prst="straightConnector1">
          <a:avLst/>
        </a:prstGeom>
        <a:ln w="1905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435768</xdr:colOff>
      <xdr:row>35</xdr:row>
      <xdr:rowOff>200026</xdr:rowOff>
    </xdr:from>
    <xdr:to>
      <xdr:col>10</xdr:col>
      <xdr:colOff>447675</xdr:colOff>
      <xdr:row>39</xdr:row>
      <xdr:rowOff>111124</xdr:rowOff>
    </xdr:to>
    <xdr:cxnSp macro="">
      <xdr:nvCxnSpPr>
        <xdr:cNvPr id="90" name="Conector recto de flecha 89">
          <a:extLst>
            <a:ext uri="{FF2B5EF4-FFF2-40B4-BE49-F238E27FC236}">
              <a16:creationId xmlns:a16="http://schemas.microsoft.com/office/drawing/2014/main" id="{93EE53CE-514E-41E8-98A8-EF4932FD5AB1}"/>
            </a:ext>
          </a:extLst>
        </xdr:cNvPr>
        <xdr:cNvCxnSpPr>
          <a:stCxn id="32" idx="0"/>
          <a:endCxn id="33" idx="4"/>
        </xdr:cNvCxnSpPr>
      </xdr:nvCxnSpPr>
      <xdr:spPr>
        <a:xfrm flipH="1" flipV="1">
          <a:off x="11024393" y="6851651"/>
          <a:ext cx="11907" cy="736598"/>
        </a:xfrm>
        <a:prstGeom prst="straightConnector1">
          <a:avLst/>
        </a:prstGeom>
        <a:ln w="19050">
          <a:prstDash val="sys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18143</xdr:colOff>
      <xdr:row>36</xdr:row>
      <xdr:rowOff>24380</xdr:rowOff>
    </xdr:from>
    <xdr:to>
      <xdr:col>32</xdr:col>
      <xdr:colOff>95250</xdr:colOff>
      <xdr:row>37</xdr:row>
      <xdr:rowOff>15875</xdr:rowOff>
    </xdr:to>
    <xdr:sp macro="" textlink="">
      <xdr:nvSpPr>
        <xdr:cNvPr id="97" name="Rectángulo 96">
          <a:extLst>
            <a:ext uri="{FF2B5EF4-FFF2-40B4-BE49-F238E27FC236}">
              <a16:creationId xmlns:a16="http://schemas.microsoft.com/office/drawing/2014/main" id="{7CBCFB56-AFAF-4E4B-A913-A22CE0CC1C12}"/>
            </a:ext>
          </a:extLst>
        </xdr:cNvPr>
        <xdr:cNvSpPr/>
      </xdr:nvSpPr>
      <xdr:spPr>
        <a:xfrm>
          <a:off x="26608768" y="6882380"/>
          <a:ext cx="839107" cy="1978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cecityhydrogen.en.alibaba.com/product/60576012301-804049122/PEMFC_500W_hydrogen_gas_fuel_cell_stack_with_metal_bipolar_plate_self_humidifying_and_air_cooling.html?spm=a2700.8304367.prewdfa4cf.17.3f469bd6eIdHzR" TargetMode="External"/><Relationship Id="rId2" Type="http://schemas.openxmlformats.org/officeDocument/2006/relationships/hyperlink" Target="http://icecity-js.com/en/hydrogen/index.html" TargetMode="External"/><Relationship Id="rId1" Type="http://schemas.openxmlformats.org/officeDocument/2006/relationships/hyperlink" Target="https://spanish.alibaba.com/p-detail/pilas-de-combustible-PEM-de-hidr%C3%B3geno-300003475962.html?spm=a2700.8699010.29.293.7facdaf8Bs15kY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spanish.alibaba.com/product-detail/5000w-hydrogen-fuel-cell-manufacturers-50034275050.html?spm=a2700.8699010.29.225.331fdaf8c5Hhvq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leroymerlin.es/productos/banos/sanitarios/extractores_de_bano/como-elegir-extractores-de-bano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olerpalau.com/es-es/extractores-de-bano-edm-647-serie/" TargetMode="External"/><Relationship Id="rId1" Type="http://schemas.openxmlformats.org/officeDocument/2006/relationships/hyperlink" Target="http://ecosanmartin.com/blog/ahorres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www.cens.com.co/simulador/index.html" TargetMode="External"/><Relationship Id="rId4" Type="http://schemas.openxmlformats.org/officeDocument/2006/relationships/hyperlink" Target="https://www.solerpalau.com/es-es/extractores-de-bano-edm-200-t-z-220-240v-50hz-re/" TargetMode="External"/><Relationship Id="rId9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://www.leroymerlin.es/productos/banos/sanitarios/extractores_de_bano/como-elegir-extractores-de-bano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solerpalau.com/es-es/extractores-de-bano-edm-647-serie/" TargetMode="External"/><Relationship Id="rId1" Type="http://schemas.openxmlformats.org/officeDocument/2006/relationships/hyperlink" Target="http://ecosanmartin.com/blog/ahorres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://www.cens.com.co/simulador/index.html" TargetMode="External"/><Relationship Id="rId4" Type="http://schemas.openxmlformats.org/officeDocument/2006/relationships/hyperlink" Target="https://www.solerpalau.com/es-es/extractores-de-bano-edm-200-t-z-220-240v-50hz-re/" TargetMode="External"/><Relationship Id="rId9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dolar.wilkinsonpc.com.co/dolar-historico/dolar-historico-2018.html" TargetMode="External"/><Relationship Id="rId2" Type="http://schemas.openxmlformats.org/officeDocument/2006/relationships/hyperlink" Target="https://articulo.mercadolibre.com.co/MCO-443209025-inversor-de-corriente-500w-12v-110v-convertidor-energizer-_JM" TargetMode="External"/><Relationship Id="rId1" Type="http://schemas.openxmlformats.org/officeDocument/2006/relationships/hyperlink" Target="https://articulo.mercadolibre.com.co/MCO-458328649-inversor-conversor-de-corriente-500w-12v-a-110v-con-usb-_JM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C1:K5"/>
  <sheetViews>
    <sheetView zoomScale="70" zoomScaleNormal="70" workbookViewId="0">
      <selection activeCell="H4" sqref="H4"/>
    </sheetView>
  </sheetViews>
  <sheetFormatPr baseColWidth="10" defaultRowHeight="15" x14ac:dyDescent="0.25"/>
  <cols>
    <col min="3" max="3" width="27.28515625" customWidth="1"/>
    <col min="4" max="4" width="33.140625" customWidth="1"/>
    <col min="5" max="5" width="54.5703125" customWidth="1"/>
  </cols>
  <sheetData>
    <row r="1" spans="3:11" ht="15.75" thickBot="1" x14ac:dyDescent="0.3"/>
    <row r="2" spans="3:11" ht="24.75" customHeight="1" thickBot="1" x14ac:dyDescent="0.3">
      <c r="C2" s="486"/>
      <c r="D2" s="487" t="s">
        <v>72</v>
      </c>
      <c r="E2" s="488" t="s">
        <v>69</v>
      </c>
    </row>
    <row r="3" spans="3:11" ht="284.25" customHeight="1" thickBot="1" x14ac:dyDescent="0.3">
      <c r="C3" s="489" t="s">
        <v>70</v>
      </c>
      <c r="D3" s="490" t="s">
        <v>780</v>
      </c>
      <c r="E3" s="491" t="s">
        <v>781</v>
      </c>
      <c r="G3" s="522"/>
      <c r="H3" s="522"/>
      <c r="I3" s="522"/>
      <c r="J3" s="522"/>
      <c r="K3" s="522"/>
    </row>
    <row r="4" spans="3:11" ht="160.5" customHeight="1" thickBot="1" x14ac:dyDescent="0.3">
      <c r="C4" s="492" t="s">
        <v>115</v>
      </c>
      <c r="D4" s="493" t="s">
        <v>786</v>
      </c>
      <c r="E4" s="494" t="s">
        <v>86</v>
      </c>
    </row>
    <row r="5" spans="3:11" ht="158.25" thickBot="1" x14ac:dyDescent="0.3">
      <c r="C5" s="492" t="s">
        <v>71</v>
      </c>
      <c r="D5" s="495" t="s">
        <v>73</v>
      </c>
      <c r="E5" s="496" t="s">
        <v>101</v>
      </c>
    </row>
  </sheetData>
  <mergeCells count="1">
    <mergeCell ref="G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B6:AQ85"/>
  <sheetViews>
    <sheetView topLeftCell="X34" zoomScale="70" zoomScaleNormal="70" workbookViewId="0">
      <selection activeCell="I79" sqref="I79"/>
    </sheetView>
  </sheetViews>
  <sheetFormatPr baseColWidth="10" defaultRowHeight="15" x14ac:dyDescent="0.25"/>
  <cols>
    <col min="2" max="2" width="8.140625" customWidth="1"/>
    <col min="3" max="3" width="57.140625" customWidth="1"/>
    <col min="4" max="4" width="15.140625" customWidth="1"/>
    <col min="5" max="5" width="13" customWidth="1"/>
    <col min="6" max="6" width="12" customWidth="1"/>
    <col min="7" max="7" width="11.5703125" customWidth="1"/>
    <col min="35" max="36" width="5.7109375" customWidth="1"/>
    <col min="38" max="39" width="5.7109375" customWidth="1"/>
    <col min="41" max="42" width="5.7109375" customWidth="1"/>
  </cols>
  <sheetData>
    <row r="6" spans="2:8" ht="15.75" x14ac:dyDescent="0.25">
      <c r="B6" s="646" t="s">
        <v>408</v>
      </c>
      <c r="C6" s="646" t="s">
        <v>409</v>
      </c>
      <c r="D6" s="645" t="s">
        <v>460</v>
      </c>
      <c r="E6" s="645"/>
      <c r="F6" s="645"/>
      <c r="G6" s="645"/>
      <c r="H6" s="645"/>
    </row>
    <row r="7" spans="2:8" ht="15.75" x14ac:dyDescent="0.25">
      <c r="B7" s="647"/>
      <c r="C7" s="647"/>
      <c r="D7" s="337" t="s">
        <v>410</v>
      </c>
      <c r="E7" s="337" t="s">
        <v>411</v>
      </c>
      <c r="F7" s="337" t="s">
        <v>412</v>
      </c>
      <c r="G7" s="337" t="s">
        <v>413</v>
      </c>
      <c r="H7" s="337" t="s">
        <v>414</v>
      </c>
    </row>
    <row r="8" spans="2:8" ht="15.75" x14ac:dyDescent="0.25">
      <c r="B8" s="332" t="s">
        <v>344</v>
      </c>
      <c r="C8" s="330" t="s">
        <v>440</v>
      </c>
      <c r="D8" s="333" t="s">
        <v>415</v>
      </c>
      <c r="E8" s="333">
        <v>12</v>
      </c>
      <c r="F8" s="333">
        <v>15</v>
      </c>
      <c r="G8" s="333">
        <v>20</v>
      </c>
      <c r="H8" s="334">
        <f>(E8+(4*F8)+G8)/6</f>
        <v>15.333333333333334</v>
      </c>
    </row>
    <row r="9" spans="2:8" ht="15.75" x14ac:dyDescent="0.25">
      <c r="B9" s="332" t="s">
        <v>345</v>
      </c>
      <c r="C9" s="330" t="s">
        <v>567</v>
      </c>
      <c r="D9" s="333" t="s">
        <v>344</v>
      </c>
      <c r="E9" s="333">
        <v>10</v>
      </c>
      <c r="F9" s="333">
        <v>12</v>
      </c>
      <c r="G9" s="333">
        <v>20</v>
      </c>
      <c r="H9" s="334">
        <f t="shared" ref="H9:H24" si="0">(E9+(4*F9)+G9)/6</f>
        <v>13</v>
      </c>
    </row>
    <row r="10" spans="2:8" ht="15.75" x14ac:dyDescent="0.25">
      <c r="B10" s="332" t="s">
        <v>346</v>
      </c>
      <c r="C10" s="330" t="s">
        <v>423</v>
      </c>
      <c r="D10" s="333" t="s">
        <v>344</v>
      </c>
      <c r="E10" s="333">
        <v>1</v>
      </c>
      <c r="F10" s="333">
        <v>2</v>
      </c>
      <c r="G10" s="333">
        <v>4</v>
      </c>
      <c r="H10" s="334">
        <f t="shared" si="0"/>
        <v>2.1666666666666665</v>
      </c>
    </row>
    <row r="11" spans="2:8" ht="15.75" x14ac:dyDescent="0.25">
      <c r="B11" s="332" t="s">
        <v>416</v>
      </c>
      <c r="C11" s="330" t="s">
        <v>441</v>
      </c>
      <c r="D11" s="333" t="s">
        <v>458</v>
      </c>
      <c r="E11" s="333">
        <v>2</v>
      </c>
      <c r="F11" s="333">
        <v>4</v>
      </c>
      <c r="G11" s="333">
        <v>7</v>
      </c>
      <c r="H11" s="334">
        <f t="shared" si="0"/>
        <v>4.166666666666667</v>
      </c>
    </row>
    <row r="12" spans="2:8" ht="15.75" x14ac:dyDescent="0.25">
      <c r="B12" s="332" t="s">
        <v>417</v>
      </c>
      <c r="C12" s="330" t="s">
        <v>442</v>
      </c>
      <c r="D12" s="333" t="s">
        <v>416</v>
      </c>
      <c r="E12" s="333">
        <v>5</v>
      </c>
      <c r="F12" s="333">
        <v>7</v>
      </c>
      <c r="G12" s="333">
        <v>10</v>
      </c>
      <c r="H12" s="334">
        <f t="shared" si="0"/>
        <v>7.166666666666667</v>
      </c>
    </row>
    <row r="13" spans="2:8" ht="15.75" x14ac:dyDescent="0.25">
      <c r="B13" s="332" t="s">
        <v>418</v>
      </c>
      <c r="C13" s="330" t="s">
        <v>421</v>
      </c>
      <c r="D13" s="333" t="s">
        <v>417</v>
      </c>
      <c r="E13" s="333">
        <v>15</v>
      </c>
      <c r="F13" s="333">
        <v>20</v>
      </c>
      <c r="G13" s="333">
        <v>25</v>
      </c>
      <c r="H13" s="334">
        <f t="shared" si="0"/>
        <v>20</v>
      </c>
    </row>
    <row r="14" spans="2:8" ht="15.75" x14ac:dyDescent="0.25">
      <c r="B14" s="332" t="s">
        <v>419</v>
      </c>
      <c r="C14" s="330" t="s">
        <v>474</v>
      </c>
      <c r="D14" s="333" t="s">
        <v>418</v>
      </c>
      <c r="E14" s="333">
        <v>3</v>
      </c>
      <c r="F14" s="333">
        <v>5</v>
      </c>
      <c r="G14" s="333">
        <v>10</v>
      </c>
      <c r="H14" s="334">
        <f t="shared" si="0"/>
        <v>5.5</v>
      </c>
    </row>
    <row r="15" spans="2:8" ht="15.75" x14ac:dyDescent="0.25">
      <c r="B15" s="332" t="s">
        <v>420</v>
      </c>
      <c r="C15" s="330" t="s">
        <v>478</v>
      </c>
      <c r="D15" s="333" t="s">
        <v>419</v>
      </c>
      <c r="E15" s="333">
        <v>2</v>
      </c>
      <c r="F15" s="333">
        <v>2</v>
      </c>
      <c r="G15" s="333">
        <v>5</v>
      </c>
      <c r="H15" s="334">
        <f t="shared" si="0"/>
        <v>2.5</v>
      </c>
    </row>
    <row r="16" spans="2:8" ht="15.75" x14ac:dyDescent="0.25">
      <c r="B16" s="332" t="s">
        <v>449</v>
      </c>
      <c r="C16" s="330" t="s">
        <v>422</v>
      </c>
      <c r="D16" s="333" t="s">
        <v>419</v>
      </c>
      <c r="E16" s="333">
        <v>1</v>
      </c>
      <c r="F16" s="333">
        <v>2</v>
      </c>
      <c r="G16" s="333">
        <v>4</v>
      </c>
      <c r="H16" s="334">
        <f t="shared" si="0"/>
        <v>2.1666666666666665</v>
      </c>
    </row>
    <row r="17" spans="2:43" ht="15.75" x14ac:dyDescent="0.25">
      <c r="B17" s="332" t="s">
        <v>450</v>
      </c>
      <c r="C17" s="331" t="s">
        <v>457</v>
      </c>
      <c r="D17" s="333" t="s">
        <v>459</v>
      </c>
      <c r="E17" s="333">
        <v>2</v>
      </c>
      <c r="F17" s="333">
        <v>3</v>
      </c>
      <c r="G17" s="333">
        <v>6</v>
      </c>
      <c r="H17" s="334">
        <f t="shared" si="0"/>
        <v>3.3333333333333335</v>
      </c>
    </row>
    <row r="18" spans="2:43" ht="15.75" x14ac:dyDescent="0.25">
      <c r="B18" s="332" t="s">
        <v>451</v>
      </c>
      <c r="C18" s="330" t="s">
        <v>475</v>
      </c>
      <c r="D18" s="333" t="s">
        <v>450</v>
      </c>
      <c r="E18" s="333">
        <v>1</v>
      </c>
      <c r="F18" s="333">
        <v>2</v>
      </c>
      <c r="G18" s="333">
        <v>5</v>
      </c>
      <c r="H18" s="334">
        <f t="shared" si="0"/>
        <v>2.3333333333333335</v>
      </c>
    </row>
    <row r="19" spans="2:43" ht="15.75" x14ac:dyDescent="0.25">
      <c r="B19" s="332" t="s">
        <v>448</v>
      </c>
      <c r="C19" s="330" t="s">
        <v>443</v>
      </c>
      <c r="D19" s="333" t="s">
        <v>451</v>
      </c>
      <c r="E19" s="333">
        <v>2</v>
      </c>
      <c r="F19" s="333">
        <v>3</v>
      </c>
      <c r="G19" s="333">
        <v>6</v>
      </c>
      <c r="H19" s="334">
        <f t="shared" si="0"/>
        <v>3.3333333333333335</v>
      </c>
    </row>
    <row r="20" spans="2:43" ht="15.75" x14ac:dyDescent="0.25">
      <c r="B20" s="332" t="s">
        <v>452</v>
      </c>
      <c r="C20" s="330" t="s">
        <v>444</v>
      </c>
      <c r="D20" s="333" t="s">
        <v>459</v>
      </c>
      <c r="E20" s="333">
        <v>3</v>
      </c>
      <c r="F20" s="333">
        <v>5</v>
      </c>
      <c r="G20" s="333">
        <v>8</v>
      </c>
      <c r="H20" s="334">
        <f t="shared" si="0"/>
        <v>5.166666666666667</v>
      </c>
    </row>
    <row r="21" spans="2:43" ht="15.75" x14ac:dyDescent="0.25">
      <c r="B21" s="332" t="s">
        <v>453</v>
      </c>
      <c r="C21" s="330" t="s">
        <v>445</v>
      </c>
      <c r="D21" s="333" t="s">
        <v>452</v>
      </c>
      <c r="E21" s="333">
        <v>3</v>
      </c>
      <c r="F21" s="333">
        <v>3</v>
      </c>
      <c r="G21" s="333">
        <v>6</v>
      </c>
      <c r="H21" s="334">
        <f t="shared" si="0"/>
        <v>3.5</v>
      </c>
    </row>
    <row r="22" spans="2:43" ht="15.75" x14ac:dyDescent="0.25">
      <c r="B22" s="332" t="s">
        <v>454</v>
      </c>
      <c r="C22" s="330" t="s">
        <v>503</v>
      </c>
      <c r="D22" s="333" t="s">
        <v>453</v>
      </c>
      <c r="E22" s="333">
        <v>2</v>
      </c>
      <c r="F22" s="333">
        <v>4</v>
      </c>
      <c r="G22" s="333">
        <v>6</v>
      </c>
      <c r="H22" s="334">
        <f t="shared" si="0"/>
        <v>4</v>
      </c>
    </row>
    <row r="23" spans="2:43" ht="15.75" x14ac:dyDescent="0.25">
      <c r="B23" s="332" t="s">
        <v>455</v>
      </c>
      <c r="C23" s="330" t="s">
        <v>446</v>
      </c>
      <c r="D23" s="333" t="s">
        <v>454</v>
      </c>
      <c r="E23" s="333">
        <v>10</v>
      </c>
      <c r="F23" s="333">
        <v>15</v>
      </c>
      <c r="G23" s="333">
        <v>30</v>
      </c>
      <c r="H23" s="334">
        <f t="shared" si="0"/>
        <v>16.666666666666668</v>
      </c>
    </row>
    <row r="24" spans="2:43" ht="15.75" x14ac:dyDescent="0.25">
      <c r="B24" s="482" t="s">
        <v>456</v>
      </c>
      <c r="C24" s="483" t="s">
        <v>447</v>
      </c>
      <c r="D24" s="484" t="s">
        <v>455</v>
      </c>
      <c r="E24" s="484">
        <v>1</v>
      </c>
      <c r="F24" s="484">
        <v>2</v>
      </c>
      <c r="G24" s="484">
        <v>3</v>
      </c>
      <c r="H24" s="485">
        <f t="shared" si="0"/>
        <v>2</v>
      </c>
    </row>
    <row r="25" spans="2:43" ht="15.75" x14ac:dyDescent="0.25">
      <c r="B25" s="331"/>
      <c r="C25" s="331"/>
      <c r="D25" s="333"/>
      <c r="E25" s="335"/>
      <c r="F25" s="335"/>
      <c r="G25" s="335"/>
      <c r="H25" s="336"/>
    </row>
    <row r="26" spans="2:43" ht="15.75" x14ac:dyDescent="0.25">
      <c r="B26" s="331"/>
      <c r="C26" s="331"/>
      <c r="D26" s="333"/>
      <c r="E26" s="335"/>
      <c r="F26" s="335"/>
      <c r="G26" s="335"/>
      <c r="H26" s="336"/>
    </row>
    <row r="27" spans="2:43" ht="15.75" x14ac:dyDescent="0.25">
      <c r="B27" s="331"/>
      <c r="C27" s="331"/>
      <c r="D27" s="333"/>
      <c r="E27" s="335"/>
      <c r="F27" s="335"/>
      <c r="G27" s="335"/>
      <c r="H27" s="336"/>
    </row>
    <row r="28" spans="2:43" x14ac:dyDescent="0.25">
      <c r="B28" s="648" t="s">
        <v>408</v>
      </c>
      <c r="C28" s="648" t="s">
        <v>409</v>
      </c>
      <c r="D28" s="649" t="s">
        <v>460</v>
      </c>
      <c r="E28" s="649"/>
      <c r="F28" s="649"/>
      <c r="AI28" s="327"/>
      <c r="AJ28" s="327"/>
      <c r="AK28" s="327"/>
      <c r="AL28" s="327"/>
      <c r="AM28" s="327"/>
      <c r="AN28" s="327"/>
      <c r="AO28" s="327"/>
      <c r="AP28" s="327"/>
    </row>
    <row r="29" spans="2:43" x14ac:dyDescent="0.25">
      <c r="B29" s="626"/>
      <c r="C29" s="626"/>
      <c r="D29" s="76" t="s">
        <v>410</v>
      </c>
      <c r="E29" s="76" t="s">
        <v>414</v>
      </c>
      <c r="F29" s="77" t="s">
        <v>487</v>
      </c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</row>
    <row r="30" spans="2:43" ht="15.75" x14ac:dyDescent="0.25">
      <c r="B30" s="66" t="s">
        <v>344</v>
      </c>
      <c r="C30" s="212" t="s">
        <v>440</v>
      </c>
      <c r="D30" t="s">
        <v>415</v>
      </c>
      <c r="E30" s="217">
        <v>15</v>
      </c>
      <c r="F30" s="219">
        <f t="shared" ref="F30:F46" si="1">+(E8-G8)^(2)/36</f>
        <v>1.7777777777777777</v>
      </c>
      <c r="AH30" s="327"/>
      <c r="AI30" s="650" t="s">
        <v>344</v>
      </c>
      <c r="AJ30" s="650"/>
      <c r="AK30" s="327"/>
      <c r="AL30" s="650" t="s">
        <v>345</v>
      </c>
      <c r="AM30" s="650"/>
      <c r="AN30" s="327"/>
      <c r="AO30" s="650" t="s">
        <v>346</v>
      </c>
      <c r="AP30" s="650"/>
      <c r="AQ30" s="327"/>
    </row>
    <row r="31" spans="2:43" ht="15.75" x14ac:dyDescent="0.25">
      <c r="B31" s="66" t="s">
        <v>345</v>
      </c>
      <c r="C31" s="212" t="s">
        <v>567</v>
      </c>
      <c r="D31" t="s">
        <v>344</v>
      </c>
      <c r="E31" s="217">
        <v>13</v>
      </c>
      <c r="F31" s="219">
        <f t="shared" si="1"/>
        <v>2.7777777777777777</v>
      </c>
      <c r="AH31" s="327"/>
      <c r="AI31" s="232">
        <v>0</v>
      </c>
      <c r="AJ31" s="232">
        <v>15</v>
      </c>
      <c r="AK31" s="327"/>
      <c r="AL31" s="232">
        <v>15</v>
      </c>
      <c r="AM31" s="232">
        <v>28</v>
      </c>
      <c r="AN31" s="327"/>
      <c r="AO31" s="232">
        <v>15</v>
      </c>
      <c r="AP31" s="232">
        <v>17</v>
      </c>
      <c r="AQ31" s="327"/>
    </row>
    <row r="32" spans="2:43" ht="15.75" x14ac:dyDescent="0.25">
      <c r="B32" s="66" t="s">
        <v>346</v>
      </c>
      <c r="C32" s="212" t="s">
        <v>423</v>
      </c>
      <c r="D32" t="s">
        <v>344</v>
      </c>
      <c r="E32" s="217">
        <v>2</v>
      </c>
      <c r="F32" s="219">
        <f t="shared" si="1"/>
        <v>0.25</v>
      </c>
      <c r="AH32" s="327"/>
      <c r="AI32" s="232">
        <v>0</v>
      </c>
      <c r="AJ32" s="232">
        <v>15</v>
      </c>
      <c r="AK32" s="327"/>
      <c r="AL32" s="232">
        <v>15</v>
      </c>
      <c r="AM32" s="232">
        <v>28</v>
      </c>
      <c r="AN32" s="327"/>
      <c r="AO32" s="232">
        <v>26</v>
      </c>
      <c r="AP32" s="232">
        <v>28</v>
      </c>
      <c r="AQ32" s="327"/>
    </row>
    <row r="33" spans="2:43" ht="15.75" x14ac:dyDescent="0.25">
      <c r="B33" s="66" t="s">
        <v>416</v>
      </c>
      <c r="C33" s="212" t="s">
        <v>441</v>
      </c>
      <c r="D33" t="s">
        <v>458</v>
      </c>
      <c r="E33" s="217">
        <v>4</v>
      </c>
      <c r="F33" s="219">
        <f t="shared" si="1"/>
        <v>0.69444444444444442</v>
      </c>
      <c r="AH33" s="327"/>
      <c r="AI33" s="650" t="s">
        <v>711</v>
      </c>
      <c r="AJ33" s="650"/>
      <c r="AK33" s="327"/>
      <c r="AL33" s="650" t="s">
        <v>711</v>
      </c>
      <c r="AM33" s="650"/>
      <c r="AN33" s="327"/>
      <c r="AO33" s="650" t="s">
        <v>713</v>
      </c>
      <c r="AP33" s="650"/>
      <c r="AQ33" s="327"/>
    </row>
    <row r="34" spans="2:43" ht="15.75" x14ac:dyDescent="0.25">
      <c r="B34" s="66" t="s">
        <v>417</v>
      </c>
      <c r="C34" s="212" t="s">
        <v>442</v>
      </c>
      <c r="D34" t="s">
        <v>416</v>
      </c>
      <c r="E34" s="217">
        <v>7</v>
      </c>
      <c r="F34" s="219">
        <f t="shared" si="1"/>
        <v>0.69444444444444442</v>
      </c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</row>
    <row r="35" spans="2:43" ht="15.75" x14ac:dyDescent="0.25">
      <c r="B35" s="66" t="s">
        <v>418</v>
      </c>
      <c r="C35" s="212" t="s">
        <v>421</v>
      </c>
      <c r="D35" t="s">
        <v>417</v>
      </c>
      <c r="E35" s="217">
        <v>20</v>
      </c>
      <c r="F35" s="219">
        <f t="shared" si="1"/>
        <v>2.7777777777777777</v>
      </c>
      <c r="AH35" s="327"/>
      <c r="AI35" s="650" t="s">
        <v>416</v>
      </c>
      <c r="AJ35" s="650"/>
      <c r="AK35" s="327"/>
      <c r="AL35" s="650" t="s">
        <v>417</v>
      </c>
      <c r="AM35" s="650"/>
      <c r="AN35" s="327"/>
      <c r="AO35" s="650" t="s">
        <v>418</v>
      </c>
      <c r="AP35" s="650"/>
      <c r="AQ35" s="327"/>
    </row>
    <row r="36" spans="2:43" ht="15.75" x14ac:dyDescent="0.25">
      <c r="B36" s="66" t="s">
        <v>419</v>
      </c>
      <c r="C36" s="212" t="s">
        <v>474</v>
      </c>
      <c r="D36" t="s">
        <v>418</v>
      </c>
      <c r="E36" s="217">
        <v>6</v>
      </c>
      <c r="F36" s="219">
        <f t="shared" si="1"/>
        <v>1.3611111111111112</v>
      </c>
      <c r="AH36" s="327"/>
      <c r="AI36" s="232">
        <v>28</v>
      </c>
      <c r="AJ36" s="232">
        <v>32</v>
      </c>
      <c r="AK36" s="327"/>
      <c r="AL36" s="232">
        <v>32</v>
      </c>
      <c r="AM36" s="232">
        <v>39</v>
      </c>
      <c r="AN36" s="327"/>
      <c r="AO36" s="232">
        <v>39</v>
      </c>
      <c r="AP36" s="232">
        <v>59</v>
      </c>
      <c r="AQ36" s="327"/>
    </row>
    <row r="37" spans="2:43" ht="15.75" x14ac:dyDescent="0.25">
      <c r="B37" s="66" t="s">
        <v>420</v>
      </c>
      <c r="C37" s="212" t="s">
        <v>480</v>
      </c>
      <c r="D37" t="s">
        <v>419</v>
      </c>
      <c r="E37" s="217">
        <v>3</v>
      </c>
      <c r="F37" s="219">
        <f t="shared" si="1"/>
        <v>0.25</v>
      </c>
      <c r="AH37" s="327"/>
      <c r="AI37" s="232">
        <v>28</v>
      </c>
      <c r="AJ37" s="232">
        <v>32</v>
      </c>
      <c r="AK37" s="327"/>
      <c r="AL37" s="232">
        <v>32</v>
      </c>
      <c r="AM37" s="232">
        <v>39</v>
      </c>
      <c r="AN37" s="327"/>
      <c r="AO37" s="232">
        <v>39</v>
      </c>
      <c r="AP37" s="232">
        <v>59</v>
      </c>
      <c r="AQ37" s="327"/>
    </row>
    <row r="38" spans="2:43" ht="15.75" x14ac:dyDescent="0.25">
      <c r="B38" s="66" t="s">
        <v>449</v>
      </c>
      <c r="C38" s="212" t="s">
        <v>422</v>
      </c>
      <c r="D38" t="s">
        <v>419</v>
      </c>
      <c r="E38" s="217">
        <v>2</v>
      </c>
      <c r="F38" s="219">
        <f t="shared" si="1"/>
        <v>0.25</v>
      </c>
      <c r="AH38" s="327"/>
      <c r="AI38" s="650" t="s">
        <v>711</v>
      </c>
      <c r="AJ38" s="650"/>
      <c r="AK38" s="327"/>
      <c r="AL38" s="650" t="s">
        <v>711</v>
      </c>
      <c r="AM38" s="650"/>
      <c r="AN38" s="327"/>
      <c r="AO38" s="650" t="s">
        <v>711</v>
      </c>
      <c r="AP38" s="650"/>
      <c r="AQ38" s="327"/>
    </row>
    <row r="39" spans="2:43" ht="15.75" x14ac:dyDescent="0.25">
      <c r="B39" s="66" t="s">
        <v>450</v>
      </c>
      <c r="C39" s="213" t="s">
        <v>569</v>
      </c>
      <c r="D39" t="s">
        <v>459</v>
      </c>
      <c r="E39" s="217">
        <v>3</v>
      </c>
      <c r="F39" s="219">
        <f t="shared" si="1"/>
        <v>0.44444444444444442</v>
      </c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</row>
    <row r="40" spans="2:43" ht="15.75" x14ac:dyDescent="0.25">
      <c r="B40" s="66" t="s">
        <v>451</v>
      </c>
      <c r="C40" s="212" t="s">
        <v>585</v>
      </c>
      <c r="D40" t="s">
        <v>450</v>
      </c>
      <c r="E40" s="217">
        <v>2</v>
      </c>
      <c r="F40" s="219">
        <f t="shared" si="1"/>
        <v>0.44444444444444442</v>
      </c>
      <c r="AH40" s="327"/>
      <c r="AI40" s="650" t="s">
        <v>419</v>
      </c>
      <c r="AJ40" s="650"/>
      <c r="AK40" s="327"/>
      <c r="AL40" s="650" t="s">
        <v>420</v>
      </c>
      <c r="AM40" s="650"/>
      <c r="AN40" s="327"/>
      <c r="AO40" s="650" t="s">
        <v>449</v>
      </c>
      <c r="AP40" s="650"/>
      <c r="AQ40" s="327"/>
    </row>
    <row r="41" spans="2:43" ht="15.75" x14ac:dyDescent="0.25">
      <c r="B41" s="66" t="s">
        <v>448</v>
      </c>
      <c r="C41" s="212" t="s">
        <v>443</v>
      </c>
      <c r="D41" t="s">
        <v>451</v>
      </c>
      <c r="E41" s="217">
        <v>3</v>
      </c>
      <c r="F41" s="219">
        <f t="shared" si="1"/>
        <v>0.44444444444444442</v>
      </c>
      <c r="AH41" s="327"/>
      <c r="AI41" s="232">
        <v>59</v>
      </c>
      <c r="AJ41" s="232">
        <v>65</v>
      </c>
      <c r="AK41" s="327"/>
      <c r="AL41" s="232">
        <v>65</v>
      </c>
      <c r="AM41" s="232">
        <v>68</v>
      </c>
      <c r="AN41" s="327"/>
      <c r="AO41" s="232">
        <v>65</v>
      </c>
      <c r="AP41" s="232">
        <v>67</v>
      </c>
      <c r="AQ41" s="327"/>
    </row>
    <row r="42" spans="2:43" ht="15.75" x14ac:dyDescent="0.25">
      <c r="B42" s="66" t="s">
        <v>452</v>
      </c>
      <c r="C42" s="212" t="s">
        <v>570</v>
      </c>
      <c r="D42" t="s">
        <v>420</v>
      </c>
      <c r="E42" s="217">
        <v>5</v>
      </c>
      <c r="F42" s="219">
        <f t="shared" si="1"/>
        <v>0.69444444444444442</v>
      </c>
      <c r="AH42" s="327"/>
      <c r="AI42" s="232">
        <v>59</v>
      </c>
      <c r="AJ42" s="232">
        <v>65</v>
      </c>
      <c r="AK42" s="327"/>
      <c r="AL42" s="232">
        <v>65</v>
      </c>
      <c r="AM42" s="232">
        <v>68</v>
      </c>
      <c r="AN42" s="327"/>
      <c r="AO42" s="232">
        <v>66</v>
      </c>
      <c r="AP42" s="232">
        <v>68</v>
      </c>
      <c r="AQ42" s="327"/>
    </row>
    <row r="43" spans="2:43" ht="15.75" x14ac:dyDescent="0.25">
      <c r="B43" s="66" t="s">
        <v>453</v>
      </c>
      <c r="C43" s="212" t="s">
        <v>584</v>
      </c>
      <c r="D43" t="s">
        <v>452</v>
      </c>
      <c r="E43" s="217">
        <v>4</v>
      </c>
      <c r="F43" s="219">
        <f t="shared" si="1"/>
        <v>0.25</v>
      </c>
      <c r="AH43" s="327"/>
      <c r="AI43" s="650" t="s">
        <v>711</v>
      </c>
      <c r="AJ43" s="650"/>
      <c r="AK43" s="327"/>
      <c r="AL43" s="650" t="s">
        <v>711</v>
      </c>
      <c r="AM43" s="650"/>
      <c r="AN43" s="327"/>
      <c r="AO43" s="650" t="s">
        <v>712</v>
      </c>
      <c r="AP43" s="650"/>
      <c r="AQ43" s="327"/>
    </row>
    <row r="44" spans="2:43" ht="15.75" x14ac:dyDescent="0.25">
      <c r="B44" s="66" t="s">
        <v>454</v>
      </c>
      <c r="C44" s="212" t="s">
        <v>503</v>
      </c>
      <c r="D44" t="s">
        <v>479</v>
      </c>
      <c r="E44" s="217">
        <v>4</v>
      </c>
      <c r="F44" s="219">
        <f t="shared" si="1"/>
        <v>0.44444444444444442</v>
      </c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</row>
    <row r="45" spans="2:43" ht="15.75" x14ac:dyDescent="0.25">
      <c r="B45" s="66" t="s">
        <v>455</v>
      </c>
      <c r="C45" s="212" t="s">
        <v>446</v>
      </c>
      <c r="D45" t="s">
        <v>454</v>
      </c>
      <c r="E45" s="217">
        <v>17</v>
      </c>
      <c r="F45" s="219">
        <f t="shared" si="1"/>
        <v>11.111111111111111</v>
      </c>
      <c r="AH45" s="327"/>
      <c r="AI45" s="650" t="s">
        <v>450</v>
      </c>
      <c r="AJ45" s="650"/>
      <c r="AK45" s="327"/>
      <c r="AL45" s="650" t="s">
        <v>451</v>
      </c>
      <c r="AM45" s="650"/>
      <c r="AN45" s="327"/>
      <c r="AO45" s="650" t="s">
        <v>448</v>
      </c>
      <c r="AP45" s="650"/>
      <c r="AQ45" s="327"/>
    </row>
    <row r="46" spans="2:43" ht="16.5" thickBot="1" x14ac:dyDescent="0.3">
      <c r="B46" s="66" t="s">
        <v>456</v>
      </c>
      <c r="C46" s="212" t="s">
        <v>447</v>
      </c>
      <c r="D46" t="s">
        <v>455</v>
      </c>
      <c r="E46" s="217">
        <v>2</v>
      </c>
      <c r="F46" s="219">
        <f t="shared" si="1"/>
        <v>0.1111111111111111</v>
      </c>
      <c r="AH46" s="327"/>
      <c r="AI46" s="232">
        <v>68</v>
      </c>
      <c r="AJ46" s="232">
        <v>71</v>
      </c>
      <c r="AK46" s="327"/>
      <c r="AL46" s="232">
        <v>71</v>
      </c>
      <c r="AM46" s="232">
        <v>73</v>
      </c>
      <c r="AN46" s="327"/>
      <c r="AO46" s="232">
        <v>73</v>
      </c>
      <c r="AP46" s="232">
        <v>76</v>
      </c>
      <c r="AQ46" s="327"/>
    </row>
    <row r="47" spans="2:43" ht="15" customHeight="1" x14ac:dyDescent="0.25">
      <c r="E47" s="217"/>
      <c r="K47" s="637" t="s">
        <v>477</v>
      </c>
      <c r="L47" s="638"/>
      <c r="M47" s="641" t="s">
        <v>481</v>
      </c>
      <c r="N47" s="641"/>
      <c r="O47" s="642"/>
      <c r="P47" s="218"/>
      <c r="AH47" s="327"/>
      <c r="AI47" s="232">
        <v>69</v>
      </c>
      <c r="AJ47" s="232">
        <v>72</v>
      </c>
      <c r="AK47" s="327"/>
      <c r="AL47" s="232">
        <v>72</v>
      </c>
      <c r="AM47" s="232">
        <v>74</v>
      </c>
      <c r="AN47" s="327"/>
      <c r="AO47" s="232">
        <v>74</v>
      </c>
      <c r="AP47" s="232">
        <v>77</v>
      </c>
      <c r="AQ47" s="327"/>
    </row>
    <row r="48" spans="2:43" ht="15" customHeight="1" thickBot="1" x14ac:dyDescent="0.3">
      <c r="K48" s="639"/>
      <c r="L48" s="640"/>
      <c r="M48" s="643"/>
      <c r="N48" s="643"/>
      <c r="O48" s="644"/>
      <c r="P48" s="218"/>
      <c r="AH48" s="327"/>
      <c r="AI48" s="650" t="s">
        <v>712</v>
      </c>
      <c r="AJ48" s="650"/>
      <c r="AK48" s="327"/>
      <c r="AL48" s="650" t="s">
        <v>712</v>
      </c>
      <c r="AM48" s="650"/>
      <c r="AN48" s="327"/>
      <c r="AO48" s="650" t="s">
        <v>712</v>
      </c>
      <c r="AP48" s="650"/>
      <c r="AQ48" s="327"/>
    </row>
    <row r="49" spans="2:43" ht="15" customHeight="1" x14ac:dyDescent="0.25"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</row>
    <row r="50" spans="2:43" ht="15.75" customHeight="1" x14ac:dyDescent="0.25">
      <c r="C50" s="462" t="s">
        <v>486</v>
      </c>
      <c r="D50" s="462" t="s">
        <v>414</v>
      </c>
      <c r="E50" s="462" t="s">
        <v>487</v>
      </c>
      <c r="F50" s="462" t="s">
        <v>488</v>
      </c>
      <c r="I50" s="178"/>
      <c r="AH50" s="327"/>
      <c r="AI50" s="650" t="s">
        <v>452</v>
      </c>
      <c r="AJ50" s="650"/>
      <c r="AK50" s="327"/>
      <c r="AL50" s="650" t="s">
        <v>453</v>
      </c>
      <c r="AM50" s="650"/>
      <c r="AN50" s="327"/>
      <c r="AO50" s="650" t="s">
        <v>454</v>
      </c>
      <c r="AP50" s="650"/>
      <c r="AQ50" s="327"/>
    </row>
    <row r="51" spans="2:43" ht="15" customHeight="1" x14ac:dyDescent="0.25">
      <c r="C51" s="498" t="s">
        <v>481</v>
      </c>
      <c r="D51" s="499">
        <f>E30+E31+E33+E34+E35+E37+E36+E42+E43+E44+E45+E46</f>
        <v>100</v>
      </c>
      <c r="E51" s="500">
        <f>F30+F31+F33+F34+F35+F36+F37+F42+F43+F44+F45+F46</f>
        <v>22.944444444444443</v>
      </c>
      <c r="F51" s="498">
        <f>SQRT(E51)</f>
        <v>4.7900359543999711</v>
      </c>
      <c r="AH51" s="327"/>
      <c r="AI51" s="232">
        <v>68</v>
      </c>
      <c r="AJ51" s="232">
        <v>73</v>
      </c>
      <c r="AK51" s="327"/>
      <c r="AL51" s="232">
        <v>73</v>
      </c>
      <c r="AM51" s="232">
        <v>77</v>
      </c>
      <c r="AN51" s="327"/>
      <c r="AO51" s="232">
        <v>77</v>
      </c>
      <c r="AP51" s="232">
        <v>81</v>
      </c>
      <c r="AQ51" s="327"/>
    </row>
    <row r="52" spans="2:43" ht="15.75" customHeight="1" x14ac:dyDescent="0.25">
      <c r="C52" s="39" t="s">
        <v>482</v>
      </c>
      <c r="D52" s="501">
        <f>E30+E32+E33+E34+E35+E36+E38+E39+E40+E41+E44+E45+E46</f>
        <v>87</v>
      </c>
      <c r="E52" s="458">
        <f>F30+F32+F33+F34+F35+F36+F38+F39+F40+F41+F44+F45+F46</f>
        <v>20.805555555555554</v>
      </c>
      <c r="F52" s="39">
        <f t="shared" ref="F52:F56" si="2">SQRT(E52)</f>
        <v>4.5613107278013363</v>
      </c>
      <c r="I52" s="178"/>
      <c r="J52" s="222"/>
      <c r="K52" s="222"/>
      <c r="L52" s="222"/>
      <c r="AH52" s="327"/>
      <c r="AI52" s="232">
        <v>68</v>
      </c>
      <c r="AJ52" s="232">
        <v>73</v>
      </c>
      <c r="AK52" s="327"/>
      <c r="AL52" s="232">
        <v>73</v>
      </c>
      <c r="AM52" s="232">
        <v>77</v>
      </c>
      <c r="AN52" s="327"/>
      <c r="AO52" s="232">
        <v>77</v>
      </c>
      <c r="AP52" s="232">
        <v>81</v>
      </c>
      <c r="AQ52" s="327"/>
    </row>
    <row r="53" spans="2:43" ht="15" customHeight="1" x14ac:dyDescent="0.25">
      <c r="C53" s="39" t="s">
        <v>483</v>
      </c>
      <c r="D53" s="501">
        <f>E30+E32+E33+E34+E35+E36+E37+E42+E43+E44+E45+E46</f>
        <v>89</v>
      </c>
      <c r="E53" s="458">
        <f>F30+F32+F33+F34+F35+F36+F37+F42+F43+F44+F45+F46</f>
        <v>20.416666666666668</v>
      </c>
      <c r="F53" s="39">
        <f t="shared" si="2"/>
        <v>4.5184805705753197</v>
      </c>
      <c r="I53" s="178"/>
      <c r="AH53" s="327"/>
      <c r="AI53" s="650" t="s">
        <v>711</v>
      </c>
      <c r="AJ53" s="650"/>
      <c r="AK53" s="327"/>
      <c r="AL53" s="650" t="s">
        <v>711</v>
      </c>
      <c r="AM53" s="650"/>
      <c r="AN53" s="327"/>
      <c r="AO53" s="650" t="s">
        <v>711</v>
      </c>
      <c r="AP53" s="650"/>
      <c r="AQ53" s="327"/>
    </row>
    <row r="54" spans="2:43" ht="15.75" customHeight="1" x14ac:dyDescent="0.25">
      <c r="C54" s="39" t="s">
        <v>476</v>
      </c>
      <c r="D54" s="501">
        <f>E30+E31+E33+E34+E35+E36+E38+E42+E43+E44+E45+E46</f>
        <v>99</v>
      </c>
      <c r="E54" s="458">
        <f>F30+F31+F33+F34+F35+F36+F38+F42+F43+F44+F45+F46</f>
        <v>22.944444444444443</v>
      </c>
      <c r="F54" s="39">
        <f t="shared" si="2"/>
        <v>4.7900359543999711</v>
      </c>
      <c r="I54" s="178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</row>
    <row r="55" spans="2:43" ht="15" customHeight="1" x14ac:dyDescent="0.25">
      <c r="C55" s="39" t="s">
        <v>484</v>
      </c>
      <c r="D55" s="501">
        <f>E30+E31+E33+E34+E35+E36+E37+E39+E40+E41+E44+E45+E46</f>
        <v>99</v>
      </c>
      <c r="E55" s="458">
        <f>F30+F31+F33+F34+F35+F36+F37+F39+F40+F41+F44+F45+F46</f>
        <v>23.333333333333332</v>
      </c>
      <c r="F55" s="39">
        <f t="shared" si="2"/>
        <v>4.8304589153964796</v>
      </c>
      <c r="I55" s="178"/>
      <c r="J55" s="219"/>
      <c r="AH55" s="327"/>
      <c r="AI55" s="650" t="s">
        <v>455</v>
      </c>
      <c r="AJ55" s="650"/>
      <c r="AK55" s="327"/>
      <c r="AL55" s="650" t="s">
        <v>456</v>
      </c>
      <c r="AM55" s="650"/>
      <c r="AN55" s="327"/>
      <c r="AO55" s="327"/>
      <c r="AP55" s="327"/>
      <c r="AQ55" s="327"/>
    </row>
    <row r="56" spans="2:43" ht="15.75" customHeight="1" x14ac:dyDescent="0.25">
      <c r="C56" s="39" t="s">
        <v>485</v>
      </c>
      <c r="D56" s="501">
        <f>E30+E32+E33+E35+E36+E37+E38+E42+E43+E44+E45+E46</f>
        <v>84</v>
      </c>
      <c r="E56" s="458">
        <f>F30+F32+F33+F35+F36+F37+F38+F42+F43+F44+F45+F46</f>
        <v>19.972222222222221</v>
      </c>
      <c r="F56" s="39">
        <f t="shared" si="2"/>
        <v>4.4690292259306403</v>
      </c>
      <c r="I56" s="178"/>
      <c r="J56" s="221"/>
      <c r="K56" s="221"/>
      <c r="L56" s="221"/>
      <c r="AH56" s="327"/>
      <c r="AI56" s="232">
        <v>81</v>
      </c>
      <c r="AJ56" s="232">
        <v>98</v>
      </c>
      <c r="AK56" s="327"/>
      <c r="AL56" s="232">
        <v>98</v>
      </c>
      <c r="AM56" s="232">
        <v>100</v>
      </c>
      <c r="AN56" s="327"/>
      <c r="AO56" s="327"/>
      <c r="AP56" s="327"/>
      <c r="AQ56" s="327"/>
    </row>
    <row r="57" spans="2:43" ht="15" customHeight="1" x14ac:dyDescent="0.25">
      <c r="I57" s="178"/>
      <c r="AH57" s="327"/>
      <c r="AI57" s="232">
        <v>81</v>
      </c>
      <c r="AJ57" s="232">
        <v>98</v>
      </c>
      <c r="AK57" s="327"/>
      <c r="AL57" s="232">
        <v>98</v>
      </c>
      <c r="AM57" s="232">
        <v>100</v>
      </c>
      <c r="AN57" s="327"/>
      <c r="AO57" s="327"/>
      <c r="AP57" s="327"/>
      <c r="AQ57" s="327"/>
    </row>
    <row r="58" spans="2:43" ht="15.75" customHeight="1" x14ac:dyDescent="0.35">
      <c r="I58" s="223" t="s">
        <v>501</v>
      </c>
      <c r="AH58" s="327"/>
      <c r="AI58" s="650" t="s">
        <v>711</v>
      </c>
      <c r="AJ58" s="650"/>
      <c r="AK58" s="327"/>
      <c r="AL58" s="650" t="s">
        <v>711</v>
      </c>
      <c r="AM58" s="650"/>
      <c r="AN58" s="327"/>
      <c r="AO58" s="327"/>
      <c r="AP58" s="327"/>
      <c r="AQ58" s="327"/>
    </row>
    <row r="59" spans="2:43" x14ac:dyDescent="0.25"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</row>
    <row r="60" spans="2:43" x14ac:dyDescent="0.25">
      <c r="B60" s="462"/>
      <c r="C60" s="504" t="s">
        <v>489</v>
      </c>
      <c r="D60" s="462">
        <v>90</v>
      </c>
      <c r="E60" s="462">
        <v>100</v>
      </c>
      <c r="F60" s="462">
        <v>110</v>
      </c>
    </row>
    <row r="61" spans="2:43" x14ac:dyDescent="0.25">
      <c r="B61" s="39" t="s">
        <v>490</v>
      </c>
      <c r="C61" s="40" t="s">
        <v>491</v>
      </c>
      <c r="D61" s="500">
        <f>(D62-$D$51)/$D$63</f>
        <v>-2.0876670019176631</v>
      </c>
      <c r="E61" s="500">
        <f>(E62-$D$51)/$D$63</f>
        <v>0</v>
      </c>
      <c r="F61" s="500">
        <f>(F62-$D$51)/$D$63</f>
        <v>2.0876670019176631</v>
      </c>
    </row>
    <row r="62" spans="2:43" x14ac:dyDescent="0.25">
      <c r="B62" s="39" t="s">
        <v>492</v>
      </c>
      <c r="C62" s="40" t="s">
        <v>493</v>
      </c>
      <c r="D62" s="39">
        <f>+D60</f>
        <v>90</v>
      </c>
      <c r="E62" s="39">
        <f>+E60</f>
        <v>100</v>
      </c>
      <c r="F62" s="39">
        <f>+F60</f>
        <v>110</v>
      </c>
    </row>
    <row r="63" spans="2:43" x14ac:dyDescent="0.25">
      <c r="B63" s="39" t="s">
        <v>494</v>
      </c>
      <c r="C63" s="40" t="s">
        <v>495</v>
      </c>
      <c r="D63" s="39">
        <f>F51</f>
        <v>4.7900359543999711</v>
      </c>
      <c r="E63" s="39"/>
      <c r="F63" s="39"/>
    </row>
    <row r="64" spans="2:43" x14ac:dyDescent="0.25">
      <c r="B64" s="39" t="s">
        <v>496</v>
      </c>
      <c r="C64" s="40" t="s">
        <v>497</v>
      </c>
      <c r="D64" s="502">
        <f>D51</f>
        <v>100</v>
      </c>
      <c r="E64" s="39"/>
      <c r="F64" s="39"/>
    </row>
    <row r="65" spans="2:6" x14ac:dyDescent="0.25">
      <c r="B65" s="39" t="s">
        <v>498</v>
      </c>
      <c r="C65" s="40" t="s">
        <v>499</v>
      </c>
      <c r="D65" s="503">
        <f>NORMSDIST(D61)</f>
        <v>1.8413941716368617E-2</v>
      </c>
      <c r="E65" s="503">
        <f t="shared" ref="E65:F65" si="3">NORMSDIST(E61)</f>
        <v>0.5</v>
      </c>
      <c r="F65" s="503">
        <f t="shared" si="3"/>
        <v>0.98158605828363144</v>
      </c>
    </row>
    <row r="66" spans="2:6" x14ac:dyDescent="0.25">
      <c r="B66" s="39"/>
      <c r="C66" s="40" t="s">
        <v>500</v>
      </c>
      <c r="D66" s="39"/>
      <c r="E66" s="39"/>
      <c r="F66" s="39"/>
    </row>
    <row r="70" spans="2:6" x14ac:dyDescent="0.25">
      <c r="B70" s="462"/>
      <c r="C70" s="504" t="s">
        <v>489</v>
      </c>
      <c r="D70" s="462">
        <v>77</v>
      </c>
      <c r="E70" s="462">
        <v>84</v>
      </c>
      <c r="F70" s="462">
        <v>95</v>
      </c>
    </row>
    <row r="71" spans="2:6" x14ac:dyDescent="0.25">
      <c r="B71" s="39" t="s">
        <v>490</v>
      </c>
      <c r="C71" s="40" t="s">
        <v>491</v>
      </c>
      <c r="D71" s="500">
        <f>(D72-$D$56)/$D$73</f>
        <v>-1.5663356953192233</v>
      </c>
      <c r="E71" s="500">
        <f>(E72-$D$56)/$D$73</f>
        <v>0</v>
      </c>
      <c r="F71" s="500">
        <f>(F72-$D$56)/$D$73</f>
        <v>2.4613846640730652</v>
      </c>
    </row>
    <row r="72" spans="2:6" x14ac:dyDescent="0.25">
      <c r="B72" s="39" t="s">
        <v>492</v>
      </c>
      <c r="C72" s="40" t="s">
        <v>493</v>
      </c>
      <c r="D72" s="39">
        <f>+D70</f>
        <v>77</v>
      </c>
      <c r="E72" s="39">
        <f>+E70</f>
        <v>84</v>
      </c>
      <c r="F72" s="39">
        <f>+F70</f>
        <v>95</v>
      </c>
    </row>
    <row r="73" spans="2:6" x14ac:dyDescent="0.25">
      <c r="B73" s="39" t="s">
        <v>494</v>
      </c>
      <c r="C73" s="40" t="s">
        <v>495</v>
      </c>
      <c r="D73" s="39">
        <f>F56</f>
        <v>4.4690292259306403</v>
      </c>
      <c r="E73" s="39"/>
      <c r="F73" s="39"/>
    </row>
    <row r="74" spans="2:6" x14ac:dyDescent="0.25">
      <c r="B74" s="39" t="s">
        <v>496</v>
      </c>
      <c r="C74" s="40" t="s">
        <v>497</v>
      </c>
      <c r="D74" s="502">
        <f>D56</f>
        <v>84</v>
      </c>
      <c r="E74" s="39"/>
      <c r="F74" s="39"/>
    </row>
    <row r="75" spans="2:6" x14ac:dyDescent="0.25">
      <c r="B75" s="39" t="s">
        <v>498</v>
      </c>
      <c r="C75" s="40" t="s">
        <v>499</v>
      </c>
      <c r="D75" s="503">
        <f>NORMSDIST(D71)</f>
        <v>5.863502429245819E-2</v>
      </c>
      <c r="E75" s="503">
        <f t="shared" ref="E75:F75" si="4">NORMSDIST(E71)</f>
        <v>0.5</v>
      </c>
      <c r="F75" s="503">
        <f t="shared" si="4"/>
        <v>0.99307990554822456</v>
      </c>
    </row>
    <row r="76" spans="2:6" x14ac:dyDescent="0.25">
      <c r="B76" s="39"/>
      <c r="C76" s="40" t="s">
        <v>500</v>
      </c>
      <c r="D76" s="39"/>
      <c r="E76" s="39"/>
      <c r="F76" s="39"/>
    </row>
    <row r="79" spans="2:6" x14ac:dyDescent="0.25">
      <c r="B79" s="462"/>
      <c r="C79" s="504" t="s">
        <v>489</v>
      </c>
      <c r="D79" s="462">
        <v>95</v>
      </c>
      <c r="E79" s="462">
        <v>99</v>
      </c>
      <c r="F79" s="462">
        <v>106</v>
      </c>
    </row>
    <row r="80" spans="2:6" x14ac:dyDescent="0.25">
      <c r="B80" s="39" t="s">
        <v>490</v>
      </c>
      <c r="C80" s="40" t="s">
        <v>491</v>
      </c>
      <c r="D80" s="500">
        <f>(D81-$D$55)/$D$82</f>
        <v>-0.82807867121082501</v>
      </c>
      <c r="E80" s="500">
        <f>(E81-$D$55)/$D$82</f>
        <v>0</v>
      </c>
      <c r="F80" s="500">
        <f>(F81-$D$55)/$D$82</f>
        <v>1.4491376746189437</v>
      </c>
    </row>
    <row r="81" spans="2:6" x14ac:dyDescent="0.25">
      <c r="B81" s="39" t="s">
        <v>492</v>
      </c>
      <c r="C81" s="40" t="s">
        <v>493</v>
      </c>
      <c r="D81" s="39">
        <f>+D79</f>
        <v>95</v>
      </c>
      <c r="E81" s="39">
        <f>+E79</f>
        <v>99</v>
      </c>
      <c r="F81" s="39">
        <f>+F79</f>
        <v>106</v>
      </c>
    </row>
    <row r="82" spans="2:6" x14ac:dyDescent="0.25">
      <c r="B82" s="39" t="s">
        <v>494</v>
      </c>
      <c r="C82" s="40" t="s">
        <v>495</v>
      </c>
      <c r="D82" s="39">
        <f>F55</f>
        <v>4.8304589153964796</v>
      </c>
      <c r="E82" s="39"/>
      <c r="F82" s="39"/>
    </row>
    <row r="83" spans="2:6" x14ac:dyDescent="0.25">
      <c r="B83" s="39" t="s">
        <v>496</v>
      </c>
      <c r="C83" s="40" t="s">
        <v>497</v>
      </c>
      <c r="D83" s="502">
        <f>D55</f>
        <v>99</v>
      </c>
      <c r="E83" s="39"/>
      <c r="F83" s="39"/>
    </row>
    <row r="84" spans="2:6" x14ac:dyDescent="0.25">
      <c r="B84" s="39" t="s">
        <v>498</v>
      </c>
      <c r="C84" s="40" t="s">
        <v>499</v>
      </c>
      <c r="D84" s="503">
        <f>NORMSDIST(D80)</f>
        <v>0.20381297385139038</v>
      </c>
      <c r="E84" s="503">
        <f t="shared" ref="E84:F84" si="5">NORMSDIST(E80)</f>
        <v>0.5</v>
      </c>
      <c r="F84" s="503">
        <f t="shared" si="5"/>
        <v>0.92635043068866196</v>
      </c>
    </row>
    <row r="85" spans="2:6" x14ac:dyDescent="0.25">
      <c r="B85" s="39"/>
      <c r="C85" s="40" t="s">
        <v>500</v>
      </c>
      <c r="D85" s="39"/>
      <c r="E85" s="39"/>
      <c r="F85" s="39"/>
    </row>
  </sheetData>
  <mergeCells count="42">
    <mergeCell ref="AI55:AJ55"/>
    <mergeCell ref="AI58:AJ58"/>
    <mergeCell ref="AL55:AM55"/>
    <mergeCell ref="AL58:AM58"/>
    <mergeCell ref="AI50:AJ50"/>
    <mergeCell ref="AI53:AJ53"/>
    <mergeCell ref="AL50:AM50"/>
    <mergeCell ref="AL53:AM53"/>
    <mergeCell ref="AO50:AP50"/>
    <mergeCell ref="AO53:AP53"/>
    <mergeCell ref="AI45:AJ45"/>
    <mergeCell ref="AI48:AJ48"/>
    <mergeCell ref="AL45:AM45"/>
    <mergeCell ref="AL48:AM48"/>
    <mergeCell ref="AO45:AP45"/>
    <mergeCell ref="AO48:AP48"/>
    <mergeCell ref="AI40:AJ40"/>
    <mergeCell ref="AI43:AJ43"/>
    <mergeCell ref="AL40:AM40"/>
    <mergeCell ref="AL43:AM43"/>
    <mergeCell ref="AO40:AP40"/>
    <mergeCell ref="AO43:AP43"/>
    <mergeCell ref="AI35:AJ35"/>
    <mergeCell ref="AI38:AJ38"/>
    <mergeCell ref="AL35:AM35"/>
    <mergeCell ref="AL38:AM38"/>
    <mergeCell ref="AO35:AP35"/>
    <mergeCell ref="AO38:AP38"/>
    <mergeCell ref="AI30:AJ30"/>
    <mergeCell ref="AI33:AJ33"/>
    <mergeCell ref="AL30:AM30"/>
    <mergeCell ref="AL33:AM33"/>
    <mergeCell ref="AO30:AP30"/>
    <mergeCell ref="AO33:AP33"/>
    <mergeCell ref="K47:L48"/>
    <mergeCell ref="M47:O48"/>
    <mergeCell ref="D6:H6"/>
    <mergeCell ref="B6:B7"/>
    <mergeCell ref="C6:C7"/>
    <mergeCell ref="B28:B29"/>
    <mergeCell ref="C28:C29"/>
    <mergeCell ref="D28:F28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EB24-AF23-430A-8762-B1A7AFFE5221}">
  <sheetPr>
    <tabColor rgb="FF00B050"/>
  </sheetPr>
  <dimension ref="C1:D15"/>
  <sheetViews>
    <sheetView topLeftCell="A35" workbookViewId="0">
      <selection activeCell="C13" sqref="C13:C15"/>
    </sheetView>
  </sheetViews>
  <sheetFormatPr baseColWidth="10" defaultRowHeight="15" x14ac:dyDescent="0.25"/>
  <cols>
    <col min="3" max="3" width="31.5703125" customWidth="1"/>
    <col min="4" max="4" width="33.7109375" customWidth="1"/>
  </cols>
  <sheetData>
    <row r="1" spans="3:4" x14ac:dyDescent="0.25">
      <c r="C1" s="329"/>
      <c r="D1" s="329"/>
    </row>
    <row r="2" spans="3:4" x14ac:dyDescent="0.25">
      <c r="C2" s="329"/>
      <c r="D2" s="329"/>
    </row>
    <row r="3" spans="3:4" ht="25.5" customHeight="1" x14ac:dyDescent="0.25">
      <c r="C3" s="341" t="s">
        <v>716</v>
      </c>
      <c r="D3" s="341" t="s">
        <v>717</v>
      </c>
    </row>
    <row r="4" spans="3:4" ht="21" customHeight="1" x14ac:dyDescent="0.25">
      <c r="C4" s="342" t="s">
        <v>718</v>
      </c>
      <c r="D4" s="342" t="s">
        <v>725</v>
      </c>
    </row>
    <row r="5" spans="3:4" ht="22.5" customHeight="1" x14ac:dyDescent="0.25">
      <c r="C5" s="342" t="s">
        <v>719</v>
      </c>
      <c r="D5" s="342" t="s">
        <v>725</v>
      </c>
    </row>
    <row r="6" spans="3:4" ht="40.5" customHeight="1" x14ac:dyDescent="0.25">
      <c r="C6" s="342" t="s">
        <v>726</v>
      </c>
      <c r="D6" s="342" t="s">
        <v>727</v>
      </c>
    </row>
    <row r="7" spans="3:4" ht="21.75" customHeight="1" x14ac:dyDescent="0.25">
      <c r="C7" s="342" t="s">
        <v>720</v>
      </c>
      <c r="D7" s="342" t="s">
        <v>728</v>
      </c>
    </row>
    <row r="8" spans="3:4" ht="60" customHeight="1" x14ac:dyDescent="0.25">
      <c r="C8" s="342" t="s">
        <v>721</v>
      </c>
      <c r="D8" s="342" t="s">
        <v>729</v>
      </c>
    </row>
    <row r="9" spans="3:4" ht="21.75" customHeight="1" x14ac:dyDescent="0.25">
      <c r="C9" s="342" t="s">
        <v>722</v>
      </c>
      <c r="D9" s="342" t="s">
        <v>729</v>
      </c>
    </row>
    <row r="10" spans="3:4" ht="21.75" customHeight="1" x14ac:dyDescent="0.25">
      <c r="C10" s="651" t="s">
        <v>723</v>
      </c>
      <c r="D10" s="342" t="s">
        <v>725</v>
      </c>
    </row>
    <row r="11" spans="3:4" ht="24" customHeight="1" x14ac:dyDescent="0.25">
      <c r="C11" s="651"/>
      <c r="D11" s="342" t="s">
        <v>730</v>
      </c>
    </row>
    <row r="12" spans="3:4" ht="19.5" customHeight="1" x14ac:dyDescent="0.25">
      <c r="C12" s="342" t="s">
        <v>724</v>
      </c>
      <c r="D12" s="342" t="s">
        <v>725</v>
      </c>
    </row>
    <row r="13" spans="3:4" ht="21.75" customHeight="1" x14ac:dyDescent="0.25">
      <c r="C13" s="651" t="s">
        <v>732</v>
      </c>
      <c r="D13" s="342" t="s">
        <v>742</v>
      </c>
    </row>
    <row r="14" spans="3:4" ht="24" customHeight="1" x14ac:dyDescent="0.25">
      <c r="C14" s="651"/>
      <c r="D14" s="342" t="s">
        <v>751</v>
      </c>
    </row>
    <row r="15" spans="3:4" ht="21" customHeight="1" x14ac:dyDescent="0.25">
      <c r="C15" s="651"/>
      <c r="D15" s="342" t="s">
        <v>752</v>
      </c>
    </row>
  </sheetData>
  <mergeCells count="2">
    <mergeCell ref="C10:C11"/>
    <mergeCell ref="C13:C1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BD48-FA18-4166-A811-456291ABC46C}">
  <sheetPr>
    <tabColor rgb="FF00B050"/>
  </sheetPr>
  <dimension ref="A3:D27"/>
  <sheetViews>
    <sheetView topLeftCell="A29" zoomScaleNormal="100" workbookViewId="0">
      <selection activeCell="D10" sqref="D10"/>
    </sheetView>
  </sheetViews>
  <sheetFormatPr baseColWidth="10" defaultRowHeight="15" x14ac:dyDescent="0.25"/>
  <cols>
    <col min="1" max="1" width="14.42578125" customWidth="1"/>
    <col min="2" max="2" width="25.85546875" customWidth="1"/>
    <col min="3" max="3" width="27" customWidth="1"/>
    <col min="4" max="4" width="32.7109375" customWidth="1"/>
  </cols>
  <sheetData>
    <row r="3" spans="1:4" ht="33" customHeight="1" x14ac:dyDescent="0.25">
      <c r="A3" s="328" t="s">
        <v>740</v>
      </c>
      <c r="B3" s="328" t="s">
        <v>714</v>
      </c>
      <c r="C3" s="328" t="s">
        <v>754</v>
      </c>
      <c r="D3" s="328" t="s">
        <v>715</v>
      </c>
    </row>
    <row r="4" spans="1:4" ht="31.5" x14ac:dyDescent="0.25">
      <c r="A4" s="652" t="s">
        <v>753</v>
      </c>
      <c r="B4" s="342" t="s">
        <v>731</v>
      </c>
      <c r="C4" s="343" t="s">
        <v>502</v>
      </c>
      <c r="D4" s="342" t="s">
        <v>725</v>
      </c>
    </row>
    <row r="5" spans="1:4" ht="31.5" x14ac:dyDescent="0.25">
      <c r="A5" s="652"/>
      <c r="B5" s="342" t="s">
        <v>719</v>
      </c>
      <c r="C5" s="343" t="s">
        <v>565</v>
      </c>
      <c r="D5" s="342" t="s">
        <v>725</v>
      </c>
    </row>
    <row r="6" spans="1:4" ht="30" customHeight="1" x14ac:dyDescent="0.25">
      <c r="A6" s="652" t="s">
        <v>506</v>
      </c>
      <c r="B6" s="342" t="s">
        <v>733</v>
      </c>
      <c r="C6" s="343" t="s">
        <v>566</v>
      </c>
      <c r="D6" s="342" t="s">
        <v>741</v>
      </c>
    </row>
    <row r="7" spans="1:4" ht="31.5" x14ac:dyDescent="0.25">
      <c r="A7" s="652"/>
      <c r="B7" s="342" t="s">
        <v>733</v>
      </c>
      <c r="C7" s="343" t="s">
        <v>580</v>
      </c>
      <c r="D7" s="342" t="s">
        <v>741</v>
      </c>
    </row>
    <row r="8" spans="1:4" ht="31.5" x14ac:dyDescent="0.25">
      <c r="A8" s="652"/>
      <c r="B8" s="342" t="s">
        <v>733</v>
      </c>
      <c r="C8" s="343" t="s">
        <v>423</v>
      </c>
      <c r="D8" s="342" t="s">
        <v>741</v>
      </c>
    </row>
    <row r="9" spans="1:4" ht="31.5" x14ac:dyDescent="0.25">
      <c r="A9" s="652"/>
      <c r="B9" s="342" t="s">
        <v>733</v>
      </c>
      <c r="C9" s="343" t="s">
        <v>441</v>
      </c>
      <c r="D9" s="342" t="s">
        <v>741</v>
      </c>
    </row>
    <row r="10" spans="1:4" ht="31.5" x14ac:dyDescent="0.25">
      <c r="A10" s="652"/>
      <c r="B10" s="342" t="s">
        <v>733</v>
      </c>
      <c r="C10" s="343" t="s">
        <v>442</v>
      </c>
      <c r="D10" s="342" t="s">
        <v>747</v>
      </c>
    </row>
    <row r="11" spans="1:4" ht="47.25" x14ac:dyDescent="0.25">
      <c r="A11" s="652"/>
      <c r="B11" s="342" t="s">
        <v>734</v>
      </c>
      <c r="C11" s="343" t="s">
        <v>421</v>
      </c>
      <c r="D11" s="342" t="s">
        <v>735</v>
      </c>
    </row>
    <row r="12" spans="1:4" ht="15.75" x14ac:dyDescent="0.25">
      <c r="A12" s="652"/>
      <c r="B12" s="342" t="s">
        <v>732</v>
      </c>
      <c r="C12" s="343" t="s">
        <v>474</v>
      </c>
      <c r="D12" s="342" t="s">
        <v>742</v>
      </c>
    </row>
    <row r="13" spans="1:4" ht="47.25" x14ac:dyDescent="0.25">
      <c r="A13" s="652"/>
      <c r="B13" s="342" t="s">
        <v>734</v>
      </c>
      <c r="C13" s="343" t="s">
        <v>568</v>
      </c>
      <c r="D13" s="342" t="s">
        <v>735</v>
      </c>
    </row>
    <row r="14" spans="1:4" ht="47.25" x14ac:dyDescent="0.25">
      <c r="A14" s="652"/>
      <c r="B14" s="342" t="s">
        <v>734</v>
      </c>
      <c r="C14" s="343" t="s">
        <v>422</v>
      </c>
      <c r="D14" s="342" t="s">
        <v>735</v>
      </c>
    </row>
    <row r="15" spans="1:4" ht="47.25" x14ac:dyDescent="0.25">
      <c r="A15" s="652"/>
      <c r="B15" s="342" t="s">
        <v>732</v>
      </c>
      <c r="C15" s="343" t="s">
        <v>569</v>
      </c>
      <c r="D15" s="342" t="s">
        <v>743</v>
      </c>
    </row>
    <row r="16" spans="1:4" ht="63" x14ac:dyDescent="0.25">
      <c r="A16" s="652"/>
      <c r="B16" s="342" t="s">
        <v>736</v>
      </c>
      <c r="C16" s="343" t="s">
        <v>583</v>
      </c>
      <c r="D16" s="342" t="s">
        <v>744</v>
      </c>
    </row>
    <row r="17" spans="1:4" ht="63" x14ac:dyDescent="0.25">
      <c r="A17" s="652"/>
      <c r="B17" s="342" t="s">
        <v>737</v>
      </c>
      <c r="C17" s="343" t="s">
        <v>443</v>
      </c>
      <c r="D17" s="342" t="s">
        <v>744</v>
      </c>
    </row>
    <row r="18" spans="1:4" ht="47.25" x14ac:dyDescent="0.25">
      <c r="A18" s="652"/>
      <c r="B18" s="342" t="s">
        <v>732</v>
      </c>
      <c r="C18" s="343" t="s">
        <v>570</v>
      </c>
      <c r="D18" s="342" t="s">
        <v>743</v>
      </c>
    </row>
    <row r="19" spans="1:4" ht="63" x14ac:dyDescent="0.25">
      <c r="A19" s="652"/>
      <c r="B19" s="342" t="s">
        <v>736</v>
      </c>
      <c r="C19" s="343" t="s">
        <v>584</v>
      </c>
      <c r="D19" s="342" t="s">
        <v>744</v>
      </c>
    </row>
    <row r="20" spans="1:4" ht="47.25" x14ac:dyDescent="0.25">
      <c r="A20" s="652"/>
      <c r="B20" s="342" t="s">
        <v>732</v>
      </c>
      <c r="C20" s="343" t="s">
        <v>503</v>
      </c>
      <c r="D20" s="342" t="s">
        <v>743</v>
      </c>
    </row>
    <row r="21" spans="1:4" ht="47.25" x14ac:dyDescent="0.25">
      <c r="A21" s="652"/>
      <c r="B21" s="342" t="s">
        <v>732</v>
      </c>
      <c r="C21" s="343" t="s">
        <v>446</v>
      </c>
      <c r="D21" s="342" t="s">
        <v>743</v>
      </c>
    </row>
    <row r="22" spans="1:4" ht="47.25" x14ac:dyDescent="0.25">
      <c r="A22" s="652"/>
      <c r="B22" s="342" t="s">
        <v>732</v>
      </c>
      <c r="C22" s="343" t="s">
        <v>447</v>
      </c>
      <c r="D22" s="342" t="s">
        <v>743</v>
      </c>
    </row>
    <row r="23" spans="1:4" ht="63" x14ac:dyDescent="0.25">
      <c r="A23" s="652" t="s">
        <v>507</v>
      </c>
      <c r="B23" s="342" t="s">
        <v>737</v>
      </c>
      <c r="C23" s="343" t="s">
        <v>504</v>
      </c>
      <c r="D23" s="342" t="s">
        <v>745</v>
      </c>
    </row>
    <row r="24" spans="1:4" ht="63" x14ac:dyDescent="0.25">
      <c r="A24" s="652"/>
      <c r="B24" s="342" t="s">
        <v>738</v>
      </c>
      <c r="C24" s="343" t="s">
        <v>505</v>
      </c>
      <c r="D24" s="342" t="s">
        <v>748</v>
      </c>
    </row>
    <row r="25" spans="1:4" ht="63" x14ac:dyDescent="0.25">
      <c r="A25" s="652" t="s">
        <v>508</v>
      </c>
      <c r="B25" s="342" t="s">
        <v>739</v>
      </c>
      <c r="C25" s="343" t="s">
        <v>577</v>
      </c>
      <c r="D25" s="342" t="s">
        <v>749</v>
      </c>
    </row>
    <row r="26" spans="1:4" ht="47.25" x14ac:dyDescent="0.25">
      <c r="A26" s="652"/>
      <c r="B26" s="342" t="s">
        <v>732</v>
      </c>
      <c r="C26" s="343" t="s">
        <v>571</v>
      </c>
      <c r="D26" s="342" t="s">
        <v>743</v>
      </c>
    </row>
    <row r="27" spans="1:4" ht="78.75" x14ac:dyDescent="0.25">
      <c r="A27" s="652"/>
      <c r="B27" s="342" t="s">
        <v>736</v>
      </c>
      <c r="C27" s="343" t="s">
        <v>572</v>
      </c>
      <c r="D27" s="342" t="s">
        <v>750</v>
      </c>
    </row>
  </sheetData>
  <mergeCells count="4">
    <mergeCell ref="A4:A5"/>
    <mergeCell ref="A6:A22"/>
    <mergeCell ref="A23:A24"/>
    <mergeCell ref="A25:A2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E8F6-F7CD-4499-B8E2-2325F0210BCA}">
  <sheetPr>
    <tabColor rgb="FF00B050"/>
  </sheetPr>
  <dimension ref="B1:I63"/>
  <sheetViews>
    <sheetView zoomScale="70" zoomScaleNormal="70" workbookViewId="0">
      <selection activeCell="B57" sqref="B57:H62"/>
    </sheetView>
  </sheetViews>
  <sheetFormatPr baseColWidth="10" defaultColWidth="11.42578125" defaultRowHeight="15" x14ac:dyDescent="0.25"/>
  <cols>
    <col min="3" max="3" width="12" customWidth="1"/>
    <col min="8" max="8" width="37.42578125" customWidth="1"/>
    <col min="9" max="9" width="5.140625" customWidth="1"/>
  </cols>
  <sheetData>
    <row r="1" spans="2:9" ht="15.75" thickBot="1" x14ac:dyDescent="0.3"/>
    <row r="2" spans="2:9" x14ac:dyDescent="0.25">
      <c r="B2" s="656" t="s">
        <v>586</v>
      </c>
      <c r="C2" s="657"/>
      <c r="D2" s="657"/>
      <c r="E2" s="657"/>
      <c r="F2" s="657"/>
      <c r="G2" s="657"/>
      <c r="H2" s="658"/>
      <c r="I2" s="128"/>
    </row>
    <row r="3" spans="2:9" ht="5.45" customHeight="1" x14ac:dyDescent="0.25">
      <c r="B3" s="659" t="s">
        <v>587</v>
      </c>
      <c r="C3" s="660"/>
      <c r="D3" s="660"/>
      <c r="E3" s="660"/>
      <c r="F3" s="660"/>
      <c r="G3" s="660"/>
      <c r="H3" s="661"/>
      <c r="I3" s="295"/>
    </row>
    <row r="4" spans="2:9" ht="14.25" hidden="1" customHeight="1" x14ac:dyDescent="0.25">
      <c r="B4" s="659"/>
      <c r="C4" s="660"/>
      <c r="D4" s="660"/>
      <c r="E4" s="660"/>
      <c r="F4" s="660"/>
      <c r="G4" s="660"/>
      <c r="H4" s="661"/>
      <c r="I4" s="295"/>
    </row>
    <row r="5" spans="2:9" ht="4.7" customHeight="1" x14ac:dyDescent="0.25">
      <c r="B5" s="659"/>
      <c r="C5" s="660"/>
      <c r="D5" s="660"/>
      <c r="E5" s="660"/>
      <c r="F5" s="660"/>
      <c r="G5" s="660"/>
      <c r="H5" s="661"/>
      <c r="I5" s="295"/>
    </row>
    <row r="6" spans="2:9" ht="14.25" hidden="1" customHeight="1" x14ac:dyDescent="0.25">
      <c r="B6" s="659"/>
      <c r="C6" s="660"/>
      <c r="D6" s="660"/>
      <c r="E6" s="660"/>
      <c r="F6" s="660"/>
      <c r="G6" s="660"/>
      <c r="H6" s="661"/>
      <c r="I6" s="295"/>
    </row>
    <row r="7" spans="2:9" x14ac:dyDescent="0.25">
      <c r="B7" s="659"/>
      <c r="C7" s="660"/>
      <c r="D7" s="660"/>
      <c r="E7" s="660"/>
      <c r="F7" s="660"/>
      <c r="G7" s="660"/>
      <c r="H7" s="661"/>
      <c r="I7" s="295"/>
    </row>
    <row r="8" spans="2:9" x14ac:dyDescent="0.25">
      <c r="B8" s="659"/>
      <c r="C8" s="660"/>
      <c r="D8" s="660"/>
      <c r="E8" s="660"/>
      <c r="F8" s="660"/>
      <c r="G8" s="660"/>
      <c r="H8" s="661"/>
      <c r="I8" s="295"/>
    </row>
    <row r="9" spans="2:9" x14ac:dyDescent="0.25">
      <c r="B9" s="659"/>
      <c r="C9" s="660"/>
      <c r="D9" s="660"/>
      <c r="E9" s="660"/>
      <c r="F9" s="660"/>
      <c r="G9" s="660"/>
      <c r="H9" s="661"/>
      <c r="I9" s="295"/>
    </row>
    <row r="10" spans="2:9" x14ac:dyDescent="0.25">
      <c r="B10" s="659"/>
      <c r="C10" s="660"/>
      <c r="D10" s="660"/>
      <c r="E10" s="660"/>
      <c r="F10" s="660"/>
      <c r="G10" s="660"/>
      <c r="H10" s="661"/>
      <c r="I10" s="295"/>
    </row>
    <row r="11" spans="2:9" x14ac:dyDescent="0.25">
      <c r="B11" s="659"/>
      <c r="C11" s="660"/>
      <c r="D11" s="660"/>
      <c r="E11" s="660"/>
      <c r="F11" s="660"/>
      <c r="G11" s="660"/>
      <c r="H11" s="661"/>
      <c r="I11" s="295"/>
    </row>
    <row r="12" spans="2:9" x14ac:dyDescent="0.25">
      <c r="B12" s="659"/>
      <c r="C12" s="660"/>
      <c r="D12" s="660"/>
      <c r="E12" s="660"/>
      <c r="F12" s="660"/>
      <c r="G12" s="660"/>
      <c r="H12" s="661"/>
      <c r="I12" s="295"/>
    </row>
    <row r="13" spans="2:9" x14ac:dyDescent="0.25">
      <c r="B13" s="659"/>
      <c r="C13" s="660"/>
      <c r="D13" s="660"/>
      <c r="E13" s="660"/>
      <c r="F13" s="660"/>
      <c r="G13" s="660"/>
      <c r="H13" s="661"/>
      <c r="I13" s="295"/>
    </row>
    <row r="14" spans="2:9" x14ac:dyDescent="0.25">
      <c r="B14" s="659"/>
      <c r="C14" s="660"/>
      <c r="D14" s="660"/>
      <c r="E14" s="660"/>
      <c r="F14" s="660"/>
      <c r="G14" s="660"/>
      <c r="H14" s="661"/>
      <c r="I14" s="295"/>
    </row>
    <row r="15" spans="2:9" x14ac:dyDescent="0.25">
      <c r="B15" s="659"/>
      <c r="C15" s="660"/>
      <c r="D15" s="660"/>
      <c r="E15" s="660"/>
      <c r="F15" s="660"/>
      <c r="G15" s="660"/>
      <c r="H15" s="661"/>
      <c r="I15" s="295"/>
    </row>
    <row r="16" spans="2:9" ht="51" customHeight="1" x14ac:dyDescent="0.25">
      <c r="B16" s="659"/>
      <c r="C16" s="660"/>
      <c r="D16" s="660"/>
      <c r="E16" s="660"/>
      <c r="F16" s="660"/>
      <c r="G16" s="660"/>
      <c r="H16" s="661"/>
      <c r="I16" s="295"/>
    </row>
    <row r="17" spans="2:9" ht="1.5" customHeight="1" x14ac:dyDescent="0.25">
      <c r="B17" s="296"/>
      <c r="C17" s="295"/>
      <c r="D17" s="295"/>
      <c r="E17" s="295"/>
      <c r="F17" s="295"/>
      <c r="G17" s="295"/>
      <c r="H17" s="297"/>
      <c r="I17" s="295"/>
    </row>
    <row r="18" spans="2:9" ht="15" hidden="1" customHeight="1" x14ac:dyDescent="0.25">
      <c r="B18" s="296"/>
      <c r="C18" s="295"/>
      <c r="D18" s="295"/>
      <c r="E18" s="295"/>
      <c r="F18" s="295"/>
      <c r="G18" s="295"/>
      <c r="H18" s="297"/>
      <c r="I18" s="295"/>
    </row>
    <row r="19" spans="2:9" ht="15" hidden="1" customHeight="1" x14ac:dyDescent="0.25">
      <c r="B19" s="296"/>
      <c r="C19" s="295"/>
      <c r="D19" s="295"/>
      <c r="E19" s="295"/>
      <c r="F19" s="295"/>
      <c r="G19" s="295"/>
      <c r="H19" s="297"/>
      <c r="I19" s="295"/>
    </row>
    <row r="20" spans="2:9" ht="15" hidden="1" customHeight="1" x14ac:dyDescent="0.25">
      <c r="B20" s="296"/>
      <c r="C20" s="295"/>
      <c r="D20" s="295"/>
      <c r="E20" s="295"/>
      <c r="F20" s="295"/>
      <c r="G20" s="295"/>
      <c r="H20" s="297"/>
      <c r="I20" s="295"/>
    </row>
    <row r="21" spans="2:9" ht="15.75" hidden="1" customHeight="1" thickBot="1" x14ac:dyDescent="0.3">
      <c r="B21" s="296"/>
      <c r="C21" s="295"/>
      <c r="D21" s="295"/>
      <c r="E21" s="295"/>
      <c r="F21" s="295"/>
      <c r="G21" s="295"/>
      <c r="H21" s="297"/>
      <c r="I21" s="295"/>
    </row>
    <row r="22" spans="2:9" ht="28.5" customHeight="1" x14ac:dyDescent="0.25">
      <c r="B22" s="662" t="s">
        <v>588</v>
      </c>
      <c r="C22" s="663"/>
      <c r="D22" s="663"/>
      <c r="E22" s="663"/>
      <c r="F22" s="663"/>
      <c r="G22" s="663"/>
      <c r="H22" s="664"/>
      <c r="I22" s="128"/>
    </row>
    <row r="23" spans="2:9" ht="15" customHeight="1" x14ac:dyDescent="0.25">
      <c r="B23" s="665" t="s">
        <v>589</v>
      </c>
      <c r="C23" s="666"/>
      <c r="D23" s="666"/>
      <c r="E23" s="666"/>
      <c r="F23" s="666"/>
      <c r="G23" s="666"/>
      <c r="H23" s="667"/>
      <c r="I23" s="128"/>
    </row>
    <row r="24" spans="2:9" ht="19.5" customHeight="1" x14ac:dyDescent="0.25">
      <c r="B24" s="653"/>
      <c r="C24" s="654"/>
      <c r="D24" s="654"/>
      <c r="E24" s="654"/>
      <c r="F24" s="654"/>
      <c r="G24" s="654"/>
      <c r="H24" s="655"/>
      <c r="I24" s="128"/>
    </row>
    <row r="25" spans="2:9" ht="15" customHeight="1" x14ac:dyDescent="0.25">
      <c r="B25" s="653" t="s">
        <v>590</v>
      </c>
      <c r="C25" s="654"/>
      <c r="D25" s="654"/>
      <c r="E25" s="654"/>
      <c r="F25" s="654"/>
      <c r="G25" s="654"/>
      <c r="H25" s="655"/>
      <c r="I25" s="128"/>
    </row>
    <row r="26" spans="2:9" ht="15" customHeight="1" x14ac:dyDescent="0.25">
      <c r="B26" s="653"/>
      <c r="C26" s="654"/>
      <c r="D26" s="654"/>
      <c r="E26" s="654"/>
      <c r="F26" s="654"/>
      <c r="G26" s="654"/>
      <c r="H26" s="655"/>
      <c r="I26" s="128"/>
    </row>
    <row r="27" spans="2:9" ht="15" customHeight="1" x14ac:dyDescent="0.25">
      <c r="B27" s="668" t="s">
        <v>755</v>
      </c>
      <c r="C27" s="669"/>
      <c r="D27" s="669"/>
      <c r="E27" s="669"/>
      <c r="F27" s="669"/>
      <c r="G27" s="669"/>
      <c r="H27" s="670"/>
      <c r="I27" s="128"/>
    </row>
    <row r="28" spans="2:9" ht="18" customHeight="1" x14ac:dyDescent="0.25">
      <c r="B28" s="668"/>
      <c r="C28" s="669"/>
      <c r="D28" s="669"/>
      <c r="E28" s="669"/>
      <c r="F28" s="669"/>
      <c r="G28" s="669"/>
      <c r="H28" s="670"/>
      <c r="I28" s="128"/>
    </row>
    <row r="29" spans="2:9" ht="15" customHeight="1" x14ac:dyDescent="0.25">
      <c r="B29" s="653" t="s">
        <v>591</v>
      </c>
      <c r="C29" s="654"/>
      <c r="D29" s="654"/>
      <c r="E29" s="654"/>
      <c r="F29" s="654"/>
      <c r="G29" s="654"/>
      <c r="H29" s="655"/>
      <c r="I29" s="128"/>
    </row>
    <row r="30" spans="2:9" ht="15" customHeight="1" x14ac:dyDescent="0.25">
      <c r="B30" s="653"/>
      <c r="C30" s="654"/>
      <c r="D30" s="654"/>
      <c r="E30" s="654"/>
      <c r="F30" s="654"/>
      <c r="G30" s="654"/>
      <c r="H30" s="655"/>
      <c r="I30" s="128"/>
    </row>
    <row r="31" spans="2:9" ht="15" customHeight="1" x14ac:dyDescent="0.25">
      <c r="B31" s="668" t="s">
        <v>592</v>
      </c>
      <c r="C31" s="669"/>
      <c r="D31" s="669"/>
      <c r="E31" s="669"/>
      <c r="F31" s="669"/>
      <c r="G31" s="669"/>
      <c r="H31" s="670"/>
      <c r="I31" s="128"/>
    </row>
    <row r="32" spans="2:9" ht="12" customHeight="1" x14ac:dyDescent="0.25">
      <c r="B32" s="668"/>
      <c r="C32" s="669"/>
      <c r="D32" s="669"/>
      <c r="E32" s="669"/>
      <c r="F32" s="669"/>
      <c r="G32" s="669"/>
      <c r="H32" s="670"/>
      <c r="I32" s="128"/>
    </row>
    <row r="33" spans="2:9" ht="15" customHeight="1" x14ac:dyDescent="0.25">
      <c r="B33" s="668" t="s">
        <v>593</v>
      </c>
      <c r="C33" s="669"/>
      <c r="D33" s="669"/>
      <c r="E33" s="669"/>
      <c r="F33" s="669"/>
      <c r="G33" s="669"/>
      <c r="H33" s="670"/>
      <c r="I33" s="128"/>
    </row>
    <row r="34" spans="2:9" ht="21.75" customHeight="1" x14ac:dyDescent="0.25">
      <c r="B34" s="668"/>
      <c r="C34" s="669"/>
      <c r="D34" s="669"/>
      <c r="E34" s="669"/>
      <c r="F34" s="669"/>
      <c r="G34" s="669"/>
      <c r="H34" s="670"/>
      <c r="I34" s="128"/>
    </row>
    <row r="35" spans="2:9" ht="15" customHeight="1" x14ac:dyDescent="0.25">
      <c r="B35" s="668" t="s">
        <v>594</v>
      </c>
      <c r="C35" s="669"/>
      <c r="D35" s="669"/>
      <c r="E35" s="669"/>
      <c r="F35" s="669"/>
      <c r="G35" s="669"/>
      <c r="H35" s="670"/>
      <c r="I35" s="128"/>
    </row>
    <row r="36" spans="2:9" ht="20.25" customHeight="1" x14ac:dyDescent="0.25">
      <c r="B36" s="668"/>
      <c r="C36" s="669"/>
      <c r="D36" s="669"/>
      <c r="E36" s="669"/>
      <c r="F36" s="669"/>
      <c r="G36" s="669"/>
      <c r="H36" s="670"/>
      <c r="I36" s="128"/>
    </row>
    <row r="37" spans="2:9" ht="15" customHeight="1" x14ac:dyDescent="0.25">
      <c r="B37" s="653" t="s">
        <v>595</v>
      </c>
      <c r="C37" s="654"/>
      <c r="D37" s="654"/>
      <c r="E37" s="654"/>
      <c r="F37" s="654"/>
      <c r="G37" s="654"/>
      <c r="H37" s="655"/>
      <c r="I37" s="128"/>
    </row>
    <row r="38" spans="2:9" ht="15" customHeight="1" x14ac:dyDescent="0.25">
      <c r="B38" s="653"/>
      <c r="C38" s="654"/>
      <c r="D38" s="654"/>
      <c r="E38" s="654"/>
      <c r="F38" s="654"/>
      <c r="G38" s="654"/>
      <c r="H38" s="655"/>
      <c r="I38" s="128"/>
    </row>
    <row r="39" spans="2:9" ht="15" customHeight="1" x14ac:dyDescent="0.25">
      <c r="B39" s="653"/>
      <c r="C39" s="654"/>
      <c r="D39" s="654"/>
      <c r="E39" s="654"/>
      <c r="F39" s="654"/>
      <c r="G39" s="654"/>
      <c r="H39" s="655"/>
      <c r="I39" s="128"/>
    </row>
    <row r="40" spans="2:9" x14ac:dyDescent="0.25">
      <c r="B40" s="671" t="s">
        <v>596</v>
      </c>
      <c r="C40" s="672"/>
      <c r="D40" s="672"/>
      <c r="E40" s="672"/>
      <c r="F40" s="672"/>
      <c r="G40" s="672"/>
      <c r="H40" s="673"/>
      <c r="I40" s="128"/>
    </row>
    <row r="41" spans="2:9" x14ac:dyDescent="0.25">
      <c r="B41" s="674"/>
      <c r="C41" s="675"/>
      <c r="D41" s="675"/>
      <c r="E41" s="675"/>
      <c r="F41" s="675"/>
      <c r="G41" s="675"/>
      <c r="H41" s="676"/>
      <c r="I41" s="128"/>
    </row>
    <row r="42" spans="2:9" ht="69" customHeight="1" x14ac:dyDescent="0.25">
      <c r="B42" s="677" t="s">
        <v>597</v>
      </c>
      <c r="C42" s="678"/>
      <c r="D42" s="40" t="s">
        <v>598</v>
      </c>
      <c r="E42" s="679" t="s">
        <v>599</v>
      </c>
      <c r="F42" s="679"/>
      <c r="G42" s="298" t="s">
        <v>600</v>
      </c>
      <c r="H42" s="680"/>
      <c r="I42" s="128"/>
    </row>
    <row r="43" spans="2:9" ht="88.5" customHeight="1" x14ac:dyDescent="0.25">
      <c r="B43" s="681" t="s">
        <v>601</v>
      </c>
      <c r="C43" s="679"/>
      <c r="D43" s="298" t="s">
        <v>602</v>
      </c>
      <c r="E43" s="679" t="s">
        <v>603</v>
      </c>
      <c r="F43" s="679"/>
      <c r="G43" s="298" t="s">
        <v>604</v>
      </c>
      <c r="H43" s="680"/>
      <c r="I43" s="128"/>
    </row>
    <row r="44" spans="2:9" ht="99.75" customHeight="1" x14ac:dyDescent="0.25">
      <c r="B44" s="681" t="s">
        <v>605</v>
      </c>
      <c r="C44" s="679"/>
      <c r="D44" s="298" t="s">
        <v>604</v>
      </c>
      <c r="E44" s="679" t="s">
        <v>606</v>
      </c>
      <c r="F44" s="679"/>
      <c r="G44" s="299" t="s">
        <v>607</v>
      </c>
      <c r="H44" s="680"/>
      <c r="I44" s="128"/>
    </row>
    <row r="45" spans="2:9" ht="109.5" customHeight="1" x14ac:dyDescent="0.25">
      <c r="B45" s="681" t="s">
        <v>608</v>
      </c>
      <c r="C45" s="679"/>
      <c r="D45" s="298" t="s">
        <v>604</v>
      </c>
      <c r="E45" s="682" t="s">
        <v>609</v>
      </c>
      <c r="F45" s="683"/>
      <c r="G45" s="298" t="s">
        <v>604</v>
      </c>
      <c r="H45" s="680"/>
      <c r="I45" s="128"/>
    </row>
    <row r="46" spans="2:9" x14ac:dyDescent="0.25">
      <c r="B46" s="684"/>
      <c r="C46" s="685"/>
      <c r="D46" s="685"/>
      <c r="E46" s="685"/>
      <c r="F46" s="685"/>
      <c r="G46" s="685"/>
      <c r="H46" s="686"/>
      <c r="I46" s="128"/>
    </row>
    <row r="47" spans="2:9" x14ac:dyDescent="0.25">
      <c r="B47" s="671" t="s">
        <v>610</v>
      </c>
      <c r="C47" s="672"/>
      <c r="D47" s="672"/>
      <c r="E47" s="672"/>
      <c r="F47" s="672"/>
      <c r="G47" s="672"/>
      <c r="H47" s="673"/>
      <c r="I47" s="128"/>
    </row>
    <row r="48" spans="2:9" x14ac:dyDescent="0.25">
      <c r="B48" s="687" t="s">
        <v>611</v>
      </c>
      <c r="C48" s="688"/>
      <c r="D48" s="688"/>
      <c r="E48" s="688"/>
      <c r="F48" s="688"/>
      <c r="G48" s="688"/>
      <c r="H48" s="689"/>
      <c r="I48" s="128"/>
    </row>
    <row r="49" spans="2:9" x14ac:dyDescent="0.25">
      <c r="B49" s="684"/>
      <c r="C49" s="685"/>
      <c r="D49" s="685"/>
      <c r="E49" s="685"/>
      <c r="F49" s="685"/>
      <c r="G49" s="685"/>
      <c r="H49" s="686"/>
      <c r="I49" s="128"/>
    </row>
    <row r="50" spans="2:9" x14ac:dyDescent="0.25">
      <c r="B50" s="671" t="s">
        <v>612</v>
      </c>
      <c r="C50" s="672"/>
      <c r="D50" s="672"/>
      <c r="E50" s="672"/>
      <c r="F50" s="672"/>
      <c r="G50" s="672"/>
      <c r="H50" s="673"/>
      <c r="I50" s="128"/>
    </row>
    <row r="51" spans="2:9" x14ac:dyDescent="0.25">
      <c r="B51" s="674"/>
      <c r="C51" s="675"/>
      <c r="D51" s="675"/>
      <c r="E51" s="675"/>
      <c r="F51" s="675"/>
      <c r="G51" s="675"/>
      <c r="H51" s="676"/>
      <c r="I51" s="128"/>
    </row>
    <row r="52" spans="2:9" ht="58.5" customHeight="1" x14ac:dyDescent="0.25">
      <c r="B52" s="697" t="s">
        <v>613</v>
      </c>
      <c r="C52" s="698"/>
      <c r="D52" s="698" t="s">
        <v>614</v>
      </c>
      <c r="E52" s="698"/>
      <c r="F52" s="699" t="s">
        <v>615</v>
      </c>
      <c r="G52" s="700"/>
      <c r="H52" s="680"/>
      <c r="I52" s="128"/>
    </row>
    <row r="53" spans="2:9" x14ac:dyDescent="0.25">
      <c r="B53" s="701" t="s">
        <v>616</v>
      </c>
      <c r="C53" s="702"/>
      <c r="D53" s="702" t="s">
        <v>617</v>
      </c>
      <c r="E53" s="702"/>
      <c r="F53" s="703" t="s">
        <v>618</v>
      </c>
      <c r="G53" s="704"/>
      <c r="H53" s="680"/>
      <c r="I53" s="128"/>
    </row>
    <row r="54" spans="2:9" x14ac:dyDescent="0.25">
      <c r="B54" s="701" t="s">
        <v>619</v>
      </c>
      <c r="C54" s="702"/>
      <c r="D54" s="702" t="s">
        <v>620</v>
      </c>
      <c r="E54" s="702"/>
      <c r="F54" s="705" t="s">
        <v>621</v>
      </c>
      <c r="G54" s="706"/>
      <c r="H54" s="680"/>
      <c r="I54" s="128"/>
    </row>
    <row r="55" spans="2:9" x14ac:dyDescent="0.25">
      <c r="B55" s="701" t="s">
        <v>622</v>
      </c>
      <c r="C55" s="702"/>
      <c r="D55" s="702" t="s">
        <v>623</v>
      </c>
      <c r="E55" s="702"/>
      <c r="F55" s="707" t="s">
        <v>624</v>
      </c>
      <c r="G55" s="708"/>
      <c r="H55" s="680"/>
      <c r="I55" s="128"/>
    </row>
    <row r="56" spans="2:9" x14ac:dyDescent="0.25">
      <c r="B56" s="687"/>
      <c r="C56" s="688"/>
      <c r="D56" s="688"/>
      <c r="E56" s="688"/>
      <c r="F56" s="688"/>
      <c r="G56" s="688"/>
      <c r="H56" s="689"/>
      <c r="I56" s="128"/>
    </row>
    <row r="57" spans="2:9" ht="40.700000000000003" customHeight="1" x14ac:dyDescent="0.25">
      <c r="B57" s="690" t="s">
        <v>625</v>
      </c>
      <c r="C57" s="691"/>
      <c r="D57" s="691"/>
      <c r="E57" s="691"/>
      <c r="F57" s="691"/>
      <c r="G57" s="691"/>
      <c r="H57" s="692"/>
      <c r="I57" s="128"/>
    </row>
    <row r="58" spans="2:9" ht="39.4" customHeight="1" x14ac:dyDescent="0.25">
      <c r="B58" s="693"/>
      <c r="C58" s="691"/>
      <c r="D58" s="691"/>
      <c r="E58" s="691"/>
      <c r="F58" s="691"/>
      <c r="G58" s="691"/>
      <c r="H58" s="692"/>
      <c r="I58" s="128"/>
    </row>
    <row r="59" spans="2:9" ht="30.6" customHeight="1" x14ac:dyDescent="0.25">
      <c r="B59" s="693"/>
      <c r="C59" s="691"/>
      <c r="D59" s="691"/>
      <c r="E59" s="691"/>
      <c r="F59" s="691"/>
      <c r="G59" s="691"/>
      <c r="H59" s="692"/>
      <c r="I59" s="128"/>
    </row>
    <row r="60" spans="2:9" ht="31.35" customHeight="1" x14ac:dyDescent="0.25">
      <c r="B60" s="693"/>
      <c r="C60" s="691"/>
      <c r="D60" s="691"/>
      <c r="E60" s="691"/>
      <c r="F60" s="691"/>
      <c r="G60" s="691"/>
      <c r="H60" s="692"/>
      <c r="I60" s="128"/>
    </row>
    <row r="61" spans="2:9" ht="25.9" customHeight="1" x14ac:dyDescent="0.25">
      <c r="B61" s="693"/>
      <c r="C61" s="691"/>
      <c r="D61" s="691"/>
      <c r="E61" s="691"/>
      <c r="F61" s="691"/>
      <c r="G61" s="691"/>
      <c r="H61" s="692"/>
      <c r="I61" s="128"/>
    </row>
    <row r="62" spans="2:9" ht="111" customHeight="1" thickBot="1" x14ac:dyDescent="0.3">
      <c r="B62" s="694"/>
      <c r="C62" s="695"/>
      <c r="D62" s="695"/>
      <c r="E62" s="695"/>
      <c r="F62" s="695"/>
      <c r="G62" s="695"/>
      <c r="H62" s="696"/>
      <c r="I62" s="128"/>
    </row>
    <row r="63" spans="2:9" x14ac:dyDescent="0.25">
      <c r="B63" s="128"/>
      <c r="C63" s="128"/>
      <c r="D63" s="128"/>
      <c r="E63" s="128"/>
      <c r="F63" s="128"/>
      <c r="G63" s="128"/>
      <c r="H63" s="128"/>
      <c r="I63" s="128"/>
    </row>
  </sheetData>
  <mergeCells count="44">
    <mergeCell ref="B57:H62"/>
    <mergeCell ref="B51:H51"/>
    <mergeCell ref="B52:C52"/>
    <mergeCell ref="D52:E52"/>
    <mergeCell ref="F52:G52"/>
    <mergeCell ref="H52:H55"/>
    <mergeCell ref="B53:C53"/>
    <mergeCell ref="D53:E53"/>
    <mergeCell ref="F53:G53"/>
    <mergeCell ref="B54:C54"/>
    <mergeCell ref="D54:E54"/>
    <mergeCell ref="F54:G54"/>
    <mergeCell ref="B55:C55"/>
    <mergeCell ref="D55:E55"/>
    <mergeCell ref="F55:G55"/>
    <mergeCell ref="B56:H56"/>
    <mergeCell ref="B50:H50"/>
    <mergeCell ref="B40:H40"/>
    <mergeCell ref="B41:H41"/>
    <mergeCell ref="B42:C42"/>
    <mergeCell ref="E42:F42"/>
    <mergeCell ref="H42:H45"/>
    <mergeCell ref="B43:C43"/>
    <mergeCell ref="E43:F43"/>
    <mergeCell ref="B44:C44"/>
    <mergeCell ref="E44:F44"/>
    <mergeCell ref="B45:C45"/>
    <mergeCell ref="E45:F45"/>
    <mergeCell ref="B46:H46"/>
    <mergeCell ref="B47:H47"/>
    <mergeCell ref="B48:H48"/>
    <mergeCell ref="B49:H49"/>
    <mergeCell ref="B39:H39"/>
    <mergeCell ref="B2:H2"/>
    <mergeCell ref="B3:H16"/>
    <mergeCell ref="B22:H22"/>
    <mergeCell ref="B23:H24"/>
    <mergeCell ref="B25:H26"/>
    <mergeCell ref="B27:H28"/>
    <mergeCell ref="B29:H30"/>
    <mergeCell ref="B31:H32"/>
    <mergeCell ref="B33:H34"/>
    <mergeCell ref="B35:H36"/>
    <mergeCell ref="B37:H38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1E4F2-4792-4A7D-A681-0BE556754C53}">
  <sheetPr>
    <tabColor rgb="FF00B050"/>
  </sheetPr>
  <dimension ref="A1:AA37"/>
  <sheetViews>
    <sheetView zoomScale="50" zoomScaleNormal="5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F2" sqref="F2:V2"/>
    </sheetView>
  </sheetViews>
  <sheetFormatPr baseColWidth="10" defaultColWidth="11.42578125" defaultRowHeight="15" x14ac:dyDescent="0.25"/>
  <cols>
    <col min="1" max="1" width="13.7109375" customWidth="1"/>
    <col min="2" max="2" width="17.140625" style="224" customWidth="1"/>
    <col min="3" max="3" width="31.7109375" bestFit="1" customWidth="1"/>
    <col min="4" max="4" width="7.85546875" customWidth="1"/>
    <col min="5" max="6" width="8.140625" customWidth="1"/>
    <col min="7" max="8" width="5.42578125" customWidth="1"/>
    <col min="9" max="9" width="9.85546875" customWidth="1"/>
    <col min="10" max="11" width="11.7109375" customWidth="1"/>
    <col min="12" max="12" width="9.42578125" customWidth="1"/>
    <col min="13" max="13" width="10.140625" customWidth="1"/>
    <col min="20" max="20" width="5.85546875" customWidth="1"/>
    <col min="21" max="21" width="8.140625" customWidth="1"/>
    <col min="22" max="24" width="7.28515625" customWidth="1"/>
    <col min="25" max="25" width="9.85546875" customWidth="1"/>
    <col min="26" max="26" width="11.7109375" customWidth="1"/>
    <col min="27" max="27" width="9.42578125" customWidth="1"/>
  </cols>
  <sheetData>
    <row r="1" spans="1:27" ht="24.75" customHeight="1" thickBot="1" x14ac:dyDescent="0.3">
      <c r="A1" s="731"/>
      <c r="B1" s="732"/>
      <c r="C1" s="733"/>
      <c r="D1" s="720" t="s">
        <v>546</v>
      </c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2"/>
    </row>
    <row r="2" spans="1:27" ht="28.5" customHeight="1" thickBot="1" x14ac:dyDescent="0.3">
      <c r="A2" s="734"/>
      <c r="B2" s="735"/>
      <c r="C2" s="736"/>
      <c r="D2" s="714" t="s">
        <v>573</v>
      </c>
      <c r="E2" s="715"/>
      <c r="F2" s="719" t="s">
        <v>574</v>
      </c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5"/>
      <c r="W2" s="719" t="s">
        <v>575</v>
      </c>
      <c r="X2" s="715"/>
      <c r="Y2" s="714" t="s">
        <v>576</v>
      </c>
      <c r="Z2" s="719"/>
      <c r="AA2" s="715"/>
    </row>
    <row r="3" spans="1:27" ht="28.5" customHeight="1" thickBot="1" x14ac:dyDescent="0.3">
      <c r="A3" s="737"/>
      <c r="B3" s="738"/>
      <c r="C3" s="739"/>
      <c r="D3" s="348">
        <v>1</v>
      </c>
      <c r="E3" s="374">
        <v>2</v>
      </c>
      <c r="F3" s="373">
        <v>3</v>
      </c>
      <c r="G3" s="349">
        <v>4</v>
      </c>
      <c r="H3" s="349">
        <v>5</v>
      </c>
      <c r="I3" s="349">
        <v>6</v>
      </c>
      <c r="J3" s="349">
        <v>7</v>
      </c>
      <c r="K3" s="349">
        <v>8</v>
      </c>
      <c r="L3" s="349">
        <v>9</v>
      </c>
      <c r="M3" s="349">
        <v>10</v>
      </c>
      <c r="N3" s="349">
        <v>11</v>
      </c>
      <c r="O3" s="349">
        <v>12</v>
      </c>
      <c r="P3" s="349">
        <v>13</v>
      </c>
      <c r="Q3" s="349">
        <v>14</v>
      </c>
      <c r="R3" s="349">
        <v>15</v>
      </c>
      <c r="S3" s="349">
        <v>16</v>
      </c>
      <c r="T3" s="349">
        <v>17</v>
      </c>
      <c r="U3" s="349">
        <v>18</v>
      </c>
      <c r="V3" s="374">
        <v>19</v>
      </c>
      <c r="W3" s="373">
        <v>20</v>
      </c>
      <c r="X3" s="374">
        <v>21</v>
      </c>
      <c r="Y3" s="348">
        <v>22</v>
      </c>
      <c r="Z3" s="349">
        <v>23</v>
      </c>
      <c r="AA3" s="374">
        <v>24</v>
      </c>
    </row>
    <row r="4" spans="1:27" s="241" customFormat="1" ht="122.25" customHeight="1" thickBot="1" x14ac:dyDescent="0.3">
      <c r="A4" s="350" t="s">
        <v>545</v>
      </c>
      <c r="B4" s="361" t="s">
        <v>544</v>
      </c>
      <c r="C4" s="351" t="s">
        <v>543</v>
      </c>
      <c r="D4" s="352" t="s">
        <v>502</v>
      </c>
      <c r="E4" s="375" t="s">
        <v>565</v>
      </c>
      <c r="F4" s="365" t="s">
        <v>566</v>
      </c>
      <c r="G4" s="353" t="s">
        <v>567</v>
      </c>
      <c r="H4" s="353" t="s">
        <v>423</v>
      </c>
      <c r="I4" s="353" t="s">
        <v>441</v>
      </c>
      <c r="J4" s="353" t="s">
        <v>442</v>
      </c>
      <c r="K4" s="353" t="s">
        <v>421</v>
      </c>
      <c r="L4" s="353" t="s">
        <v>474</v>
      </c>
      <c r="M4" s="353" t="s">
        <v>568</v>
      </c>
      <c r="N4" s="353" t="s">
        <v>422</v>
      </c>
      <c r="O4" s="353" t="s">
        <v>569</v>
      </c>
      <c r="P4" s="353" t="s">
        <v>583</v>
      </c>
      <c r="Q4" s="353" t="s">
        <v>443</v>
      </c>
      <c r="R4" s="353" t="s">
        <v>570</v>
      </c>
      <c r="S4" s="353" t="s">
        <v>584</v>
      </c>
      <c r="T4" s="353" t="s">
        <v>503</v>
      </c>
      <c r="U4" s="353" t="s">
        <v>446</v>
      </c>
      <c r="V4" s="375" t="s">
        <v>447</v>
      </c>
      <c r="W4" s="365" t="s">
        <v>504</v>
      </c>
      <c r="X4" s="375" t="s">
        <v>505</v>
      </c>
      <c r="Y4" s="352" t="s">
        <v>577</v>
      </c>
      <c r="Z4" s="353" t="s">
        <v>571</v>
      </c>
      <c r="AA4" s="375" t="s">
        <v>572</v>
      </c>
    </row>
    <row r="5" spans="1:27" s="235" customFormat="1" x14ac:dyDescent="0.2">
      <c r="A5" s="709" t="s">
        <v>757</v>
      </c>
      <c r="B5" s="740" t="s">
        <v>542</v>
      </c>
      <c r="C5" s="240" t="s">
        <v>578</v>
      </c>
      <c r="D5" s="238"/>
      <c r="E5" s="356"/>
      <c r="F5" s="366"/>
      <c r="G5" s="237"/>
      <c r="H5" s="237"/>
      <c r="I5" s="237"/>
      <c r="J5" s="237"/>
      <c r="K5" s="237" t="s">
        <v>510</v>
      </c>
      <c r="L5" s="239"/>
      <c r="M5" s="237" t="s">
        <v>510</v>
      </c>
      <c r="N5" s="237" t="s">
        <v>510</v>
      </c>
      <c r="O5" s="237"/>
      <c r="P5" s="237" t="s">
        <v>510</v>
      </c>
      <c r="Q5" s="237" t="s">
        <v>510</v>
      </c>
      <c r="R5" s="237"/>
      <c r="S5" s="237"/>
      <c r="T5" s="237"/>
      <c r="U5" s="237"/>
      <c r="V5" s="356"/>
      <c r="W5" s="366" t="s">
        <v>510</v>
      </c>
      <c r="X5" s="356"/>
      <c r="Y5" s="238" t="s">
        <v>510</v>
      </c>
      <c r="Z5" s="237"/>
      <c r="AA5" s="356" t="s">
        <v>510</v>
      </c>
    </row>
    <row r="6" spans="1:27" s="235" customFormat="1" x14ac:dyDescent="0.2">
      <c r="A6" s="710"/>
      <c r="B6" s="741"/>
      <c r="C6" s="372" t="s">
        <v>579</v>
      </c>
      <c r="D6" s="376"/>
      <c r="E6" s="357"/>
      <c r="F6" s="367"/>
      <c r="G6" s="354"/>
      <c r="H6" s="354"/>
      <c r="I6" s="354"/>
      <c r="J6" s="354"/>
      <c r="K6" s="354" t="s">
        <v>510</v>
      </c>
      <c r="L6" s="355"/>
      <c r="M6" s="354" t="s">
        <v>510</v>
      </c>
      <c r="N6" s="354" t="s">
        <v>510</v>
      </c>
      <c r="O6" s="354"/>
      <c r="P6" s="354" t="s">
        <v>510</v>
      </c>
      <c r="Q6" s="354" t="s">
        <v>510</v>
      </c>
      <c r="R6" s="354"/>
      <c r="S6" s="354"/>
      <c r="T6" s="354"/>
      <c r="U6" s="354"/>
      <c r="V6" s="357"/>
      <c r="W6" s="367" t="s">
        <v>510</v>
      </c>
      <c r="X6" s="357"/>
      <c r="Y6" s="376" t="s">
        <v>510</v>
      </c>
      <c r="Z6" s="354"/>
      <c r="AA6" s="357" t="s">
        <v>510</v>
      </c>
    </row>
    <row r="7" spans="1:27" s="235" customFormat="1" ht="29.25" customHeight="1" thickBot="1" x14ac:dyDescent="0.25">
      <c r="A7" s="711"/>
      <c r="B7" s="362" t="s">
        <v>541</v>
      </c>
      <c r="C7" s="236" t="s">
        <v>756</v>
      </c>
      <c r="D7" s="377"/>
      <c r="E7" s="359"/>
      <c r="F7" s="36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9"/>
      <c r="W7" s="368"/>
      <c r="X7" s="359"/>
      <c r="Y7" s="377"/>
      <c r="Z7" s="358"/>
      <c r="AA7" s="359"/>
    </row>
    <row r="8" spans="1:27" x14ac:dyDescent="0.25">
      <c r="A8" s="716" t="s">
        <v>540</v>
      </c>
      <c r="B8" s="728" t="s">
        <v>539</v>
      </c>
      <c r="C8" s="344" t="s">
        <v>538</v>
      </c>
      <c r="D8" s="230"/>
      <c r="E8" s="360"/>
      <c r="F8" s="369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60"/>
      <c r="W8" s="369"/>
      <c r="X8" s="360"/>
      <c r="Y8" s="230"/>
      <c r="Z8" s="347"/>
      <c r="AA8" s="360"/>
    </row>
    <row r="9" spans="1:27" x14ac:dyDescent="0.25">
      <c r="A9" s="717"/>
      <c r="B9" s="729"/>
      <c r="C9" s="234" t="s">
        <v>537</v>
      </c>
      <c r="D9" s="233"/>
      <c r="E9" s="231"/>
      <c r="F9" s="370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1"/>
      <c r="W9" s="370"/>
      <c r="X9" s="231"/>
      <c r="Y9" s="233"/>
      <c r="Z9" s="232"/>
      <c r="AA9" s="231"/>
    </row>
    <row r="10" spans="1:27" x14ac:dyDescent="0.25">
      <c r="A10" s="717"/>
      <c r="B10" s="729"/>
      <c r="C10" s="234" t="s">
        <v>509</v>
      </c>
      <c r="D10" s="233"/>
      <c r="E10" s="231"/>
      <c r="F10" s="370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1"/>
      <c r="W10" s="370"/>
      <c r="X10" s="231"/>
      <c r="Y10" s="233"/>
      <c r="Z10" s="232"/>
      <c r="AA10" s="231"/>
    </row>
    <row r="11" spans="1:27" x14ac:dyDescent="0.25">
      <c r="A11" s="717"/>
      <c r="B11" s="730" t="s">
        <v>536</v>
      </c>
      <c r="C11" s="234" t="s">
        <v>535</v>
      </c>
      <c r="D11" s="233"/>
      <c r="E11" s="231"/>
      <c r="F11" s="370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1"/>
      <c r="W11" s="370"/>
      <c r="X11" s="231"/>
      <c r="Y11" s="233"/>
      <c r="Z11" s="232"/>
      <c r="AA11" s="231"/>
    </row>
    <row r="12" spans="1:27" x14ac:dyDescent="0.25">
      <c r="A12" s="717"/>
      <c r="B12" s="730"/>
      <c r="C12" s="234" t="s">
        <v>533</v>
      </c>
      <c r="D12" s="233"/>
      <c r="E12" s="231"/>
      <c r="F12" s="370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1"/>
      <c r="W12" s="370"/>
      <c r="X12" s="231"/>
      <c r="Y12" s="233"/>
      <c r="Z12" s="232"/>
      <c r="AA12" s="231"/>
    </row>
    <row r="13" spans="1:27" x14ac:dyDescent="0.25">
      <c r="A13" s="717"/>
      <c r="B13" s="730"/>
      <c r="C13" s="234" t="s">
        <v>528</v>
      </c>
      <c r="D13" s="233"/>
      <c r="E13" s="231"/>
      <c r="F13" s="370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1"/>
      <c r="W13" s="370"/>
      <c r="X13" s="231" t="s">
        <v>510</v>
      </c>
      <c r="Y13" s="233"/>
      <c r="Z13" s="232"/>
      <c r="AA13" s="231" t="s">
        <v>510</v>
      </c>
    </row>
    <row r="14" spans="1:27" ht="19.5" customHeight="1" x14ac:dyDescent="0.25">
      <c r="A14" s="717"/>
      <c r="B14" s="363" t="s">
        <v>534</v>
      </c>
      <c r="C14" s="234" t="s">
        <v>533</v>
      </c>
      <c r="D14" s="233"/>
      <c r="E14" s="231"/>
      <c r="F14" s="370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1"/>
      <c r="W14" s="370"/>
      <c r="X14" s="231"/>
      <c r="Y14" s="233"/>
      <c r="Z14" s="232"/>
      <c r="AA14" s="231"/>
    </row>
    <row r="15" spans="1:27" ht="19.5" customHeight="1" thickBot="1" x14ac:dyDescent="0.3">
      <c r="A15" s="718"/>
      <c r="B15" s="338" t="s">
        <v>11</v>
      </c>
      <c r="C15" s="345" t="s">
        <v>746</v>
      </c>
      <c r="D15" s="229"/>
      <c r="E15" s="227"/>
      <c r="F15" s="371"/>
      <c r="G15" s="228"/>
      <c r="H15" s="228"/>
      <c r="I15" s="228"/>
      <c r="J15" s="228"/>
      <c r="K15" s="228" t="s">
        <v>510</v>
      </c>
      <c r="L15" s="228"/>
      <c r="M15" s="228" t="s">
        <v>510</v>
      </c>
      <c r="N15" s="228" t="s">
        <v>510</v>
      </c>
      <c r="O15" s="228"/>
      <c r="P15" s="228" t="s">
        <v>510</v>
      </c>
      <c r="Q15" s="228"/>
      <c r="R15" s="228"/>
      <c r="S15" s="228" t="s">
        <v>510</v>
      </c>
      <c r="T15" s="228"/>
      <c r="U15" s="228"/>
      <c r="V15" s="227"/>
      <c r="W15" s="371"/>
      <c r="X15" s="227"/>
      <c r="Y15" s="229"/>
      <c r="Z15" s="228"/>
      <c r="AA15" s="227" t="s">
        <v>510</v>
      </c>
    </row>
    <row r="16" spans="1:27" ht="30" customHeight="1" x14ac:dyDescent="0.25">
      <c r="A16" s="716" t="s">
        <v>626</v>
      </c>
      <c r="B16" s="364" t="s">
        <v>628</v>
      </c>
      <c r="C16" s="344" t="s">
        <v>512</v>
      </c>
      <c r="D16" s="230"/>
      <c r="E16" s="360"/>
      <c r="F16" s="369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60"/>
      <c r="W16" s="369"/>
      <c r="X16" s="360"/>
      <c r="Y16" s="230"/>
      <c r="Z16" s="347"/>
      <c r="AA16" s="360"/>
    </row>
    <row r="17" spans="1:27" ht="19.5" customHeight="1" x14ac:dyDescent="0.25">
      <c r="A17" s="717"/>
      <c r="B17" s="729" t="s">
        <v>629</v>
      </c>
      <c r="C17" s="234" t="s">
        <v>512</v>
      </c>
      <c r="D17" s="233"/>
      <c r="E17" s="231"/>
      <c r="F17" s="370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1"/>
      <c r="W17" s="370"/>
      <c r="X17" s="231"/>
      <c r="Y17" s="233"/>
      <c r="Z17" s="232"/>
      <c r="AA17" s="231"/>
    </row>
    <row r="18" spans="1:27" ht="19.5" customHeight="1" x14ac:dyDescent="0.25">
      <c r="A18" s="717"/>
      <c r="B18" s="729"/>
      <c r="C18" s="234" t="s">
        <v>526</v>
      </c>
      <c r="D18" s="233"/>
      <c r="E18" s="231"/>
      <c r="F18" s="370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1"/>
      <c r="W18" s="370"/>
      <c r="X18" s="231"/>
      <c r="Y18" s="233"/>
      <c r="Z18" s="232"/>
      <c r="AA18" s="231"/>
    </row>
    <row r="19" spans="1:27" ht="19.5" customHeight="1" x14ac:dyDescent="0.25">
      <c r="A19" s="717"/>
      <c r="B19" s="730" t="s">
        <v>627</v>
      </c>
      <c r="C19" s="234" t="s">
        <v>630</v>
      </c>
      <c r="D19" s="233"/>
      <c r="E19" s="231"/>
      <c r="F19" s="370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1"/>
      <c r="W19" s="370"/>
      <c r="X19" s="231"/>
      <c r="Y19" s="233"/>
      <c r="Z19" s="232"/>
      <c r="AA19" s="231"/>
    </row>
    <row r="20" spans="1:27" ht="19.5" customHeight="1" x14ac:dyDescent="0.25">
      <c r="A20" s="717"/>
      <c r="B20" s="730"/>
      <c r="C20" s="234" t="s">
        <v>631</v>
      </c>
      <c r="D20" s="233"/>
      <c r="E20" s="231"/>
      <c r="F20" s="370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1"/>
      <c r="W20" s="370"/>
      <c r="X20" s="231"/>
      <c r="Y20" s="233"/>
      <c r="Z20" s="232"/>
      <c r="AA20" s="231"/>
    </row>
    <row r="21" spans="1:27" ht="19.5" customHeight="1" x14ac:dyDescent="0.25">
      <c r="A21" s="717"/>
      <c r="B21" s="730"/>
      <c r="C21" s="234" t="s">
        <v>632</v>
      </c>
      <c r="D21" s="233"/>
      <c r="E21" s="231"/>
      <c r="F21" s="370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1"/>
      <c r="W21" s="370"/>
      <c r="X21" s="231"/>
      <c r="Y21" s="233"/>
      <c r="Z21" s="232"/>
      <c r="AA21" s="231"/>
    </row>
    <row r="22" spans="1:27" ht="19.5" customHeight="1" thickBot="1" x14ac:dyDescent="0.3">
      <c r="A22" s="718"/>
      <c r="B22" s="338" t="s">
        <v>11</v>
      </c>
      <c r="C22" s="345" t="s">
        <v>746</v>
      </c>
      <c r="D22" s="229" t="s">
        <v>510</v>
      </c>
      <c r="E22" s="227" t="s">
        <v>510</v>
      </c>
      <c r="F22" s="371" t="s">
        <v>510</v>
      </c>
      <c r="G22" s="228" t="s">
        <v>510</v>
      </c>
      <c r="H22" s="228" t="s">
        <v>510</v>
      </c>
      <c r="I22" s="228" t="s">
        <v>510</v>
      </c>
      <c r="J22" s="228" t="s">
        <v>510</v>
      </c>
      <c r="K22" s="228"/>
      <c r="L22" s="228"/>
      <c r="M22" s="228"/>
      <c r="N22" s="228"/>
      <c r="O22" s="228"/>
      <c r="P22" s="228"/>
      <c r="Q22" s="228" t="s">
        <v>510</v>
      </c>
      <c r="R22" s="228"/>
      <c r="S22" s="228"/>
      <c r="T22" s="228"/>
      <c r="U22" s="228"/>
      <c r="V22" s="227"/>
      <c r="W22" s="371" t="s">
        <v>510</v>
      </c>
      <c r="X22" s="227"/>
      <c r="Y22" s="229"/>
      <c r="Z22" s="228"/>
      <c r="AA22" s="227"/>
    </row>
    <row r="23" spans="1:27" x14ac:dyDescent="0.25">
      <c r="A23" s="712" t="s">
        <v>532</v>
      </c>
      <c r="B23" s="723" t="s">
        <v>531</v>
      </c>
      <c r="C23" s="344" t="s">
        <v>530</v>
      </c>
      <c r="D23" s="230" t="s">
        <v>510</v>
      </c>
      <c r="E23" s="360"/>
      <c r="F23" s="369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60"/>
      <c r="W23" s="369"/>
      <c r="X23" s="360"/>
      <c r="Y23" s="230"/>
      <c r="Z23" s="347"/>
      <c r="AA23" s="360"/>
    </row>
    <row r="24" spans="1:27" x14ac:dyDescent="0.25">
      <c r="A24" s="712"/>
      <c r="B24" s="725"/>
      <c r="C24" s="234" t="s">
        <v>529</v>
      </c>
      <c r="D24" s="233"/>
      <c r="E24" s="231"/>
      <c r="F24" s="370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1"/>
      <c r="W24" s="370"/>
      <c r="X24" s="231"/>
      <c r="Y24" s="233"/>
      <c r="Z24" s="232"/>
      <c r="AA24" s="231"/>
    </row>
    <row r="25" spans="1:27" x14ac:dyDescent="0.25">
      <c r="A25" s="712"/>
      <c r="B25" s="725"/>
      <c r="C25" s="234" t="s">
        <v>528</v>
      </c>
      <c r="D25" s="233"/>
      <c r="E25" s="231"/>
      <c r="F25" s="370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1"/>
      <c r="W25" s="370"/>
      <c r="X25" s="231"/>
      <c r="Y25" s="233"/>
      <c r="Z25" s="232"/>
      <c r="AA25" s="231"/>
    </row>
    <row r="26" spans="1:27" x14ac:dyDescent="0.25">
      <c r="A26" s="712"/>
      <c r="B26" s="725" t="s">
        <v>527</v>
      </c>
      <c r="C26" s="234" t="s">
        <v>526</v>
      </c>
      <c r="D26" s="233"/>
      <c r="E26" s="231"/>
      <c r="F26" s="370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1"/>
      <c r="W26" s="370"/>
      <c r="X26" s="231"/>
      <c r="Y26" s="233"/>
      <c r="Z26" s="232"/>
      <c r="AA26" s="231"/>
    </row>
    <row r="27" spans="1:27" x14ac:dyDescent="0.25">
      <c r="A27" s="712"/>
      <c r="B27" s="725"/>
      <c r="C27" s="234" t="s">
        <v>760</v>
      </c>
      <c r="D27" s="233" t="s">
        <v>510</v>
      </c>
      <c r="E27" s="231"/>
      <c r="F27" s="370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1"/>
      <c r="W27" s="370"/>
      <c r="X27" s="231"/>
      <c r="Y27" s="233"/>
      <c r="Z27" s="232"/>
      <c r="AA27" s="231"/>
    </row>
    <row r="28" spans="1:27" ht="15.75" thickBot="1" x14ac:dyDescent="0.3">
      <c r="A28" s="713"/>
      <c r="B28" s="724"/>
      <c r="C28" s="345" t="s">
        <v>525</v>
      </c>
      <c r="D28" s="229"/>
      <c r="E28" s="227"/>
      <c r="F28" s="371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7"/>
      <c r="W28" s="371"/>
      <c r="X28" s="227"/>
      <c r="Y28" s="229"/>
      <c r="Z28" s="228"/>
      <c r="AA28" s="227"/>
    </row>
    <row r="29" spans="1:27" x14ac:dyDescent="0.25">
      <c r="A29" s="744" t="s">
        <v>524</v>
      </c>
      <c r="B29" s="726" t="s">
        <v>523</v>
      </c>
      <c r="C29" s="344" t="s">
        <v>522</v>
      </c>
      <c r="D29" s="230"/>
      <c r="E29" s="360"/>
      <c r="F29" s="369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 t="s">
        <v>510</v>
      </c>
      <c r="U29" s="347"/>
      <c r="V29" s="360"/>
      <c r="W29" s="369" t="s">
        <v>510</v>
      </c>
      <c r="X29" s="360"/>
      <c r="Y29" s="230" t="s">
        <v>510</v>
      </c>
      <c r="Z29" s="347"/>
      <c r="AA29" s="360"/>
    </row>
    <row r="30" spans="1:27" x14ac:dyDescent="0.25">
      <c r="A30" s="744"/>
      <c r="B30" s="727"/>
      <c r="C30" s="234" t="s">
        <v>521</v>
      </c>
      <c r="D30" s="233" t="s">
        <v>510</v>
      </c>
      <c r="E30" s="231" t="s">
        <v>510</v>
      </c>
      <c r="F30" s="370" t="s">
        <v>510</v>
      </c>
      <c r="G30" s="232" t="s">
        <v>510</v>
      </c>
      <c r="H30" s="232" t="s">
        <v>510</v>
      </c>
      <c r="I30" s="232" t="s">
        <v>510</v>
      </c>
      <c r="J30" s="232" t="s">
        <v>510</v>
      </c>
      <c r="K30" s="232"/>
      <c r="L30" s="232"/>
      <c r="M30" s="232" t="s">
        <v>510</v>
      </c>
      <c r="N30" s="232" t="s">
        <v>510</v>
      </c>
      <c r="O30" s="232" t="s">
        <v>510</v>
      </c>
      <c r="P30" s="232" t="s">
        <v>510</v>
      </c>
      <c r="Q30" s="232" t="s">
        <v>510</v>
      </c>
      <c r="R30" s="232" t="s">
        <v>510</v>
      </c>
      <c r="S30" s="232" t="s">
        <v>510</v>
      </c>
      <c r="T30" s="232" t="s">
        <v>510</v>
      </c>
      <c r="U30" s="232" t="s">
        <v>510</v>
      </c>
      <c r="V30" s="231" t="s">
        <v>510</v>
      </c>
      <c r="W30" s="370" t="s">
        <v>510</v>
      </c>
      <c r="X30" s="231" t="s">
        <v>510</v>
      </c>
      <c r="Y30" s="233" t="s">
        <v>510</v>
      </c>
      <c r="Z30" s="232" t="s">
        <v>510</v>
      </c>
      <c r="AA30" s="231" t="s">
        <v>510</v>
      </c>
    </row>
    <row r="31" spans="1:27" x14ac:dyDescent="0.25">
      <c r="A31" s="744"/>
      <c r="B31" s="727"/>
      <c r="C31" s="234" t="s">
        <v>520</v>
      </c>
      <c r="D31" s="233" t="s">
        <v>510</v>
      </c>
      <c r="E31" s="231" t="s">
        <v>510</v>
      </c>
      <c r="F31" s="370" t="s">
        <v>510</v>
      </c>
      <c r="G31" s="232" t="s">
        <v>510</v>
      </c>
      <c r="H31" s="232" t="s">
        <v>510</v>
      </c>
      <c r="I31" s="232" t="s">
        <v>510</v>
      </c>
      <c r="J31" s="232" t="s">
        <v>510</v>
      </c>
      <c r="K31" s="232" t="s">
        <v>510</v>
      </c>
      <c r="L31" s="232" t="s">
        <v>510</v>
      </c>
      <c r="M31" s="232" t="s">
        <v>510</v>
      </c>
      <c r="N31" s="232" t="s">
        <v>510</v>
      </c>
      <c r="O31" s="232" t="s">
        <v>510</v>
      </c>
      <c r="P31" s="232" t="s">
        <v>510</v>
      </c>
      <c r="Q31" s="232" t="s">
        <v>510</v>
      </c>
      <c r="R31" s="232" t="s">
        <v>510</v>
      </c>
      <c r="S31" s="232" t="s">
        <v>510</v>
      </c>
      <c r="T31" s="232" t="s">
        <v>510</v>
      </c>
      <c r="U31" s="232" t="s">
        <v>510</v>
      </c>
      <c r="V31" s="231" t="s">
        <v>510</v>
      </c>
      <c r="W31" s="370" t="s">
        <v>510</v>
      </c>
      <c r="X31" s="231" t="s">
        <v>510</v>
      </c>
      <c r="Y31" s="233" t="s">
        <v>510</v>
      </c>
      <c r="Z31" s="232" t="s">
        <v>510</v>
      </c>
      <c r="AA31" s="231" t="s">
        <v>510</v>
      </c>
    </row>
    <row r="32" spans="1:27" x14ac:dyDescent="0.25">
      <c r="A32" s="744"/>
      <c r="B32" s="727"/>
      <c r="C32" s="234" t="s">
        <v>519</v>
      </c>
      <c r="D32" s="233"/>
      <c r="E32" s="231"/>
      <c r="F32" s="370" t="s">
        <v>510</v>
      </c>
      <c r="G32" s="232"/>
      <c r="H32" s="232"/>
      <c r="I32" s="232"/>
      <c r="J32" s="232"/>
      <c r="K32" s="232"/>
      <c r="L32" s="232" t="s">
        <v>510</v>
      </c>
      <c r="M32" s="232"/>
      <c r="N32" s="232"/>
      <c r="O32" s="232"/>
      <c r="P32" s="232"/>
      <c r="Q32" s="232"/>
      <c r="R32" s="232"/>
      <c r="S32" s="232"/>
      <c r="T32" s="232"/>
      <c r="U32" s="232"/>
      <c r="V32" s="231"/>
      <c r="W32" s="370" t="s">
        <v>510</v>
      </c>
      <c r="X32" s="231"/>
      <c r="Y32" s="233"/>
      <c r="Z32" s="232" t="s">
        <v>510</v>
      </c>
      <c r="AA32" s="231" t="s">
        <v>510</v>
      </c>
    </row>
    <row r="33" spans="1:27" x14ac:dyDescent="0.25">
      <c r="A33" s="744"/>
      <c r="B33" s="727"/>
      <c r="C33" s="234" t="s">
        <v>518</v>
      </c>
      <c r="D33" s="233"/>
      <c r="E33" s="231"/>
      <c r="F33" s="370" t="s">
        <v>510</v>
      </c>
      <c r="G33" s="232" t="s">
        <v>510</v>
      </c>
      <c r="H33" s="232" t="s">
        <v>510</v>
      </c>
      <c r="I33" s="232" t="s">
        <v>510</v>
      </c>
      <c r="J33" s="232" t="s">
        <v>510</v>
      </c>
      <c r="K33" s="232" t="s">
        <v>510</v>
      </c>
      <c r="L33" s="232" t="s">
        <v>510</v>
      </c>
      <c r="M33" s="232" t="s">
        <v>510</v>
      </c>
      <c r="N33" s="232" t="s">
        <v>510</v>
      </c>
      <c r="O33" s="232" t="s">
        <v>510</v>
      </c>
      <c r="P33" s="232" t="s">
        <v>510</v>
      </c>
      <c r="Q33" s="232"/>
      <c r="R33" s="232" t="s">
        <v>510</v>
      </c>
      <c r="S33" s="232" t="s">
        <v>510</v>
      </c>
      <c r="T33" s="232" t="s">
        <v>510</v>
      </c>
      <c r="U33" s="232" t="s">
        <v>510</v>
      </c>
      <c r="V33" s="231" t="s">
        <v>510</v>
      </c>
      <c r="W33" s="370" t="s">
        <v>510</v>
      </c>
      <c r="X33" s="231" t="s">
        <v>510</v>
      </c>
      <c r="Y33" s="233" t="s">
        <v>510</v>
      </c>
      <c r="Z33" s="232" t="s">
        <v>510</v>
      </c>
      <c r="AA33" s="231" t="s">
        <v>510</v>
      </c>
    </row>
    <row r="34" spans="1:27" ht="28.5" customHeight="1" x14ac:dyDescent="0.25">
      <c r="A34" s="744"/>
      <c r="B34" s="246" t="s">
        <v>517</v>
      </c>
      <c r="C34" s="234" t="s">
        <v>516</v>
      </c>
      <c r="D34" s="233"/>
      <c r="E34" s="231"/>
      <c r="F34" s="370"/>
      <c r="G34" s="232"/>
      <c r="H34" s="232"/>
      <c r="I34" s="232"/>
      <c r="J34" s="232"/>
      <c r="K34" s="232"/>
      <c r="L34" s="232"/>
      <c r="M34" s="232"/>
      <c r="N34" s="232"/>
      <c r="O34" s="232" t="s">
        <v>510</v>
      </c>
      <c r="P34" s="232"/>
      <c r="Q34" s="232"/>
      <c r="R34" s="232"/>
      <c r="S34" s="232"/>
      <c r="T34" s="232" t="s">
        <v>510</v>
      </c>
      <c r="U34" s="232" t="s">
        <v>510</v>
      </c>
      <c r="V34" s="231" t="s">
        <v>510</v>
      </c>
      <c r="W34" s="370" t="s">
        <v>510</v>
      </c>
      <c r="X34" s="231"/>
      <c r="Y34" s="233" t="s">
        <v>510</v>
      </c>
      <c r="Z34" s="232"/>
      <c r="AA34" s="231"/>
    </row>
    <row r="35" spans="1:27" ht="15.75" thickBot="1" x14ac:dyDescent="0.3">
      <c r="A35" s="745"/>
      <c r="B35" s="346" t="s">
        <v>515</v>
      </c>
      <c r="C35" s="345" t="s">
        <v>514</v>
      </c>
      <c r="D35" s="229"/>
      <c r="E35" s="227"/>
      <c r="F35" s="371" t="s">
        <v>510</v>
      </c>
      <c r="G35" s="228" t="s">
        <v>510</v>
      </c>
      <c r="H35" s="228" t="s">
        <v>510</v>
      </c>
      <c r="I35" s="228" t="s">
        <v>510</v>
      </c>
      <c r="J35" s="228" t="s">
        <v>510</v>
      </c>
      <c r="K35" s="228"/>
      <c r="L35" s="228" t="s">
        <v>510</v>
      </c>
      <c r="M35" s="228" t="s">
        <v>510</v>
      </c>
      <c r="N35" s="228" t="s">
        <v>510</v>
      </c>
      <c r="O35" s="228" t="s">
        <v>510</v>
      </c>
      <c r="P35" s="228" t="s">
        <v>510</v>
      </c>
      <c r="Q35" s="228" t="s">
        <v>510</v>
      </c>
      <c r="R35" s="228" t="s">
        <v>510</v>
      </c>
      <c r="S35" s="228" t="s">
        <v>510</v>
      </c>
      <c r="T35" s="228" t="s">
        <v>510</v>
      </c>
      <c r="U35" s="228"/>
      <c r="V35" s="227"/>
      <c r="W35" s="371" t="s">
        <v>510</v>
      </c>
      <c r="X35" s="227" t="s">
        <v>510</v>
      </c>
      <c r="Y35" s="229"/>
      <c r="Z35" s="228" t="s">
        <v>510</v>
      </c>
      <c r="AA35" s="227" t="s">
        <v>510</v>
      </c>
    </row>
    <row r="36" spans="1:27" ht="15.75" customHeight="1" x14ac:dyDescent="0.25">
      <c r="A36" s="742" t="s">
        <v>758</v>
      </c>
      <c r="B36" s="723" t="s">
        <v>513</v>
      </c>
      <c r="C36" s="344" t="s">
        <v>512</v>
      </c>
      <c r="D36" s="230"/>
      <c r="E36" s="360"/>
      <c r="F36" s="369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60"/>
      <c r="W36" s="369"/>
      <c r="X36" s="360"/>
      <c r="Y36" s="230"/>
      <c r="Z36" s="347"/>
      <c r="AA36" s="360"/>
    </row>
    <row r="37" spans="1:27" ht="15.75" thickBot="1" x14ac:dyDescent="0.3">
      <c r="A37" s="743"/>
      <c r="B37" s="724"/>
      <c r="C37" s="345" t="s">
        <v>511</v>
      </c>
      <c r="D37" s="229"/>
      <c r="E37" s="227"/>
      <c r="F37" s="371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7"/>
      <c r="W37" s="371"/>
      <c r="X37" s="227"/>
      <c r="Y37" s="229"/>
      <c r="Z37" s="228"/>
      <c r="AA37" s="227"/>
    </row>
  </sheetData>
  <mergeCells count="21">
    <mergeCell ref="Y2:AA2"/>
    <mergeCell ref="D1:AA1"/>
    <mergeCell ref="B36:B37"/>
    <mergeCell ref="B23:B25"/>
    <mergeCell ref="B26:B28"/>
    <mergeCell ref="B29:B33"/>
    <mergeCell ref="B8:B10"/>
    <mergeCell ref="B11:B13"/>
    <mergeCell ref="A1:C3"/>
    <mergeCell ref="B17:B18"/>
    <mergeCell ref="B19:B21"/>
    <mergeCell ref="F2:V2"/>
    <mergeCell ref="W2:X2"/>
    <mergeCell ref="B5:B6"/>
    <mergeCell ref="A36:A37"/>
    <mergeCell ref="A29:A35"/>
    <mergeCell ref="A5:A7"/>
    <mergeCell ref="A23:A28"/>
    <mergeCell ref="D2:E2"/>
    <mergeCell ref="A16:A22"/>
    <mergeCell ref="A8:A1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4D36-C49B-44FA-9BC6-524F35156215}">
  <sheetPr>
    <tabColor rgb="FF00B050"/>
  </sheetPr>
  <dimension ref="A2:AY341"/>
  <sheetViews>
    <sheetView topLeftCell="J180" zoomScale="55" zoomScaleNormal="55" workbookViewId="0">
      <selection activeCell="B159" sqref="B159"/>
    </sheetView>
  </sheetViews>
  <sheetFormatPr baseColWidth="10" defaultColWidth="11.42578125" defaultRowHeight="15" x14ac:dyDescent="0.25"/>
  <cols>
    <col min="1" max="1" width="20.85546875" customWidth="1"/>
    <col min="2" max="2" width="34.28515625" customWidth="1"/>
    <col min="3" max="3" width="27.42578125" style="224" customWidth="1"/>
    <col min="4" max="4" width="9.7109375" customWidth="1"/>
    <col min="5" max="5" width="29.85546875" customWidth="1"/>
    <col min="6" max="6" width="40.42578125" style="66" customWidth="1"/>
    <col min="8" max="8" width="29.42578125" bestFit="1" customWidth="1"/>
    <col min="9" max="9" width="37.28515625" style="66" customWidth="1"/>
    <col min="11" max="11" width="27.5703125" bestFit="1" customWidth="1"/>
    <col min="12" max="12" width="35.42578125" style="66" customWidth="1"/>
    <col min="14" max="14" width="27.5703125" bestFit="1" customWidth="1"/>
    <col min="15" max="15" width="32.5703125" style="66" customWidth="1"/>
    <col min="17" max="17" width="27.5703125" bestFit="1" customWidth="1"/>
    <col min="18" max="18" width="26.42578125" style="66" customWidth="1"/>
    <col min="20" max="20" width="27.5703125" bestFit="1" customWidth="1"/>
    <col min="21" max="21" width="33.140625" style="66" customWidth="1"/>
    <col min="23" max="23" width="27.5703125" bestFit="1" customWidth="1"/>
    <col min="24" max="24" width="26" style="66" customWidth="1"/>
    <col min="26" max="26" width="27.5703125" bestFit="1" customWidth="1"/>
    <col min="27" max="27" width="24.5703125" style="66" customWidth="1"/>
    <col min="29" max="29" width="27.5703125" bestFit="1" customWidth="1"/>
    <col min="30" max="30" width="21" style="66" customWidth="1"/>
    <col min="32" max="32" width="27.5703125" bestFit="1" customWidth="1"/>
    <col min="33" max="33" width="25.7109375" style="66" customWidth="1"/>
    <col min="35" max="35" width="27.5703125" bestFit="1" customWidth="1"/>
    <col min="36" max="36" width="20.7109375" style="66" bestFit="1" customWidth="1"/>
    <col min="38" max="38" width="27.5703125" bestFit="1" customWidth="1"/>
    <col min="39" max="39" width="22.5703125" style="66" customWidth="1"/>
    <col min="41" max="41" width="27.5703125" bestFit="1" customWidth="1"/>
    <col min="42" max="42" width="23.28515625" style="224" customWidth="1"/>
    <col min="44" max="44" width="27.5703125" bestFit="1" customWidth="1"/>
    <col min="45" max="45" width="23.28515625" style="224" customWidth="1"/>
    <col min="47" max="47" width="27.5703125" bestFit="1" customWidth="1"/>
    <col min="48" max="48" width="23" style="224" customWidth="1"/>
    <col min="50" max="50" width="25.7109375" bestFit="1" customWidth="1"/>
    <col min="51" max="51" width="23.140625" style="224" customWidth="1"/>
  </cols>
  <sheetData>
    <row r="2" spans="1:51" x14ac:dyDescent="0.25">
      <c r="B2" s="751"/>
      <c r="C2" s="688"/>
      <c r="D2" s="688"/>
    </row>
    <row r="3" spans="1:51" ht="15.75" thickBot="1" x14ac:dyDescent="0.3"/>
    <row r="4" spans="1:51" ht="58.5" customHeight="1" thickBot="1" x14ac:dyDescent="0.3">
      <c r="A4" s="292" t="s">
        <v>564</v>
      </c>
      <c r="B4" s="752" t="s">
        <v>779</v>
      </c>
      <c r="C4" s="753"/>
      <c r="D4" s="753"/>
      <c r="E4" s="753"/>
      <c r="F4" s="754"/>
    </row>
    <row r="5" spans="1:51" s="128" customFormat="1" ht="58.5" customHeight="1" thickBot="1" x14ac:dyDescent="0.3">
      <c r="A5" s="277"/>
      <c r="B5" s="291"/>
      <c r="C5" s="291"/>
      <c r="D5" s="291"/>
      <c r="E5" s="291"/>
      <c r="F5" s="291"/>
      <c r="I5" s="275"/>
      <c r="L5" s="275"/>
      <c r="O5" s="275"/>
      <c r="R5" s="275"/>
      <c r="U5" s="275"/>
      <c r="X5" s="275"/>
      <c r="AA5" s="275"/>
      <c r="AD5" s="275"/>
      <c r="AG5" s="275"/>
      <c r="AJ5" s="275"/>
      <c r="AM5" s="275"/>
      <c r="AP5" s="225"/>
      <c r="AS5" s="225"/>
      <c r="AV5" s="225"/>
      <c r="AY5" s="225"/>
    </row>
    <row r="6" spans="1:51" ht="40.5" customHeight="1" thickBot="1" x14ac:dyDescent="0.3">
      <c r="A6" s="755">
        <v>1</v>
      </c>
      <c r="B6" s="758" t="str">
        <f>'Matriz de identificación'!D4</f>
        <v>Aforo o estudio de cargas</v>
      </c>
      <c r="C6" s="759"/>
      <c r="D6" s="759"/>
      <c r="E6" s="759"/>
      <c r="F6" s="759"/>
      <c r="G6" s="263"/>
      <c r="H6" s="263"/>
      <c r="I6" s="263"/>
      <c r="J6" s="465"/>
      <c r="K6" s="263"/>
      <c r="L6" s="263"/>
      <c r="M6" s="465"/>
      <c r="N6" s="263"/>
      <c r="O6" s="263"/>
      <c r="P6" s="466"/>
      <c r="R6"/>
      <c r="S6" s="224"/>
      <c r="U6"/>
      <c r="X6"/>
      <c r="AA6"/>
      <c r="AD6"/>
      <c r="AG6"/>
      <c r="AJ6"/>
      <c r="AM6"/>
      <c r="AP6"/>
      <c r="AS6"/>
      <c r="AV6"/>
      <c r="AY6"/>
    </row>
    <row r="7" spans="1:51" ht="17.25" customHeight="1" x14ac:dyDescent="0.25">
      <c r="A7" s="756"/>
      <c r="B7" s="290" t="s">
        <v>563</v>
      </c>
      <c r="C7" s="50" t="str">
        <f>'Matriz de identificación'!A29</f>
        <v>ANTROPOSFERICO</v>
      </c>
      <c r="D7" s="82"/>
      <c r="E7" s="255" t="s">
        <v>563</v>
      </c>
      <c r="F7" s="268" t="str">
        <f>'Matriz de identificación'!A29</f>
        <v>ANTROPOSFERICO</v>
      </c>
      <c r="G7" s="128"/>
      <c r="H7" s="255" t="s">
        <v>563</v>
      </c>
      <c r="I7" s="268" t="str">
        <f>'Matriz de identificación'!A23</f>
        <v>BIOSFERICO</v>
      </c>
      <c r="J7" s="428"/>
      <c r="K7" s="255" t="s">
        <v>563</v>
      </c>
      <c r="L7" s="268" t="str">
        <f>I7</f>
        <v>BIOSFERICO</v>
      </c>
      <c r="M7" s="428"/>
      <c r="N7" s="255" t="s">
        <v>563</v>
      </c>
      <c r="O7" s="268" t="str">
        <f>'Matriz de identificación'!A16</f>
        <v>HIDROSFÉRICO</v>
      </c>
      <c r="P7" s="467"/>
      <c r="R7"/>
      <c r="S7" s="224"/>
      <c r="U7"/>
      <c r="X7"/>
      <c r="AA7"/>
      <c r="AD7"/>
      <c r="AG7"/>
      <c r="AJ7"/>
      <c r="AM7"/>
      <c r="AP7"/>
      <c r="AS7"/>
      <c r="AV7"/>
      <c r="AY7"/>
    </row>
    <row r="8" spans="1:51" ht="17.25" customHeight="1" x14ac:dyDescent="0.25">
      <c r="A8" s="756"/>
      <c r="B8" s="289" t="s">
        <v>562</v>
      </c>
      <c r="C8" s="288" t="str">
        <f>'Matriz de identificación'!B29</f>
        <v>SOCIAL</v>
      </c>
      <c r="D8" s="82"/>
      <c r="E8" s="253" t="s">
        <v>562</v>
      </c>
      <c r="F8" s="267" t="str">
        <f>'Matriz de identificación'!B29</f>
        <v>SOCIAL</v>
      </c>
      <c r="G8" s="128"/>
      <c r="H8" s="253" t="s">
        <v>562</v>
      </c>
      <c r="I8" s="267" t="str">
        <f>'Matriz de identificación'!B23</f>
        <v>FLORA</v>
      </c>
      <c r="J8" s="428"/>
      <c r="K8" s="253" t="s">
        <v>562</v>
      </c>
      <c r="L8" s="267" t="str">
        <f>'Matriz de identificación'!B26</f>
        <v>FAUNA</v>
      </c>
      <c r="M8" s="428"/>
      <c r="N8" s="253" t="s">
        <v>562</v>
      </c>
      <c r="O8" s="267" t="str">
        <f>'Matriz de identificación'!B22</f>
        <v>RECURSOS</v>
      </c>
      <c r="P8" s="467"/>
      <c r="R8"/>
      <c r="S8" s="224"/>
      <c r="U8"/>
      <c r="X8"/>
      <c r="AA8"/>
      <c r="AD8"/>
      <c r="AG8"/>
      <c r="AJ8"/>
      <c r="AM8"/>
      <c r="AP8"/>
      <c r="AS8"/>
      <c r="AV8"/>
      <c r="AY8"/>
    </row>
    <row r="9" spans="1:51" ht="15" customHeight="1" x14ac:dyDescent="0.25">
      <c r="A9" s="756"/>
      <c r="B9" s="287" t="s">
        <v>561</v>
      </c>
      <c r="C9" s="425" t="str">
        <f>'Matriz de identificación'!C30</f>
        <v>Empleo</v>
      </c>
      <c r="D9" s="82"/>
      <c r="E9" s="251" t="s">
        <v>561</v>
      </c>
      <c r="F9" s="231" t="str">
        <f>'Matriz de identificación'!C31</f>
        <v>Organización</v>
      </c>
      <c r="G9" s="128"/>
      <c r="H9" s="251" t="s">
        <v>561</v>
      </c>
      <c r="I9" s="231" t="str">
        <f>'Matriz de identificación'!C23</f>
        <v>Cobertura</v>
      </c>
      <c r="J9" s="428"/>
      <c r="K9" s="251" t="s">
        <v>561</v>
      </c>
      <c r="L9" s="231" t="str">
        <f>'Matriz de identificación'!C27</f>
        <v>Hábitat</v>
      </c>
      <c r="M9" s="428"/>
      <c r="N9" s="251" t="s">
        <v>561</v>
      </c>
      <c r="O9" s="231" t="str">
        <f>'Matriz de identificación'!C22</f>
        <v>Disponibilidad</v>
      </c>
      <c r="P9" s="467"/>
      <c r="R9"/>
      <c r="S9" s="224"/>
      <c r="U9"/>
      <c r="X9"/>
      <c r="AA9"/>
      <c r="AD9"/>
      <c r="AG9"/>
      <c r="AJ9"/>
      <c r="AM9"/>
      <c r="AP9"/>
      <c r="AS9"/>
      <c r="AV9"/>
      <c r="AY9"/>
    </row>
    <row r="10" spans="1:51" ht="15" customHeight="1" x14ac:dyDescent="0.25">
      <c r="A10" s="756"/>
      <c r="B10" s="287" t="s">
        <v>560</v>
      </c>
      <c r="C10" s="425">
        <v>1</v>
      </c>
      <c r="D10" s="82"/>
      <c r="E10" s="251" t="s">
        <v>560</v>
      </c>
      <c r="F10" s="231">
        <v>1</v>
      </c>
      <c r="G10" s="128"/>
      <c r="H10" s="251" t="s">
        <v>560</v>
      </c>
      <c r="I10" s="231">
        <v>-1</v>
      </c>
      <c r="J10" s="428"/>
      <c r="K10" s="251" t="s">
        <v>560</v>
      </c>
      <c r="L10" s="231">
        <v>-1</v>
      </c>
      <c r="M10" s="428"/>
      <c r="N10" s="251" t="s">
        <v>560</v>
      </c>
      <c r="O10" s="231">
        <v>-1</v>
      </c>
      <c r="P10" s="467"/>
      <c r="R10"/>
      <c r="S10" s="224"/>
      <c r="U10"/>
      <c r="X10"/>
      <c r="AA10"/>
      <c r="AD10"/>
      <c r="AG10"/>
      <c r="AJ10"/>
      <c r="AM10"/>
      <c r="AP10"/>
      <c r="AS10"/>
      <c r="AV10"/>
      <c r="AY10"/>
    </row>
    <row r="11" spans="1:51" ht="15" customHeight="1" x14ac:dyDescent="0.25">
      <c r="A11" s="756"/>
      <c r="B11" s="287" t="s">
        <v>559</v>
      </c>
      <c r="C11" s="425">
        <v>2</v>
      </c>
      <c r="D11" s="82"/>
      <c r="E11" s="251" t="s">
        <v>559</v>
      </c>
      <c r="F11" s="231">
        <v>1</v>
      </c>
      <c r="G11" s="128"/>
      <c r="H11" s="251" t="s">
        <v>559</v>
      </c>
      <c r="I11" s="231">
        <v>2</v>
      </c>
      <c r="J11" s="428"/>
      <c r="K11" s="251" t="s">
        <v>559</v>
      </c>
      <c r="L11" s="231">
        <v>2</v>
      </c>
      <c r="M11" s="428"/>
      <c r="N11" s="251" t="s">
        <v>559</v>
      </c>
      <c r="O11" s="231">
        <v>1</v>
      </c>
      <c r="P11" s="467"/>
      <c r="R11"/>
      <c r="S11" s="224"/>
      <c r="U11"/>
      <c r="X11"/>
      <c r="AA11"/>
      <c r="AD11"/>
      <c r="AG11"/>
      <c r="AJ11"/>
      <c r="AM11"/>
      <c r="AP11"/>
      <c r="AS11"/>
      <c r="AV11"/>
      <c r="AY11"/>
    </row>
    <row r="12" spans="1:51" ht="15" customHeight="1" x14ac:dyDescent="0.25">
      <c r="A12" s="756"/>
      <c r="B12" s="287" t="s">
        <v>558</v>
      </c>
      <c r="C12" s="425">
        <v>1</v>
      </c>
      <c r="D12" s="82"/>
      <c r="E12" s="251" t="s">
        <v>558</v>
      </c>
      <c r="F12" s="231">
        <v>1</v>
      </c>
      <c r="G12" s="128"/>
      <c r="H12" s="251" t="s">
        <v>558</v>
      </c>
      <c r="I12" s="231">
        <v>3</v>
      </c>
      <c r="J12" s="428"/>
      <c r="K12" s="251" t="s">
        <v>558</v>
      </c>
      <c r="L12" s="231">
        <v>3</v>
      </c>
      <c r="M12" s="428"/>
      <c r="N12" s="251" t="s">
        <v>558</v>
      </c>
      <c r="O12" s="231">
        <v>3</v>
      </c>
      <c r="P12" s="467"/>
      <c r="R12"/>
      <c r="S12" s="224"/>
      <c r="U12"/>
      <c r="X12"/>
      <c r="AA12"/>
      <c r="AD12"/>
      <c r="AG12"/>
      <c r="AJ12"/>
      <c r="AM12"/>
      <c r="AP12"/>
      <c r="AS12"/>
      <c r="AV12"/>
      <c r="AY12"/>
    </row>
    <row r="13" spans="1:51" ht="15" customHeight="1" x14ac:dyDescent="0.25">
      <c r="A13" s="756"/>
      <c r="B13" s="287" t="s">
        <v>557</v>
      </c>
      <c r="C13" s="425">
        <v>2</v>
      </c>
      <c r="D13" s="82"/>
      <c r="E13" s="251" t="s">
        <v>557</v>
      </c>
      <c r="F13" s="231">
        <v>1</v>
      </c>
      <c r="G13" s="128"/>
      <c r="H13" s="251" t="s">
        <v>557</v>
      </c>
      <c r="I13" s="231">
        <v>1</v>
      </c>
      <c r="J13" s="428"/>
      <c r="K13" s="251" t="s">
        <v>557</v>
      </c>
      <c r="L13" s="231">
        <v>1</v>
      </c>
      <c r="M13" s="428"/>
      <c r="N13" s="251" t="s">
        <v>557</v>
      </c>
      <c r="O13" s="231">
        <v>1</v>
      </c>
      <c r="P13" s="467"/>
      <c r="R13"/>
      <c r="S13" s="224"/>
      <c r="U13"/>
      <c r="X13"/>
      <c r="AA13"/>
      <c r="AD13"/>
      <c r="AG13"/>
      <c r="AJ13"/>
      <c r="AM13"/>
      <c r="AP13"/>
      <c r="AS13"/>
      <c r="AV13"/>
      <c r="AY13"/>
    </row>
    <row r="14" spans="1:51" ht="15" customHeight="1" x14ac:dyDescent="0.25">
      <c r="A14" s="756"/>
      <c r="B14" s="287" t="s">
        <v>556</v>
      </c>
      <c r="C14" s="425">
        <v>2</v>
      </c>
      <c r="D14" s="82"/>
      <c r="E14" s="251" t="s">
        <v>556</v>
      </c>
      <c r="F14" s="231">
        <v>2</v>
      </c>
      <c r="G14" s="128"/>
      <c r="H14" s="251" t="s">
        <v>556</v>
      </c>
      <c r="I14" s="231">
        <v>2</v>
      </c>
      <c r="J14" s="428"/>
      <c r="K14" s="251" t="s">
        <v>556</v>
      </c>
      <c r="L14" s="231">
        <v>2</v>
      </c>
      <c r="M14" s="428"/>
      <c r="N14" s="251" t="s">
        <v>556</v>
      </c>
      <c r="O14" s="231">
        <v>2</v>
      </c>
      <c r="P14" s="467"/>
      <c r="R14"/>
      <c r="S14" s="224"/>
      <c r="U14"/>
      <c r="X14"/>
      <c r="AA14"/>
      <c r="AD14"/>
      <c r="AG14"/>
      <c r="AJ14"/>
      <c r="AM14"/>
      <c r="AP14"/>
      <c r="AS14"/>
      <c r="AV14"/>
      <c r="AY14"/>
    </row>
    <row r="15" spans="1:51" ht="15" customHeight="1" x14ac:dyDescent="0.25">
      <c r="A15" s="756"/>
      <c r="B15" s="287" t="s">
        <v>555</v>
      </c>
      <c r="C15" s="425">
        <v>0</v>
      </c>
      <c r="D15" s="82"/>
      <c r="E15" s="251" t="s">
        <v>555</v>
      </c>
      <c r="F15" s="231">
        <v>2</v>
      </c>
      <c r="G15" s="128"/>
      <c r="H15" s="251" t="s">
        <v>555</v>
      </c>
      <c r="I15" s="231">
        <v>2</v>
      </c>
      <c r="J15" s="428"/>
      <c r="K15" s="251" t="s">
        <v>555</v>
      </c>
      <c r="L15" s="231">
        <v>2</v>
      </c>
      <c r="M15" s="428"/>
      <c r="N15" s="251" t="s">
        <v>555</v>
      </c>
      <c r="O15" s="231">
        <v>2</v>
      </c>
      <c r="P15" s="467"/>
      <c r="R15"/>
      <c r="S15" s="224"/>
      <c r="U15"/>
      <c r="X15"/>
      <c r="AA15"/>
      <c r="AD15"/>
      <c r="AG15"/>
      <c r="AJ15"/>
      <c r="AM15"/>
      <c r="AP15"/>
      <c r="AS15"/>
      <c r="AV15"/>
      <c r="AY15"/>
    </row>
    <row r="16" spans="1:51" ht="15" customHeight="1" x14ac:dyDescent="0.25">
      <c r="A16" s="756"/>
      <c r="B16" s="287" t="s">
        <v>554</v>
      </c>
      <c r="C16" s="425">
        <v>0</v>
      </c>
      <c r="D16" s="82"/>
      <c r="E16" s="251" t="s">
        <v>554</v>
      </c>
      <c r="F16" s="231">
        <v>0</v>
      </c>
      <c r="G16" s="128"/>
      <c r="H16" s="251" t="s">
        <v>554</v>
      </c>
      <c r="I16" s="231">
        <v>1</v>
      </c>
      <c r="J16" s="428"/>
      <c r="K16" s="251" t="s">
        <v>554</v>
      </c>
      <c r="L16" s="231">
        <v>1</v>
      </c>
      <c r="M16" s="428"/>
      <c r="N16" s="251" t="s">
        <v>554</v>
      </c>
      <c r="O16" s="231">
        <v>1</v>
      </c>
      <c r="P16" s="467"/>
      <c r="R16"/>
      <c r="S16" s="224"/>
      <c r="U16"/>
      <c r="X16"/>
      <c r="AA16"/>
      <c r="AD16"/>
      <c r="AG16"/>
      <c r="AJ16"/>
      <c r="AM16"/>
      <c r="AP16"/>
      <c r="AS16"/>
      <c r="AV16"/>
      <c r="AY16"/>
    </row>
    <row r="17" spans="1:51" ht="15" customHeight="1" x14ac:dyDescent="0.25">
      <c r="A17" s="756"/>
      <c r="B17" s="287" t="s">
        <v>553</v>
      </c>
      <c r="C17" s="425">
        <v>0</v>
      </c>
      <c r="D17" s="82"/>
      <c r="E17" s="251" t="s">
        <v>553</v>
      </c>
      <c r="F17" s="231">
        <v>0</v>
      </c>
      <c r="G17" s="128"/>
      <c r="H17" s="251" t="s">
        <v>553</v>
      </c>
      <c r="I17" s="231">
        <v>1</v>
      </c>
      <c r="J17" s="428"/>
      <c r="K17" s="251" t="s">
        <v>553</v>
      </c>
      <c r="L17" s="231">
        <v>1</v>
      </c>
      <c r="M17" s="428"/>
      <c r="N17" s="251" t="s">
        <v>553</v>
      </c>
      <c r="O17" s="231">
        <v>1</v>
      </c>
      <c r="P17" s="467"/>
      <c r="R17"/>
      <c r="S17" s="224"/>
      <c r="U17"/>
      <c r="X17"/>
      <c r="AA17"/>
      <c r="AD17"/>
      <c r="AG17"/>
      <c r="AJ17"/>
      <c r="AM17"/>
      <c r="AP17"/>
      <c r="AS17"/>
      <c r="AV17"/>
      <c r="AY17"/>
    </row>
    <row r="18" spans="1:51" ht="15.75" customHeight="1" thickBot="1" x14ac:dyDescent="0.3">
      <c r="A18" s="757"/>
      <c r="B18" s="286" t="s">
        <v>552</v>
      </c>
      <c r="C18" s="249">
        <f>C10*((SUM(C11:C17)))</f>
        <v>7</v>
      </c>
      <c r="D18" s="285"/>
      <c r="E18" s="250" t="s">
        <v>552</v>
      </c>
      <c r="F18" s="249">
        <f>F10*((SUM(F11:F17)))</f>
        <v>7</v>
      </c>
      <c r="G18" s="248"/>
      <c r="H18" s="250" t="s">
        <v>552</v>
      </c>
      <c r="I18" s="249">
        <f>I10*((SUM(I11:I17)))</f>
        <v>-12</v>
      </c>
      <c r="J18" s="468"/>
      <c r="K18" s="250" t="s">
        <v>552</v>
      </c>
      <c r="L18" s="249">
        <f>L10*((SUM(L11:L17)))</f>
        <v>-12</v>
      </c>
      <c r="M18" s="468"/>
      <c r="N18" s="250" t="s">
        <v>552</v>
      </c>
      <c r="O18" s="249">
        <f>O10*((SUM(O11:O17)))</f>
        <v>-11</v>
      </c>
      <c r="P18" s="469"/>
      <c r="R18"/>
      <c r="S18" s="224"/>
      <c r="U18"/>
      <c r="X18"/>
      <c r="AA18"/>
      <c r="AD18"/>
      <c r="AG18"/>
      <c r="AJ18"/>
      <c r="AM18"/>
      <c r="AP18"/>
      <c r="AS18"/>
      <c r="AV18"/>
      <c r="AY18"/>
    </row>
    <row r="19" spans="1:51" ht="34.5" thickBot="1" x14ac:dyDescent="0.3">
      <c r="A19" s="277"/>
      <c r="B19" s="276"/>
      <c r="C19" s="225"/>
      <c r="D19" s="128"/>
    </row>
    <row r="20" spans="1:51" ht="40.5" customHeight="1" thickBot="1" x14ac:dyDescent="0.3">
      <c r="A20" s="760">
        <v>2</v>
      </c>
      <c r="B20" s="750" t="str">
        <f>'Matriz de identificación'!E4</f>
        <v>Determinación o alcance del proyecto</v>
      </c>
      <c r="C20" s="750"/>
      <c r="D20" s="750"/>
      <c r="E20" s="750"/>
      <c r="F20" s="750"/>
      <c r="G20" s="263"/>
      <c r="H20" s="263"/>
      <c r="I20" s="263"/>
      <c r="J20" s="262"/>
      <c r="L20"/>
      <c r="M20" s="66"/>
      <c r="O20"/>
      <c r="P20" s="66"/>
      <c r="R20"/>
      <c r="S20" s="66"/>
      <c r="U20"/>
      <c r="V20" s="224"/>
      <c r="X20"/>
      <c r="Y20" s="224"/>
      <c r="AA20"/>
      <c r="AB20" s="224"/>
      <c r="AD20"/>
      <c r="AE20" s="224"/>
      <c r="AG20"/>
      <c r="AJ20"/>
      <c r="AM20"/>
      <c r="AP20"/>
      <c r="AS20"/>
      <c r="AV20"/>
      <c r="AY20"/>
    </row>
    <row r="21" spans="1:51" ht="18" customHeight="1" x14ac:dyDescent="0.25">
      <c r="A21" s="761"/>
      <c r="B21" s="273" t="s">
        <v>563</v>
      </c>
      <c r="C21" s="268" t="str">
        <f>'Matriz de identificación'!A29</f>
        <v>ANTROPOSFERICO</v>
      </c>
      <c r="D21" s="280"/>
      <c r="E21" s="255" t="s">
        <v>563</v>
      </c>
      <c r="F21" s="268" t="str">
        <f>C21</f>
        <v>ANTROPOSFERICO</v>
      </c>
      <c r="G21" s="128"/>
      <c r="H21" s="255" t="s">
        <v>563</v>
      </c>
      <c r="I21" s="268" t="str">
        <f>O7</f>
        <v>HIDROSFÉRICO</v>
      </c>
      <c r="J21" s="427"/>
      <c r="L21"/>
      <c r="M21" s="66"/>
      <c r="O21"/>
      <c r="P21" s="66"/>
      <c r="R21"/>
      <c r="S21" s="66"/>
      <c r="U21"/>
      <c r="V21" s="224"/>
      <c r="X21"/>
      <c r="Y21" s="224"/>
      <c r="AA21"/>
      <c r="AB21" s="224"/>
      <c r="AD21"/>
      <c r="AE21" s="224"/>
      <c r="AG21"/>
      <c r="AJ21"/>
      <c r="AM21"/>
      <c r="AP21"/>
      <c r="AS21"/>
      <c r="AV21"/>
      <c r="AY21"/>
    </row>
    <row r="22" spans="1:51" ht="15" customHeight="1" x14ac:dyDescent="0.25">
      <c r="A22" s="761"/>
      <c r="B22" s="272" t="s">
        <v>562</v>
      </c>
      <c r="C22" s="267" t="str">
        <f>'Matriz de identificación'!B29</f>
        <v>SOCIAL</v>
      </c>
      <c r="D22" s="280"/>
      <c r="E22" s="253" t="s">
        <v>562</v>
      </c>
      <c r="F22" s="267" t="str">
        <f>C22</f>
        <v>SOCIAL</v>
      </c>
      <c r="G22" s="128"/>
      <c r="H22" s="253" t="s">
        <v>562</v>
      </c>
      <c r="I22" s="267" t="str">
        <f>O8</f>
        <v>RECURSOS</v>
      </c>
      <c r="J22" s="427"/>
      <c r="L22"/>
      <c r="M22" s="66"/>
      <c r="O22"/>
      <c r="P22" s="66"/>
      <c r="R22"/>
      <c r="S22" s="66"/>
      <c r="U22"/>
      <c r="V22" s="224"/>
      <c r="X22"/>
      <c r="Y22" s="224"/>
      <c r="AA22"/>
      <c r="AB22" s="224"/>
      <c r="AD22"/>
      <c r="AE22" s="224"/>
      <c r="AG22"/>
      <c r="AJ22"/>
      <c r="AM22"/>
      <c r="AP22"/>
      <c r="AS22"/>
      <c r="AV22"/>
      <c r="AY22"/>
    </row>
    <row r="23" spans="1:51" ht="15" customHeight="1" x14ac:dyDescent="0.25">
      <c r="A23" s="761"/>
      <c r="B23" s="271" t="s">
        <v>561</v>
      </c>
      <c r="C23" s="231" t="str">
        <f>'Matriz de identificación'!C30</f>
        <v>Empleo</v>
      </c>
      <c r="D23" s="280"/>
      <c r="E23" s="251" t="s">
        <v>561</v>
      </c>
      <c r="F23" s="231" t="str">
        <f>'Matriz de identificación'!C31</f>
        <v>Organización</v>
      </c>
      <c r="G23" s="128"/>
      <c r="H23" s="251" t="s">
        <v>561</v>
      </c>
      <c r="I23" s="231" t="str">
        <f>O9</f>
        <v>Disponibilidad</v>
      </c>
      <c r="J23" s="427"/>
      <c r="L23"/>
      <c r="M23" s="66"/>
      <c r="O23"/>
      <c r="P23" s="66"/>
      <c r="R23"/>
      <c r="S23" s="66"/>
      <c r="U23"/>
      <c r="V23" s="224"/>
      <c r="X23"/>
      <c r="Y23" s="224"/>
      <c r="AA23"/>
      <c r="AB23" s="224"/>
      <c r="AD23"/>
      <c r="AE23" s="224"/>
      <c r="AG23"/>
      <c r="AJ23"/>
      <c r="AM23"/>
      <c r="AP23"/>
      <c r="AS23"/>
      <c r="AV23"/>
      <c r="AY23"/>
    </row>
    <row r="24" spans="1:51" ht="15" customHeight="1" x14ac:dyDescent="0.25">
      <c r="A24" s="761"/>
      <c r="B24" s="271" t="s">
        <v>560</v>
      </c>
      <c r="C24" s="231">
        <v>1</v>
      </c>
      <c r="D24" s="280"/>
      <c r="E24" s="251" t="s">
        <v>560</v>
      </c>
      <c r="F24" s="231">
        <v>1</v>
      </c>
      <c r="G24" s="128"/>
      <c r="H24" s="251" t="s">
        <v>560</v>
      </c>
      <c r="I24" s="231">
        <v>-1</v>
      </c>
      <c r="J24" s="427"/>
      <c r="L24"/>
      <c r="M24" s="66"/>
      <c r="O24"/>
      <c r="P24" s="66"/>
      <c r="R24"/>
      <c r="S24" s="66"/>
      <c r="U24"/>
      <c r="V24" s="224"/>
      <c r="X24"/>
      <c r="Y24" s="224"/>
      <c r="AA24"/>
      <c r="AB24" s="224"/>
      <c r="AD24"/>
      <c r="AE24" s="224"/>
      <c r="AG24"/>
      <c r="AJ24"/>
      <c r="AM24"/>
      <c r="AP24"/>
      <c r="AS24"/>
      <c r="AV24"/>
      <c r="AY24"/>
    </row>
    <row r="25" spans="1:51" ht="15" customHeight="1" x14ac:dyDescent="0.25">
      <c r="A25" s="761"/>
      <c r="B25" s="271" t="s">
        <v>559</v>
      </c>
      <c r="C25" s="231">
        <v>2</v>
      </c>
      <c r="D25" s="280"/>
      <c r="E25" s="251" t="s">
        <v>559</v>
      </c>
      <c r="F25" s="231">
        <v>2</v>
      </c>
      <c r="G25" s="128"/>
      <c r="H25" s="251" t="s">
        <v>559</v>
      </c>
      <c r="I25" s="231">
        <v>1</v>
      </c>
      <c r="J25" s="427"/>
      <c r="L25"/>
      <c r="M25" s="66"/>
      <c r="O25"/>
      <c r="P25" s="66"/>
      <c r="R25"/>
      <c r="S25" s="66"/>
      <c r="U25"/>
      <c r="V25" s="224"/>
      <c r="X25"/>
      <c r="Y25" s="224"/>
      <c r="AA25"/>
      <c r="AB25" s="224"/>
      <c r="AD25"/>
      <c r="AE25" s="224"/>
      <c r="AG25"/>
      <c r="AJ25"/>
      <c r="AM25"/>
      <c r="AP25"/>
      <c r="AS25"/>
      <c r="AV25"/>
      <c r="AY25"/>
    </row>
    <row r="26" spans="1:51" ht="15" customHeight="1" x14ac:dyDescent="0.25">
      <c r="A26" s="761"/>
      <c r="B26" s="271" t="s">
        <v>558</v>
      </c>
      <c r="C26" s="231">
        <v>1</v>
      </c>
      <c r="D26" s="280"/>
      <c r="E26" s="251" t="s">
        <v>558</v>
      </c>
      <c r="F26" s="231">
        <v>1</v>
      </c>
      <c r="G26" s="128"/>
      <c r="H26" s="251" t="s">
        <v>558</v>
      </c>
      <c r="I26" s="231">
        <v>3</v>
      </c>
      <c r="J26" s="427"/>
      <c r="L26"/>
      <c r="M26" s="66"/>
      <c r="O26"/>
      <c r="P26" s="66"/>
      <c r="R26"/>
      <c r="S26" s="66"/>
      <c r="U26"/>
      <c r="V26" s="224"/>
      <c r="X26"/>
      <c r="Y26" s="224"/>
      <c r="AA26"/>
      <c r="AB26" s="224"/>
      <c r="AD26"/>
      <c r="AE26" s="224"/>
      <c r="AG26"/>
      <c r="AJ26"/>
      <c r="AM26"/>
      <c r="AP26"/>
      <c r="AS26"/>
      <c r="AV26"/>
      <c r="AY26"/>
    </row>
    <row r="27" spans="1:51" ht="15" customHeight="1" x14ac:dyDescent="0.25">
      <c r="A27" s="761"/>
      <c r="B27" s="271" t="s">
        <v>557</v>
      </c>
      <c r="C27" s="231">
        <v>2</v>
      </c>
      <c r="D27" s="280"/>
      <c r="E27" s="251" t="s">
        <v>557</v>
      </c>
      <c r="F27" s="231">
        <v>2</v>
      </c>
      <c r="G27" s="128"/>
      <c r="H27" s="251" t="s">
        <v>557</v>
      </c>
      <c r="I27" s="231">
        <v>1</v>
      </c>
      <c r="J27" s="427"/>
      <c r="L27"/>
      <c r="M27" s="66"/>
      <c r="O27"/>
      <c r="P27" s="66"/>
      <c r="R27"/>
      <c r="S27" s="66"/>
      <c r="U27"/>
      <c r="V27" s="224"/>
      <c r="X27"/>
      <c r="Y27" s="224"/>
      <c r="AA27"/>
      <c r="AB27" s="224"/>
      <c r="AD27"/>
      <c r="AE27" s="224"/>
      <c r="AG27"/>
      <c r="AJ27"/>
      <c r="AM27"/>
      <c r="AP27"/>
      <c r="AS27"/>
      <c r="AV27"/>
      <c r="AY27"/>
    </row>
    <row r="28" spans="1:51" ht="15" customHeight="1" x14ac:dyDescent="0.25">
      <c r="A28" s="761"/>
      <c r="B28" s="271" t="s">
        <v>556</v>
      </c>
      <c r="C28" s="231">
        <v>2</v>
      </c>
      <c r="D28" s="280"/>
      <c r="E28" s="251" t="s">
        <v>556</v>
      </c>
      <c r="F28" s="231">
        <v>2</v>
      </c>
      <c r="G28" s="128"/>
      <c r="H28" s="251" t="s">
        <v>556</v>
      </c>
      <c r="I28" s="231">
        <v>2</v>
      </c>
      <c r="J28" s="427"/>
      <c r="L28"/>
      <c r="M28" s="66"/>
      <c r="O28"/>
      <c r="P28" s="66"/>
      <c r="R28"/>
      <c r="S28" s="66"/>
      <c r="U28"/>
      <c r="V28" s="224"/>
      <c r="X28"/>
      <c r="Y28" s="224"/>
      <c r="AA28"/>
      <c r="AB28" s="224"/>
      <c r="AD28"/>
      <c r="AE28" s="224"/>
      <c r="AG28"/>
      <c r="AJ28"/>
      <c r="AM28"/>
      <c r="AP28"/>
      <c r="AS28"/>
      <c r="AV28"/>
      <c r="AY28"/>
    </row>
    <row r="29" spans="1:51" ht="15" customHeight="1" x14ac:dyDescent="0.25">
      <c r="A29" s="761"/>
      <c r="B29" s="271" t="s">
        <v>555</v>
      </c>
      <c r="C29" s="231">
        <v>0</v>
      </c>
      <c r="D29" s="280"/>
      <c r="E29" s="251" t="s">
        <v>555</v>
      </c>
      <c r="F29" s="231">
        <v>0</v>
      </c>
      <c r="G29" s="128"/>
      <c r="H29" s="251" t="s">
        <v>555</v>
      </c>
      <c r="I29" s="231">
        <v>2</v>
      </c>
      <c r="J29" s="427"/>
      <c r="L29"/>
      <c r="M29" s="66"/>
      <c r="O29"/>
      <c r="P29" s="66"/>
      <c r="R29"/>
      <c r="S29" s="66"/>
      <c r="U29"/>
      <c r="V29" s="224"/>
      <c r="X29"/>
      <c r="Y29" s="224"/>
      <c r="AA29"/>
      <c r="AB29" s="224"/>
      <c r="AD29"/>
      <c r="AE29" s="224"/>
      <c r="AG29"/>
      <c r="AJ29"/>
      <c r="AM29"/>
      <c r="AP29"/>
      <c r="AS29"/>
      <c r="AV29"/>
      <c r="AY29"/>
    </row>
    <row r="30" spans="1:51" ht="15" customHeight="1" x14ac:dyDescent="0.25">
      <c r="A30" s="761"/>
      <c r="B30" s="271" t="s">
        <v>554</v>
      </c>
      <c r="C30" s="231">
        <v>0</v>
      </c>
      <c r="D30" s="280"/>
      <c r="E30" s="251" t="s">
        <v>554</v>
      </c>
      <c r="F30" s="231">
        <v>0</v>
      </c>
      <c r="G30" s="128"/>
      <c r="H30" s="251" t="s">
        <v>554</v>
      </c>
      <c r="I30" s="231">
        <v>1</v>
      </c>
      <c r="J30" s="427"/>
      <c r="L30"/>
      <c r="M30" s="66"/>
      <c r="O30"/>
      <c r="P30" s="66"/>
      <c r="R30"/>
      <c r="S30" s="66"/>
      <c r="U30"/>
      <c r="V30" s="224"/>
      <c r="X30"/>
      <c r="Y30" s="224"/>
      <c r="AA30"/>
      <c r="AB30" s="224"/>
      <c r="AD30"/>
      <c r="AE30" s="224"/>
      <c r="AG30"/>
      <c r="AJ30"/>
      <c r="AM30"/>
      <c r="AP30"/>
      <c r="AS30"/>
      <c r="AV30"/>
      <c r="AY30"/>
    </row>
    <row r="31" spans="1:51" ht="15" customHeight="1" x14ac:dyDescent="0.25">
      <c r="A31" s="761"/>
      <c r="B31" s="271" t="s">
        <v>553</v>
      </c>
      <c r="C31" s="231">
        <v>0</v>
      </c>
      <c r="D31" s="280"/>
      <c r="E31" s="251" t="s">
        <v>553</v>
      </c>
      <c r="F31" s="231">
        <v>0</v>
      </c>
      <c r="G31" s="128"/>
      <c r="H31" s="251" t="s">
        <v>553</v>
      </c>
      <c r="I31" s="231">
        <v>1</v>
      </c>
      <c r="J31" s="427"/>
      <c r="L31"/>
      <c r="M31" s="66"/>
      <c r="O31"/>
      <c r="P31" s="66"/>
      <c r="R31"/>
      <c r="S31" s="66"/>
      <c r="U31"/>
      <c r="V31" s="224"/>
      <c r="X31"/>
      <c r="Y31" s="224"/>
      <c r="AA31"/>
      <c r="AB31" s="224"/>
      <c r="AD31"/>
      <c r="AE31" s="224"/>
      <c r="AG31"/>
      <c r="AJ31"/>
      <c r="AM31"/>
      <c r="AP31"/>
      <c r="AS31"/>
      <c r="AV31"/>
      <c r="AY31"/>
    </row>
    <row r="32" spans="1:51" ht="15" customHeight="1" thickBot="1" x14ac:dyDescent="0.3">
      <c r="A32" s="762"/>
      <c r="B32" s="274" t="s">
        <v>552</v>
      </c>
      <c r="C32" s="249">
        <f>C24*((SUM(C25:C31)))</f>
        <v>7</v>
      </c>
      <c r="D32" s="279"/>
      <c r="E32" s="250" t="s">
        <v>552</v>
      </c>
      <c r="F32" s="249">
        <f>F24*((SUM(F25:F31)))</f>
        <v>7</v>
      </c>
      <c r="G32" s="248"/>
      <c r="H32" s="250" t="s">
        <v>552</v>
      </c>
      <c r="I32" s="249">
        <f>I24*((SUM(I25:I31)))</f>
        <v>-11</v>
      </c>
      <c r="J32" s="470"/>
      <c r="L32"/>
      <c r="M32" s="66"/>
      <c r="O32"/>
      <c r="P32" s="66"/>
      <c r="R32"/>
      <c r="S32" s="66"/>
      <c r="U32"/>
      <c r="V32" s="224"/>
      <c r="X32"/>
      <c r="Y32" s="224"/>
      <c r="AA32"/>
      <c r="AB32" s="224"/>
      <c r="AD32"/>
      <c r="AE32" s="224"/>
      <c r="AG32"/>
      <c r="AJ32"/>
      <c r="AM32"/>
      <c r="AP32"/>
      <c r="AS32"/>
      <c r="AV32"/>
      <c r="AY32"/>
    </row>
    <row r="33" spans="1:19" ht="15" customHeight="1" x14ac:dyDescent="0.25">
      <c r="A33" s="284"/>
      <c r="B33" s="283"/>
      <c r="C33" s="282"/>
      <c r="D33" s="207"/>
      <c r="E33" s="207"/>
      <c r="F33" s="281"/>
      <c r="G33" s="128"/>
      <c r="H33" s="128"/>
    </row>
    <row r="34" spans="1:19" ht="15.75" customHeight="1" thickBot="1" x14ac:dyDescent="0.3">
      <c r="A34" s="284"/>
      <c r="B34" s="283"/>
      <c r="C34" s="282"/>
      <c r="D34" s="207"/>
      <c r="E34" s="207"/>
      <c r="F34" s="281"/>
      <c r="G34" s="128"/>
      <c r="H34" s="128"/>
    </row>
    <row r="35" spans="1:19" ht="38.25" customHeight="1" thickBot="1" x14ac:dyDescent="0.3">
      <c r="A35" s="746">
        <v>3</v>
      </c>
      <c r="B35" s="749" t="str">
        <f>'Matriz de identificación'!F4</f>
        <v>Solicitud de autorización a Codensa</v>
      </c>
      <c r="C35" s="750"/>
      <c r="D35" s="750"/>
      <c r="E35" s="750"/>
      <c r="F35" s="750"/>
      <c r="G35" s="263"/>
      <c r="H35" s="263"/>
      <c r="I35" s="264"/>
      <c r="J35" s="263"/>
      <c r="K35" s="263"/>
      <c r="L35" s="264"/>
      <c r="M35" s="263"/>
      <c r="N35" s="263"/>
      <c r="O35" s="264"/>
      <c r="P35" s="263"/>
      <c r="Q35" s="263"/>
      <c r="R35" s="264"/>
      <c r="S35" s="96"/>
    </row>
    <row r="36" spans="1:19" ht="15" customHeight="1" x14ac:dyDescent="0.25">
      <c r="A36" s="747"/>
      <c r="B36" s="255" t="s">
        <v>563</v>
      </c>
      <c r="C36" s="254" t="str">
        <f>'Matriz de identificación'!A29</f>
        <v>ANTROPOSFERICO</v>
      </c>
      <c r="D36" s="280"/>
      <c r="E36" s="255" t="s">
        <v>563</v>
      </c>
      <c r="F36" s="254" t="str">
        <f>C36</f>
        <v>ANTROPOSFERICO</v>
      </c>
      <c r="G36" s="128"/>
      <c r="H36" s="255" t="s">
        <v>563</v>
      </c>
      <c r="I36" s="254" t="str">
        <f>F36</f>
        <v>ANTROPOSFERICO</v>
      </c>
      <c r="J36" s="128"/>
      <c r="K36" s="273" t="s">
        <v>563</v>
      </c>
      <c r="L36" s="254" t="str">
        <f>I36</f>
        <v>ANTROPOSFERICO</v>
      </c>
      <c r="M36" s="128"/>
      <c r="N36" s="255" t="s">
        <v>563</v>
      </c>
      <c r="O36" s="254" t="str">
        <f>L36</f>
        <v>ANTROPOSFERICO</v>
      </c>
      <c r="P36" s="128"/>
      <c r="Q36" s="255" t="s">
        <v>563</v>
      </c>
      <c r="R36" s="268" t="str">
        <f>O7</f>
        <v>HIDROSFÉRICO</v>
      </c>
      <c r="S36" s="80"/>
    </row>
    <row r="37" spans="1:19" ht="15" customHeight="1" x14ac:dyDescent="0.25">
      <c r="A37" s="747"/>
      <c r="B37" s="253" t="s">
        <v>562</v>
      </c>
      <c r="C37" s="252" t="str">
        <f>'Matriz de identificación'!B29</f>
        <v>SOCIAL</v>
      </c>
      <c r="D37" s="280"/>
      <c r="E37" s="253" t="s">
        <v>562</v>
      </c>
      <c r="F37" s="252" t="str">
        <f>C37</f>
        <v>SOCIAL</v>
      </c>
      <c r="G37" s="128"/>
      <c r="H37" s="253" t="s">
        <v>562</v>
      </c>
      <c r="I37" s="252" t="str">
        <f>F37</f>
        <v>SOCIAL</v>
      </c>
      <c r="J37" s="128"/>
      <c r="K37" s="272" t="s">
        <v>562</v>
      </c>
      <c r="L37" s="252" t="str">
        <f>I37</f>
        <v>SOCIAL</v>
      </c>
      <c r="M37" s="128"/>
      <c r="N37" s="253" t="s">
        <v>562</v>
      </c>
      <c r="O37" s="252" t="str">
        <f>'Matriz de identificación'!B35</f>
        <v>ECONÓMICO</v>
      </c>
      <c r="P37" s="128"/>
      <c r="Q37" s="253" t="s">
        <v>562</v>
      </c>
      <c r="R37" s="267" t="str">
        <f>O8</f>
        <v>RECURSOS</v>
      </c>
      <c r="S37" s="80"/>
    </row>
    <row r="38" spans="1:19" ht="15" customHeight="1" x14ac:dyDescent="0.25">
      <c r="A38" s="747"/>
      <c r="B38" s="251" t="s">
        <v>561</v>
      </c>
      <c r="C38" s="231" t="str">
        <f>'Matriz de identificación'!C30</f>
        <v>Empleo</v>
      </c>
      <c r="D38" s="280"/>
      <c r="E38" s="251" t="s">
        <v>561</v>
      </c>
      <c r="F38" s="231" t="str">
        <f>'Matriz de identificación'!C31</f>
        <v>Organización</v>
      </c>
      <c r="G38" s="128"/>
      <c r="H38" s="251" t="s">
        <v>561</v>
      </c>
      <c r="I38" s="231" t="str">
        <f>'Matriz de identificación'!C32</f>
        <v>Presencia del Estado</v>
      </c>
      <c r="J38" s="128"/>
      <c r="K38" s="271" t="s">
        <v>561</v>
      </c>
      <c r="L38" s="231" t="str">
        <f>'Matriz de identificación'!C33</f>
        <v>Servicios</v>
      </c>
      <c r="M38" s="128"/>
      <c r="N38" s="251" t="s">
        <v>561</v>
      </c>
      <c r="O38" s="231" t="str">
        <f>'Matriz de identificación'!C35</f>
        <v>Estructura comercial</v>
      </c>
      <c r="P38" s="128"/>
      <c r="Q38" s="251" t="s">
        <v>561</v>
      </c>
      <c r="R38" s="231" t="str">
        <f>O9</f>
        <v>Disponibilidad</v>
      </c>
      <c r="S38" s="80"/>
    </row>
    <row r="39" spans="1:19" ht="15" customHeight="1" x14ac:dyDescent="0.25">
      <c r="A39" s="747"/>
      <c r="B39" s="251" t="s">
        <v>560</v>
      </c>
      <c r="C39" s="231">
        <v>1</v>
      </c>
      <c r="D39" s="280"/>
      <c r="E39" s="251" t="s">
        <v>560</v>
      </c>
      <c r="F39" s="231">
        <v>1</v>
      </c>
      <c r="G39" s="128"/>
      <c r="H39" s="251" t="s">
        <v>560</v>
      </c>
      <c r="I39" s="231">
        <v>1</v>
      </c>
      <c r="J39" s="128"/>
      <c r="K39" s="271" t="s">
        <v>560</v>
      </c>
      <c r="L39" s="231">
        <v>1</v>
      </c>
      <c r="M39" s="128"/>
      <c r="N39" s="251" t="s">
        <v>560</v>
      </c>
      <c r="O39" s="231">
        <v>1</v>
      </c>
      <c r="P39" s="128"/>
      <c r="Q39" s="251" t="s">
        <v>560</v>
      </c>
      <c r="R39" s="231">
        <v>-1</v>
      </c>
      <c r="S39" s="80"/>
    </row>
    <row r="40" spans="1:19" ht="15" customHeight="1" x14ac:dyDescent="0.25">
      <c r="A40" s="747"/>
      <c r="B40" s="251" t="s">
        <v>559</v>
      </c>
      <c r="C40" s="231">
        <v>2</v>
      </c>
      <c r="D40" s="280"/>
      <c r="E40" s="251" t="s">
        <v>559</v>
      </c>
      <c r="F40" s="231">
        <v>2</v>
      </c>
      <c r="G40" s="128"/>
      <c r="H40" s="251" t="s">
        <v>559</v>
      </c>
      <c r="I40" s="231">
        <v>2</v>
      </c>
      <c r="J40" s="128"/>
      <c r="K40" s="271" t="s">
        <v>559</v>
      </c>
      <c r="L40" s="231">
        <v>2</v>
      </c>
      <c r="M40" s="128"/>
      <c r="N40" s="251" t="s">
        <v>559</v>
      </c>
      <c r="O40" s="231">
        <v>1</v>
      </c>
      <c r="P40" s="128"/>
      <c r="Q40" s="251" t="s">
        <v>559</v>
      </c>
      <c r="R40" s="231">
        <v>1</v>
      </c>
      <c r="S40" s="80"/>
    </row>
    <row r="41" spans="1:19" ht="15" customHeight="1" x14ac:dyDescent="0.25">
      <c r="A41" s="747"/>
      <c r="B41" s="251" t="s">
        <v>558</v>
      </c>
      <c r="C41" s="231">
        <v>1</v>
      </c>
      <c r="D41" s="280"/>
      <c r="E41" s="251" t="s">
        <v>558</v>
      </c>
      <c r="F41" s="231">
        <v>1</v>
      </c>
      <c r="G41" s="128"/>
      <c r="H41" s="251" t="s">
        <v>558</v>
      </c>
      <c r="I41" s="231">
        <v>3</v>
      </c>
      <c r="J41" s="128"/>
      <c r="K41" s="271" t="s">
        <v>558</v>
      </c>
      <c r="L41" s="231">
        <v>3</v>
      </c>
      <c r="M41" s="128"/>
      <c r="N41" s="251" t="s">
        <v>558</v>
      </c>
      <c r="O41" s="231">
        <v>3</v>
      </c>
      <c r="P41" s="128"/>
      <c r="Q41" s="251" t="s">
        <v>558</v>
      </c>
      <c r="R41" s="231">
        <v>3</v>
      </c>
      <c r="S41" s="80"/>
    </row>
    <row r="42" spans="1:19" ht="15" customHeight="1" x14ac:dyDescent="0.25">
      <c r="A42" s="747"/>
      <c r="B42" s="251" t="s">
        <v>557</v>
      </c>
      <c r="C42" s="231">
        <v>2</v>
      </c>
      <c r="D42" s="280"/>
      <c r="E42" s="251" t="s">
        <v>557</v>
      </c>
      <c r="F42" s="231">
        <v>2</v>
      </c>
      <c r="G42" s="128"/>
      <c r="H42" s="251" t="s">
        <v>557</v>
      </c>
      <c r="I42" s="231">
        <v>2</v>
      </c>
      <c r="J42" s="128"/>
      <c r="K42" s="271" t="s">
        <v>557</v>
      </c>
      <c r="L42" s="231">
        <v>2</v>
      </c>
      <c r="M42" s="128"/>
      <c r="N42" s="251" t="s">
        <v>557</v>
      </c>
      <c r="O42" s="231">
        <v>2</v>
      </c>
      <c r="P42" s="128"/>
      <c r="Q42" s="251" t="s">
        <v>557</v>
      </c>
      <c r="R42" s="231">
        <v>1</v>
      </c>
      <c r="S42" s="80"/>
    </row>
    <row r="43" spans="1:19" ht="15" customHeight="1" x14ac:dyDescent="0.25">
      <c r="A43" s="747"/>
      <c r="B43" s="251" t="s">
        <v>556</v>
      </c>
      <c r="C43" s="231">
        <v>2</v>
      </c>
      <c r="D43" s="280"/>
      <c r="E43" s="251" t="s">
        <v>556</v>
      </c>
      <c r="F43" s="231">
        <v>2</v>
      </c>
      <c r="G43" s="128"/>
      <c r="H43" s="251" t="s">
        <v>556</v>
      </c>
      <c r="I43" s="231">
        <v>2</v>
      </c>
      <c r="J43" s="128"/>
      <c r="K43" s="271" t="s">
        <v>556</v>
      </c>
      <c r="L43" s="231">
        <v>2</v>
      </c>
      <c r="M43" s="128"/>
      <c r="N43" s="251" t="s">
        <v>556</v>
      </c>
      <c r="O43" s="231">
        <v>2</v>
      </c>
      <c r="P43" s="128"/>
      <c r="Q43" s="251" t="s">
        <v>556</v>
      </c>
      <c r="R43" s="231">
        <v>2</v>
      </c>
      <c r="S43" s="80"/>
    </row>
    <row r="44" spans="1:19" ht="15" customHeight="1" x14ac:dyDescent="0.25">
      <c r="A44" s="747"/>
      <c r="B44" s="251" t="s">
        <v>555</v>
      </c>
      <c r="C44" s="231">
        <v>1</v>
      </c>
      <c r="D44" s="280"/>
      <c r="E44" s="251" t="s">
        <v>555</v>
      </c>
      <c r="F44" s="231">
        <v>1</v>
      </c>
      <c r="G44" s="128"/>
      <c r="H44" s="251" t="s">
        <v>555</v>
      </c>
      <c r="I44" s="231">
        <v>1</v>
      </c>
      <c r="J44" s="128"/>
      <c r="K44" s="271" t="s">
        <v>555</v>
      </c>
      <c r="L44" s="231">
        <v>1</v>
      </c>
      <c r="M44" s="128"/>
      <c r="N44" s="251" t="s">
        <v>555</v>
      </c>
      <c r="O44" s="231">
        <v>1</v>
      </c>
      <c r="P44" s="128"/>
      <c r="Q44" s="251" t="s">
        <v>555</v>
      </c>
      <c r="R44" s="231">
        <v>2</v>
      </c>
      <c r="S44" s="80"/>
    </row>
    <row r="45" spans="1:19" ht="15" customHeight="1" x14ac:dyDescent="0.25">
      <c r="A45" s="747"/>
      <c r="B45" s="251" t="s">
        <v>554</v>
      </c>
      <c r="C45" s="231">
        <v>0</v>
      </c>
      <c r="D45" s="280"/>
      <c r="E45" s="251" t="s">
        <v>554</v>
      </c>
      <c r="F45" s="231">
        <v>0</v>
      </c>
      <c r="G45" s="128"/>
      <c r="H45" s="251" t="s">
        <v>554</v>
      </c>
      <c r="I45" s="231">
        <v>0</v>
      </c>
      <c r="J45" s="128"/>
      <c r="K45" s="271" t="s">
        <v>554</v>
      </c>
      <c r="L45" s="231">
        <v>0</v>
      </c>
      <c r="M45" s="128"/>
      <c r="N45" s="251" t="s">
        <v>554</v>
      </c>
      <c r="O45" s="231">
        <v>0</v>
      </c>
      <c r="P45" s="128"/>
      <c r="Q45" s="251" t="s">
        <v>554</v>
      </c>
      <c r="R45" s="231">
        <v>1</v>
      </c>
      <c r="S45" s="80"/>
    </row>
    <row r="46" spans="1:19" ht="15" customHeight="1" x14ac:dyDescent="0.25">
      <c r="A46" s="747"/>
      <c r="B46" s="251" t="s">
        <v>553</v>
      </c>
      <c r="C46" s="231">
        <v>0</v>
      </c>
      <c r="D46" s="280"/>
      <c r="E46" s="251" t="s">
        <v>553</v>
      </c>
      <c r="F46" s="231">
        <v>0</v>
      </c>
      <c r="G46" s="128"/>
      <c r="H46" s="251" t="s">
        <v>553</v>
      </c>
      <c r="I46" s="231">
        <v>0</v>
      </c>
      <c r="J46" s="128"/>
      <c r="K46" s="271" t="s">
        <v>553</v>
      </c>
      <c r="L46" s="231">
        <v>0</v>
      </c>
      <c r="M46" s="128"/>
      <c r="N46" s="251" t="s">
        <v>553</v>
      </c>
      <c r="O46" s="231">
        <v>0</v>
      </c>
      <c r="P46" s="128"/>
      <c r="Q46" s="251" t="s">
        <v>553</v>
      </c>
      <c r="R46" s="231">
        <v>1</v>
      </c>
      <c r="S46" s="80"/>
    </row>
    <row r="47" spans="1:19" ht="15" customHeight="1" thickBot="1" x14ac:dyDescent="0.3">
      <c r="A47" s="748"/>
      <c r="B47" s="250" t="s">
        <v>552</v>
      </c>
      <c r="C47" s="249">
        <f>C39*((SUM(C40:C46)))</f>
        <v>8</v>
      </c>
      <c r="D47" s="279"/>
      <c r="E47" s="250" t="s">
        <v>552</v>
      </c>
      <c r="F47" s="249">
        <f>F39*((SUM(F40:F46)))</f>
        <v>8</v>
      </c>
      <c r="G47" s="248"/>
      <c r="H47" s="250" t="s">
        <v>552</v>
      </c>
      <c r="I47" s="249">
        <f>I39*((SUM(I40:I46)))</f>
        <v>10</v>
      </c>
      <c r="J47" s="248"/>
      <c r="K47" s="274" t="s">
        <v>552</v>
      </c>
      <c r="L47" s="249">
        <f>L39*((SUM(L40:L46)))</f>
        <v>10</v>
      </c>
      <c r="M47" s="248"/>
      <c r="N47" s="250" t="s">
        <v>552</v>
      </c>
      <c r="O47" s="249">
        <f>O39*((SUM(O40:O46)))</f>
        <v>9</v>
      </c>
      <c r="P47" s="248"/>
      <c r="Q47" s="250" t="s">
        <v>552</v>
      </c>
      <c r="R47" s="249">
        <f>R39*((SUM(R40:R46)))</f>
        <v>-11</v>
      </c>
      <c r="S47" s="81"/>
    </row>
    <row r="48" spans="1:19" ht="34.5" thickBot="1" x14ac:dyDescent="0.3">
      <c r="A48" s="278"/>
      <c r="B48" s="276"/>
      <c r="C48" s="225"/>
      <c r="D48" s="128"/>
    </row>
    <row r="49" spans="1:51" ht="39" customHeight="1" thickBot="1" x14ac:dyDescent="0.3">
      <c r="A49" s="755">
        <v>4</v>
      </c>
      <c r="B49" s="763" t="str">
        <f>'Matriz de identificación'!G4</f>
        <v>Solicitud y compra de la pila de hidrógeno</v>
      </c>
      <c r="C49" s="763"/>
      <c r="D49" s="763"/>
      <c r="E49" s="763"/>
      <c r="F49" s="763"/>
      <c r="G49" s="263"/>
      <c r="H49" s="263"/>
      <c r="I49" s="264"/>
      <c r="J49" s="263"/>
      <c r="K49" s="263"/>
      <c r="L49" s="264"/>
      <c r="AA49" s="224"/>
      <c r="AD49" s="224"/>
      <c r="AG49" s="224"/>
      <c r="AJ49" s="224"/>
      <c r="AM49"/>
      <c r="AP49"/>
      <c r="AS49"/>
      <c r="AV49"/>
      <c r="AY49"/>
    </row>
    <row r="50" spans="1:51" ht="15" customHeight="1" x14ac:dyDescent="0.25">
      <c r="A50" s="756"/>
      <c r="B50" s="273" t="s">
        <v>563</v>
      </c>
      <c r="C50" s="268" t="str">
        <f>'Matriz de identificación'!A29</f>
        <v>ANTROPOSFERICO</v>
      </c>
      <c r="D50" s="128"/>
      <c r="E50" s="255" t="s">
        <v>563</v>
      </c>
      <c r="F50" s="268" t="str">
        <f>C50</f>
        <v>ANTROPOSFERICO</v>
      </c>
      <c r="G50" s="128"/>
      <c r="H50" s="255" t="s">
        <v>563</v>
      </c>
      <c r="I50" s="268" t="str">
        <f>F50</f>
        <v>ANTROPOSFERICO</v>
      </c>
      <c r="J50" s="128"/>
      <c r="K50" s="255" t="s">
        <v>563</v>
      </c>
      <c r="L50" s="268" t="str">
        <f>I50</f>
        <v>ANTROPOSFERICO</v>
      </c>
      <c r="N50" s="255" t="s">
        <v>563</v>
      </c>
      <c r="O50" s="268" t="str">
        <f>R36</f>
        <v>HIDROSFÉRICO</v>
      </c>
      <c r="AA50" s="224"/>
      <c r="AD50" s="224"/>
      <c r="AG50" s="224"/>
      <c r="AJ50" s="224"/>
      <c r="AM50"/>
      <c r="AP50"/>
      <c r="AS50"/>
      <c r="AV50"/>
      <c r="AY50"/>
    </row>
    <row r="51" spans="1:51" ht="15" customHeight="1" x14ac:dyDescent="0.25">
      <c r="A51" s="756"/>
      <c r="B51" s="272" t="s">
        <v>562</v>
      </c>
      <c r="C51" s="252" t="str">
        <f>'Matriz de identificación'!B29</f>
        <v>SOCIAL</v>
      </c>
      <c r="D51" s="128"/>
      <c r="E51" s="253" t="s">
        <v>562</v>
      </c>
      <c r="F51" s="267" t="str">
        <f>C51</f>
        <v>SOCIAL</v>
      </c>
      <c r="G51" s="128"/>
      <c r="H51" s="253" t="s">
        <v>562</v>
      </c>
      <c r="I51" s="267" t="str">
        <f>F51</f>
        <v>SOCIAL</v>
      </c>
      <c r="J51" s="128"/>
      <c r="K51" s="253" t="s">
        <v>562</v>
      </c>
      <c r="L51" s="267" t="str">
        <f>'Matriz de identificación'!B35</f>
        <v>ECONÓMICO</v>
      </c>
      <c r="N51" s="253" t="s">
        <v>562</v>
      </c>
      <c r="O51" s="267" t="str">
        <f>R37</f>
        <v>RECURSOS</v>
      </c>
      <c r="AA51" s="224"/>
      <c r="AD51" s="224"/>
      <c r="AG51" s="224"/>
      <c r="AJ51" s="224"/>
      <c r="AM51"/>
      <c r="AP51"/>
      <c r="AS51"/>
      <c r="AV51"/>
      <c r="AY51"/>
    </row>
    <row r="52" spans="1:51" ht="15" customHeight="1" x14ac:dyDescent="0.25">
      <c r="A52" s="756"/>
      <c r="B52" s="271" t="s">
        <v>561</v>
      </c>
      <c r="C52" s="231" t="str">
        <f>'Matriz de identificación'!C30</f>
        <v>Empleo</v>
      </c>
      <c r="D52" s="128"/>
      <c r="E52" s="251" t="s">
        <v>561</v>
      </c>
      <c r="F52" s="231" t="str">
        <f>'Matriz de identificación'!C31</f>
        <v>Organización</v>
      </c>
      <c r="G52" s="128"/>
      <c r="H52" s="251" t="s">
        <v>561</v>
      </c>
      <c r="I52" s="231" t="str">
        <f>'Matriz de identificación'!C33</f>
        <v>Servicios</v>
      </c>
      <c r="J52" s="128"/>
      <c r="K52" s="251" t="s">
        <v>561</v>
      </c>
      <c r="L52" s="231" t="str">
        <f>'Matriz de identificación'!C35</f>
        <v>Estructura comercial</v>
      </c>
      <c r="N52" s="251" t="s">
        <v>561</v>
      </c>
      <c r="O52" s="231" t="str">
        <f>R38</f>
        <v>Disponibilidad</v>
      </c>
      <c r="AA52" s="224"/>
      <c r="AD52" s="224"/>
      <c r="AG52" s="224"/>
      <c r="AJ52" s="224"/>
      <c r="AM52"/>
      <c r="AP52"/>
      <c r="AS52"/>
      <c r="AV52"/>
      <c r="AY52"/>
    </row>
    <row r="53" spans="1:51" ht="15" customHeight="1" x14ac:dyDescent="0.25">
      <c r="A53" s="756"/>
      <c r="B53" s="271" t="s">
        <v>560</v>
      </c>
      <c r="C53" s="231">
        <v>1</v>
      </c>
      <c r="D53" s="128"/>
      <c r="E53" s="251" t="s">
        <v>560</v>
      </c>
      <c r="F53" s="231">
        <v>1</v>
      </c>
      <c r="G53" s="128"/>
      <c r="H53" s="251" t="s">
        <v>560</v>
      </c>
      <c r="I53" s="231">
        <v>1</v>
      </c>
      <c r="J53" s="128"/>
      <c r="K53" s="251" t="s">
        <v>560</v>
      </c>
      <c r="L53" s="231">
        <v>1</v>
      </c>
      <c r="N53" s="251" t="s">
        <v>560</v>
      </c>
      <c r="O53" s="231">
        <v>-1</v>
      </c>
      <c r="AA53" s="224"/>
      <c r="AD53" s="224"/>
      <c r="AG53" s="224"/>
      <c r="AJ53" s="224"/>
      <c r="AM53"/>
      <c r="AP53"/>
      <c r="AS53"/>
      <c r="AV53"/>
      <c r="AY53"/>
    </row>
    <row r="54" spans="1:51" ht="15" customHeight="1" x14ac:dyDescent="0.25">
      <c r="A54" s="756"/>
      <c r="B54" s="271" t="s">
        <v>559</v>
      </c>
      <c r="C54" s="231">
        <v>2</v>
      </c>
      <c r="D54" s="128"/>
      <c r="E54" s="251" t="s">
        <v>559</v>
      </c>
      <c r="F54" s="231">
        <v>3</v>
      </c>
      <c r="G54" s="128"/>
      <c r="H54" s="251" t="s">
        <v>559</v>
      </c>
      <c r="I54" s="231">
        <v>1</v>
      </c>
      <c r="J54" s="128"/>
      <c r="K54" s="251" t="s">
        <v>559</v>
      </c>
      <c r="L54" s="231">
        <v>3</v>
      </c>
      <c r="N54" s="251" t="s">
        <v>559</v>
      </c>
      <c r="O54" s="231">
        <v>1</v>
      </c>
      <c r="AA54" s="224"/>
      <c r="AD54" s="224"/>
      <c r="AG54" s="224"/>
      <c r="AJ54" s="224"/>
      <c r="AM54"/>
      <c r="AP54"/>
      <c r="AS54"/>
      <c r="AV54"/>
      <c r="AY54"/>
    </row>
    <row r="55" spans="1:51" ht="15" customHeight="1" x14ac:dyDescent="0.25">
      <c r="A55" s="756"/>
      <c r="B55" s="271" t="s">
        <v>558</v>
      </c>
      <c r="C55" s="231">
        <v>1</v>
      </c>
      <c r="D55" s="128"/>
      <c r="E55" s="251" t="s">
        <v>558</v>
      </c>
      <c r="F55" s="231">
        <v>1</v>
      </c>
      <c r="G55" s="128"/>
      <c r="H55" s="251" t="s">
        <v>558</v>
      </c>
      <c r="I55" s="231">
        <v>3</v>
      </c>
      <c r="J55" s="128"/>
      <c r="K55" s="251" t="s">
        <v>558</v>
      </c>
      <c r="L55" s="231">
        <v>3</v>
      </c>
      <c r="N55" s="251" t="s">
        <v>558</v>
      </c>
      <c r="O55" s="231">
        <v>3</v>
      </c>
      <c r="AA55" s="224"/>
      <c r="AD55" s="224"/>
      <c r="AG55" s="224"/>
      <c r="AJ55" s="224"/>
      <c r="AM55"/>
      <c r="AP55"/>
      <c r="AS55"/>
      <c r="AV55"/>
      <c r="AY55"/>
    </row>
    <row r="56" spans="1:51" ht="15" customHeight="1" x14ac:dyDescent="0.25">
      <c r="A56" s="756"/>
      <c r="B56" s="271" t="s">
        <v>557</v>
      </c>
      <c r="C56" s="231">
        <v>2</v>
      </c>
      <c r="D56" s="128"/>
      <c r="E56" s="251" t="s">
        <v>557</v>
      </c>
      <c r="F56" s="231">
        <v>2</v>
      </c>
      <c r="G56" s="128"/>
      <c r="H56" s="251" t="s">
        <v>557</v>
      </c>
      <c r="I56" s="231">
        <v>3</v>
      </c>
      <c r="J56" s="128"/>
      <c r="K56" s="251" t="s">
        <v>557</v>
      </c>
      <c r="L56" s="231">
        <v>2</v>
      </c>
      <c r="N56" s="251" t="s">
        <v>557</v>
      </c>
      <c r="O56" s="231">
        <v>1</v>
      </c>
      <c r="AA56" s="224"/>
      <c r="AD56" s="224"/>
      <c r="AG56" s="224"/>
      <c r="AJ56" s="224"/>
      <c r="AM56"/>
      <c r="AP56"/>
      <c r="AS56"/>
      <c r="AV56"/>
      <c r="AY56"/>
    </row>
    <row r="57" spans="1:51" ht="15" customHeight="1" x14ac:dyDescent="0.25">
      <c r="A57" s="756"/>
      <c r="B57" s="271" t="s">
        <v>556</v>
      </c>
      <c r="C57" s="231">
        <v>2</v>
      </c>
      <c r="D57" s="128"/>
      <c r="E57" s="251" t="s">
        <v>556</v>
      </c>
      <c r="F57" s="231">
        <v>3</v>
      </c>
      <c r="G57" s="128"/>
      <c r="H57" s="251" t="s">
        <v>556</v>
      </c>
      <c r="I57" s="231">
        <v>2</v>
      </c>
      <c r="J57" s="128"/>
      <c r="K57" s="251" t="s">
        <v>556</v>
      </c>
      <c r="L57" s="231">
        <v>2</v>
      </c>
      <c r="N57" s="251" t="s">
        <v>556</v>
      </c>
      <c r="O57" s="231">
        <v>2</v>
      </c>
      <c r="AA57" s="224"/>
      <c r="AD57" s="224"/>
      <c r="AG57" s="224"/>
      <c r="AJ57" s="224"/>
      <c r="AM57"/>
      <c r="AP57"/>
      <c r="AS57"/>
      <c r="AV57"/>
      <c r="AY57"/>
    </row>
    <row r="58" spans="1:51" ht="15" customHeight="1" x14ac:dyDescent="0.25">
      <c r="A58" s="756"/>
      <c r="B58" s="271" t="s">
        <v>555</v>
      </c>
      <c r="C58" s="231">
        <v>1</v>
      </c>
      <c r="D58" s="128"/>
      <c r="E58" s="251" t="s">
        <v>555</v>
      </c>
      <c r="F58" s="231">
        <v>1</v>
      </c>
      <c r="G58" s="128"/>
      <c r="H58" s="251" t="s">
        <v>555</v>
      </c>
      <c r="I58" s="231">
        <v>1</v>
      </c>
      <c r="J58" s="128"/>
      <c r="K58" s="251" t="s">
        <v>555</v>
      </c>
      <c r="L58" s="231">
        <v>1</v>
      </c>
      <c r="N58" s="251" t="s">
        <v>555</v>
      </c>
      <c r="O58" s="231">
        <v>2</v>
      </c>
      <c r="AA58" s="224"/>
      <c r="AD58" s="224"/>
      <c r="AG58" s="224"/>
      <c r="AJ58" s="224"/>
      <c r="AM58"/>
      <c r="AP58"/>
      <c r="AS58"/>
      <c r="AV58"/>
      <c r="AY58"/>
    </row>
    <row r="59" spans="1:51" ht="15" customHeight="1" x14ac:dyDescent="0.25">
      <c r="A59" s="756"/>
      <c r="B59" s="271" t="s">
        <v>554</v>
      </c>
      <c r="C59" s="231">
        <v>0</v>
      </c>
      <c r="D59" s="128"/>
      <c r="E59" s="251" t="s">
        <v>554</v>
      </c>
      <c r="F59" s="231">
        <v>0</v>
      </c>
      <c r="G59" s="128"/>
      <c r="H59" s="251" t="s">
        <v>554</v>
      </c>
      <c r="I59" s="231">
        <v>0</v>
      </c>
      <c r="J59" s="128"/>
      <c r="K59" s="251" t="s">
        <v>554</v>
      </c>
      <c r="L59" s="231">
        <v>0</v>
      </c>
      <c r="N59" s="251" t="s">
        <v>554</v>
      </c>
      <c r="O59" s="231">
        <v>1</v>
      </c>
      <c r="AA59" s="224"/>
      <c r="AD59" s="224"/>
      <c r="AG59" s="224"/>
      <c r="AJ59" s="224"/>
      <c r="AM59"/>
      <c r="AP59"/>
      <c r="AS59"/>
      <c r="AV59"/>
      <c r="AY59"/>
    </row>
    <row r="60" spans="1:51" ht="15" customHeight="1" x14ac:dyDescent="0.25">
      <c r="A60" s="756"/>
      <c r="B60" s="271" t="s">
        <v>553</v>
      </c>
      <c r="C60" s="231">
        <v>0</v>
      </c>
      <c r="D60" s="128"/>
      <c r="E60" s="251" t="s">
        <v>553</v>
      </c>
      <c r="F60" s="231">
        <v>0</v>
      </c>
      <c r="G60" s="128"/>
      <c r="H60" s="251" t="s">
        <v>553</v>
      </c>
      <c r="I60" s="231">
        <v>0</v>
      </c>
      <c r="J60" s="128"/>
      <c r="K60" s="251" t="s">
        <v>553</v>
      </c>
      <c r="L60" s="231">
        <v>0</v>
      </c>
      <c r="N60" s="251" t="s">
        <v>553</v>
      </c>
      <c r="O60" s="231">
        <v>1</v>
      </c>
      <c r="AA60" s="224"/>
      <c r="AD60" s="224"/>
      <c r="AG60" s="224"/>
      <c r="AJ60" s="224"/>
      <c r="AM60"/>
      <c r="AP60"/>
      <c r="AS60"/>
      <c r="AV60"/>
      <c r="AY60"/>
    </row>
    <row r="61" spans="1:51" ht="15" customHeight="1" thickBot="1" x14ac:dyDescent="0.3">
      <c r="A61" s="757"/>
      <c r="B61" s="274" t="s">
        <v>552</v>
      </c>
      <c r="C61" s="249">
        <f>C53*((SUM(C54:C60)))</f>
        <v>8</v>
      </c>
      <c r="D61" s="248"/>
      <c r="E61" s="250" t="s">
        <v>552</v>
      </c>
      <c r="F61" s="249">
        <f>F53*((SUM(F54:F60)))</f>
        <v>10</v>
      </c>
      <c r="G61" s="248"/>
      <c r="H61" s="250" t="s">
        <v>552</v>
      </c>
      <c r="I61" s="249">
        <f>I53*((SUM(I54:I60)))</f>
        <v>10</v>
      </c>
      <c r="J61" s="248"/>
      <c r="K61" s="250" t="s">
        <v>552</v>
      </c>
      <c r="L61" s="249">
        <f>L53*((SUM(L54:L60)))</f>
        <v>11</v>
      </c>
      <c r="N61" s="250" t="s">
        <v>552</v>
      </c>
      <c r="O61" s="249">
        <f>O53*((SUM(O54:O60)))</f>
        <v>-11</v>
      </c>
      <c r="AA61" s="224"/>
      <c r="AD61" s="224"/>
      <c r="AG61" s="224"/>
      <c r="AJ61" s="224"/>
      <c r="AM61"/>
      <c r="AP61"/>
      <c r="AS61"/>
      <c r="AV61"/>
      <c r="AY61"/>
    </row>
    <row r="62" spans="1:51" ht="30.75" customHeight="1" thickBot="1" x14ac:dyDescent="0.3">
      <c r="A62" s="277"/>
      <c r="B62" s="128"/>
      <c r="C62" s="225"/>
      <c r="D62" s="128"/>
      <c r="E62" s="128"/>
      <c r="F62" s="275"/>
      <c r="G62" s="128"/>
      <c r="H62" s="128"/>
      <c r="I62" s="275"/>
    </row>
    <row r="63" spans="1:51" ht="40.5" customHeight="1" thickBot="1" x14ac:dyDescent="0.3">
      <c r="A63" s="755">
        <v>5</v>
      </c>
      <c r="B63" s="763" t="str">
        <f>'Matriz de identificación'!H4</f>
        <v>Solicitud y compra de los equipos complementarios</v>
      </c>
      <c r="C63" s="763"/>
      <c r="D63" s="763"/>
      <c r="E63" s="763"/>
      <c r="F63" s="764"/>
      <c r="G63" s="128"/>
      <c r="H63" s="128"/>
      <c r="I63" s="275"/>
    </row>
    <row r="64" spans="1:51" ht="30.75" customHeight="1" x14ac:dyDescent="0.25">
      <c r="A64" s="756"/>
      <c r="B64" s="273" t="s">
        <v>563</v>
      </c>
      <c r="C64" s="268" t="str">
        <f>'Matriz de identificación'!A29</f>
        <v>ANTROPOSFERICO</v>
      </c>
      <c r="D64" s="128"/>
      <c r="E64" s="255" t="s">
        <v>563</v>
      </c>
      <c r="F64" s="268" t="str">
        <f>C64</f>
        <v>ANTROPOSFERICO</v>
      </c>
      <c r="G64" s="128"/>
      <c r="H64" s="255" t="s">
        <v>563</v>
      </c>
      <c r="I64" s="268" t="str">
        <f>F64</f>
        <v>ANTROPOSFERICO</v>
      </c>
      <c r="J64" s="128"/>
      <c r="K64" s="255" t="s">
        <v>563</v>
      </c>
      <c r="L64" s="268" t="str">
        <f>I64</f>
        <v>ANTROPOSFERICO</v>
      </c>
      <c r="N64" s="255" t="s">
        <v>563</v>
      </c>
      <c r="O64" s="268" t="str">
        <f>O50</f>
        <v>HIDROSFÉRICO</v>
      </c>
    </row>
    <row r="65" spans="1:15" ht="15" customHeight="1" x14ac:dyDescent="0.25">
      <c r="A65" s="756"/>
      <c r="B65" s="272" t="s">
        <v>562</v>
      </c>
      <c r="C65" s="252" t="str">
        <f>'Matriz de identificación'!B29</f>
        <v>SOCIAL</v>
      </c>
      <c r="D65" s="128"/>
      <c r="E65" s="253" t="s">
        <v>562</v>
      </c>
      <c r="F65" s="267" t="str">
        <f>C65</f>
        <v>SOCIAL</v>
      </c>
      <c r="G65" s="128"/>
      <c r="H65" s="253" t="s">
        <v>562</v>
      </c>
      <c r="I65" s="267" t="str">
        <f>F65</f>
        <v>SOCIAL</v>
      </c>
      <c r="J65" s="128"/>
      <c r="K65" s="253" t="s">
        <v>562</v>
      </c>
      <c r="L65" s="267" t="str">
        <f>L51</f>
        <v>ECONÓMICO</v>
      </c>
      <c r="N65" s="253" t="s">
        <v>562</v>
      </c>
      <c r="O65" s="267" t="str">
        <f>O51</f>
        <v>RECURSOS</v>
      </c>
    </row>
    <row r="66" spans="1:15" ht="15" customHeight="1" x14ac:dyDescent="0.25">
      <c r="A66" s="756"/>
      <c r="B66" s="271" t="s">
        <v>561</v>
      </c>
      <c r="C66" s="231" t="str">
        <f>'Matriz de identificación'!C30</f>
        <v>Empleo</v>
      </c>
      <c r="D66" s="128"/>
      <c r="E66" s="251" t="s">
        <v>561</v>
      </c>
      <c r="F66" s="231" t="str">
        <f>F52</f>
        <v>Organización</v>
      </c>
      <c r="G66" s="128"/>
      <c r="H66" s="251" t="s">
        <v>561</v>
      </c>
      <c r="I66" s="231" t="str">
        <f>I52</f>
        <v>Servicios</v>
      </c>
      <c r="J66" s="128"/>
      <c r="K66" s="251" t="s">
        <v>561</v>
      </c>
      <c r="L66" s="231" t="str">
        <f>L52</f>
        <v>Estructura comercial</v>
      </c>
      <c r="N66" s="251" t="s">
        <v>561</v>
      </c>
      <c r="O66" s="231" t="str">
        <f>O52</f>
        <v>Disponibilidad</v>
      </c>
    </row>
    <row r="67" spans="1:15" ht="15" customHeight="1" x14ac:dyDescent="0.25">
      <c r="A67" s="756"/>
      <c r="B67" s="271" t="s">
        <v>560</v>
      </c>
      <c r="C67" s="231">
        <v>1</v>
      </c>
      <c r="D67" s="128"/>
      <c r="E67" s="251" t="s">
        <v>560</v>
      </c>
      <c r="F67" s="231">
        <v>1</v>
      </c>
      <c r="G67" s="128"/>
      <c r="H67" s="251" t="s">
        <v>560</v>
      </c>
      <c r="I67" s="231">
        <v>1</v>
      </c>
      <c r="J67" s="128"/>
      <c r="K67" s="251" t="s">
        <v>560</v>
      </c>
      <c r="L67" s="231">
        <v>1</v>
      </c>
      <c r="N67" s="251" t="s">
        <v>560</v>
      </c>
      <c r="O67" s="231">
        <v>-1</v>
      </c>
    </row>
    <row r="68" spans="1:15" ht="15" customHeight="1" x14ac:dyDescent="0.25">
      <c r="A68" s="756"/>
      <c r="B68" s="271" t="s">
        <v>559</v>
      </c>
      <c r="C68" s="231">
        <v>2</v>
      </c>
      <c r="D68" s="128"/>
      <c r="E68" s="251" t="s">
        <v>559</v>
      </c>
      <c r="F68" s="231">
        <v>3</v>
      </c>
      <c r="G68" s="128"/>
      <c r="H68" s="251" t="s">
        <v>559</v>
      </c>
      <c r="I68" s="231">
        <v>1</v>
      </c>
      <c r="J68" s="128"/>
      <c r="K68" s="251" t="s">
        <v>559</v>
      </c>
      <c r="L68" s="231">
        <v>3</v>
      </c>
      <c r="N68" s="251" t="s">
        <v>559</v>
      </c>
      <c r="O68" s="231">
        <v>1</v>
      </c>
    </row>
    <row r="69" spans="1:15" ht="15" customHeight="1" x14ac:dyDescent="0.25">
      <c r="A69" s="756"/>
      <c r="B69" s="271" t="s">
        <v>558</v>
      </c>
      <c r="C69" s="231">
        <v>1</v>
      </c>
      <c r="D69" s="128"/>
      <c r="E69" s="251" t="s">
        <v>558</v>
      </c>
      <c r="F69" s="231">
        <v>1</v>
      </c>
      <c r="G69" s="128"/>
      <c r="H69" s="251" t="s">
        <v>558</v>
      </c>
      <c r="I69" s="231">
        <v>3</v>
      </c>
      <c r="J69" s="128"/>
      <c r="K69" s="251" t="s">
        <v>558</v>
      </c>
      <c r="L69" s="231">
        <v>3</v>
      </c>
      <c r="N69" s="251" t="s">
        <v>558</v>
      </c>
      <c r="O69" s="231">
        <v>3</v>
      </c>
    </row>
    <row r="70" spans="1:15" ht="15" customHeight="1" x14ac:dyDescent="0.25">
      <c r="A70" s="756"/>
      <c r="B70" s="271" t="s">
        <v>557</v>
      </c>
      <c r="C70" s="231">
        <v>2</v>
      </c>
      <c r="D70" s="128"/>
      <c r="E70" s="251" t="s">
        <v>557</v>
      </c>
      <c r="F70" s="231">
        <v>2</v>
      </c>
      <c r="G70" s="128"/>
      <c r="H70" s="251" t="s">
        <v>557</v>
      </c>
      <c r="I70" s="231">
        <v>3</v>
      </c>
      <c r="J70" s="128"/>
      <c r="K70" s="251" t="s">
        <v>557</v>
      </c>
      <c r="L70" s="231">
        <v>2</v>
      </c>
      <c r="N70" s="251" t="s">
        <v>557</v>
      </c>
      <c r="O70" s="231">
        <v>1</v>
      </c>
    </row>
    <row r="71" spans="1:15" ht="15" customHeight="1" x14ac:dyDescent="0.25">
      <c r="A71" s="756"/>
      <c r="B71" s="271" t="s">
        <v>556</v>
      </c>
      <c r="C71" s="231">
        <v>2</v>
      </c>
      <c r="D71" s="128"/>
      <c r="E71" s="251" t="s">
        <v>556</v>
      </c>
      <c r="F71" s="231">
        <v>3</v>
      </c>
      <c r="G71" s="128"/>
      <c r="H71" s="251" t="s">
        <v>556</v>
      </c>
      <c r="I71" s="231">
        <v>2</v>
      </c>
      <c r="J71" s="128"/>
      <c r="K71" s="251" t="s">
        <v>556</v>
      </c>
      <c r="L71" s="231">
        <v>2</v>
      </c>
      <c r="N71" s="251" t="s">
        <v>556</v>
      </c>
      <c r="O71" s="231">
        <v>2</v>
      </c>
    </row>
    <row r="72" spans="1:15" ht="15" customHeight="1" x14ac:dyDescent="0.25">
      <c r="A72" s="756"/>
      <c r="B72" s="271" t="s">
        <v>555</v>
      </c>
      <c r="C72" s="231">
        <v>1</v>
      </c>
      <c r="D72" s="128"/>
      <c r="E72" s="251" t="s">
        <v>555</v>
      </c>
      <c r="F72" s="231">
        <v>1</v>
      </c>
      <c r="G72" s="128"/>
      <c r="H72" s="251" t="s">
        <v>555</v>
      </c>
      <c r="I72" s="231">
        <v>1</v>
      </c>
      <c r="J72" s="128"/>
      <c r="K72" s="251" t="s">
        <v>555</v>
      </c>
      <c r="L72" s="231">
        <v>1</v>
      </c>
      <c r="N72" s="251" t="s">
        <v>555</v>
      </c>
      <c r="O72" s="231">
        <v>2</v>
      </c>
    </row>
    <row r="73" spans="1:15" ht="15" customHeight="1" x14ac:dyDescent="0.25">
      <c r="A73" s="756"/>
      <c r="B73" s="271" t="s">
        <v>554</v>
      </c>
      <c r="C73" s="231">
        <v>0</v>
      </c>
      <c r="D73" s="128"/>
      <c r="E73" s="251" t="s">
        <v>554</v>
      </c>
      <c r="F73" s="231">
        <v>0</v>
      </c>
      <c r="G73" s="128"/>
      <c r="H73" s="251" t="s">
        <v>554</v>
      </c>
      <c r="I73" s="231">
        <v>0</v>
      </c>
      <c r="J73" s="128"/>
      <c r="K73" s="251" t="s">
        <v>554</v>
      </c>
      <c r="L73" s="231">
        <v>0</v>
      </c>
      <c r="N73" s="251" t="s">
        <v>554</v>
      </c>
      <c r="O73" s="231">
        <v>1</v>
      </c>
    </row>
    <row r="74" spans="1:15" ht="15" customHeight="1" x14ac:dyDescent="0.25">
      <c r="A74" s="756"/>
      <c r="B74" s="271" t="s">
        <v>553</v>
      </c>
      <c r="C74" s="231">
        <v>0</v>
      </c>
      <c r="D74" s="128"/>
      <c r="E74" s="251" t="s">
        <v>553</v>
      </c>
      <c r="F74" s="231">
        <v>0</v>
      </c>
      <c r="G74" s="128"/>
      <c r="H74" s="251" t="s">
        <v>553</v>
      </c>
      <c r="I74" s="231">
        <v>0</v>
      </c>
      <c r="J74" s="128"/>
      <c r="K74" s="251" t="s">
        <v>553</v>
      </c>
      <c r="L74" s="231">
        <v>0</v>
      </c>
      <c r="N74" s="251" t="s">
        <v>553</v>
      </c>
      <c r="O74" s="231">
        <v>1</v>
      </c>
    </row>
    <row r="75" spans="1:15" ht="15" customHeight="1" thickBot="1" x14ac:dyDescent="0.3">
      <c r="A75" s="757"/>
      <c r="B75" s="274" t="s">
        <v>552</v>
      </c>
      <c r="C75" s="249">
        <f>C67*((SUM(C68:C74)))</f>
        <v>8</v>
      </c>
      <c r="D75" s="248"/>
      <c r="E75" s="250" t="s">
        <v>552</v>
      </c>
      <c r="F75" s="249">
        <f>F67*((SUM(F68:F74)))</f>
        <v>10</v>
      </c>
      <c r="G75" s="248"/>
      <c r="H75" s="250" t="s">
        <v>552</v>
      </c>
      <c r="I75" s="249">
        <f>I67*((SUM(I68:I74)))</f>
        <v>10</v>
      </c>
      <c r="J75" s="248"/>
      <c r="K75" s="250" t="s">
        <v>552</v>
      </c>
      <c r="L75" s="249">
        <f>L67*((SUM(L68:L74)))</f>
        <v>11</v>
      </c>
      <c r="N75" s="250" t="s">
        <v>552</v>
      </c>
      <c r="O75" s="249">
        <f>O67*((SUM(O68:O74)))</f>
        <v>-11</v>
      </c>
    </row>
    <row r="76" spans="1:15" ht="34.5" thickBot="1" x14ac:dyDescent="0.3">
      <c r="A76" s="277"/>
      <c r="B76" s="276"/>
      <c r="C76" s="225"/>
      <c r="D76" s="128"/>
    </row>
    <row r="77" spans="1:15" ht="38.25" customHeight="1" thickBot="1" x14ac:dyDescent="0.3">
      <c r="A77" s="755">
        <v>6</v>
      </c>
      <c r="B77" s="765" t="str">
        <f>'Matriz de identificación'!I4</f>
        <v>Tramitación de pólizas</v>
      </c>
      <c r="C77" s="766"/>
      <c r="D77" s="766"/>
      <c r="E77" s="766"/>
      <c r="F77" s="767"/>
      <c r="G77" s="128"/>
      <c r="H77" s="128"/>
      <c r="I77" s="275"/>
    </row>
    <row r="78" spans="1:15" ht="15" customHeight="1" x14ac:dyDescent="0.25">
      <c r="A78" s="756"/>
      <c r="B78" s="273" t="s">
        <v>563</v>
      </c>
      <c r="C78" s="254" t="str">
        <f>'Matriz de identificación'!A29</f>
        <v>ANTROPOSFERICO</v>
      </c>
      <c r="D78" s="128"/>
      <c r="E78" s="255" t="s">
        <v>563</v>
      </c>
      <c r="F78" s="268" t="str">
        <f>C78</f>
        <v>ANTROPOSFERICO</v>
      </c>
      <c r="G78" s="128"/>
      <c r="H78" s="255" t="s">
        <v>563</v>
      </c>
      <c r="I78" s="268" t="str">
        <f>F78</f>
        <v>ANTROPOSFERICO</v>
      </c>
      <c r="J78" s="128"/>
      <c r="K78" s="255" t="s">
        <v>563</v>
      </c>
      <c r="L78" s="268" t="str">
        <f>I78</f>
        <v>ANTROPOSFERICO</v>
      </c>
      <c r="N78" s="255" t="s">
        <v>563</v>
      </c>
      <c r="O78" s="268" t="str">
        <f>O64</f>
        <v>HIDROSFÉRICO</v>
      </c>
    </row>
    <row r="79" spans="1:15" ht="15" customHeight="1" x14ac:dyDescent="0.25">
      <c r="A79" s="756"/>
      <c r="B79" s="272" t="s">
        <v>562</v>
      </c>
      <c r="C79" s="252" t="str">
        <f>'Matriz de identificación'!B29</f>
        <v>SOCIAL</v>
      </c>
      <c r="D79" s="128"/>
      <c r="E79" s="253" t="s">
        <v>562</v>
      </c>
      <c r="F79" s="267" t="str">
        <f>C79</f>
        <v>SOCIAL</v>
      </c>
      <c r="G79" s="128"/>
      <c r="H79" s="253" t="s">
        <v>562</v>
      </c>
      <c r="I79" s="267" t="str">
        <f>F79</f>
        <v>SOCIAL</v>
      </c>
      <c r="J79" s="128"/>
      <c r="K79" s="253" t="s">
        <v>562</v>
      </c>
      <c r="L79" s="267" t="str">
        <f>L65</f>
        <v>ECONÓMICO</v>
      </c>
      <c r="N79" s="253" t="s">
        <v>562</v>
      </c>
      <c r="O79" s="267" t="str">
        <f>O65</f>
        <v>RECURSOS</v>
      </c>
    </row>
    <row r="80" spans="1:15" ht="15" customHeight="1" x14ac:dyDescent="0.25">
      <c r="A80" s="756"/>
      <c r="B80" s="271" t="s">
        <v>561</v>
      </c>
      <c r="C80" s="231" t="str">
        <f>'Matriz de identificación'!C30</f>
        <v>Empleo</v>
      </c>
      <c r="D80" s="128"/>
      <c r="E80" s="251" t="s">
        <v>561</v>
      </c>
      <c r="F80" s="231" t="str">
        <f>F66</f>
        <v>Organización</v>
      </c>
      <c r="G80" s="128"/>
      <c r="H80" s="251" t="s">
        <v>561</v>
      </c>
      <c r="I80" s="231" t="str">
        <f>I66</f>
        <v>Servicios</v>
      </c>
      <c r="J80" s="128"/>
      <c r="K80" s="251" t="s">
        <v>561</v>
      </c>
      <c r="L80" s="231" t="str">
        <f>L66</f>
        <v>Estructura comercial</v>
      </c>
      <c r="N80" s="251" t="s">
        <v>561</v>
      </c>
      <c r="O80" s="231" t="str">
        <f>O66</f>
        <v>Disponibilidad</v>
      </c>
    </row>
    <row r="81" spans="1:51" ht="15" customHeight="1" x14ac:dyDescent="0.25">
      <c r="A81" s="756"/>
      <c r="B81" s="271" t="s">
        <v>560</v>
      </c>
      <c r="C81" s="231">
        <v>1</v>
      </c>
      <c r="D81" s="128"/>
      <c r="E81" s="251" t="s">
        <v>560</v>
      </c>
      <c r="F81" s="231">
        <v>1</v>
      </c>
      <c r="G81" s="128"/>
      <c r="H81" s="251" t="s">
        <v>560</v>
      </c>
      <c r="I81" s="231">
        <v>1</v>
      </c>
      <c r="J81" s="128"/>
      <c r="K81" s="251" t="s">
        <v>560</v>
      </c>
      <c r="L81" s="231">
        <v>1</v>
      </c>
      <c r="N81" s="251" t="s">
        <v>560</v>
      </c>
      <c r="O81" s="231">
        <v>-1</v>
      </c>
    </row>
    <row r="82" spans="1:51" ht="15" customHeight="1" x14ac:dyDescent="0.25">
      <c r="A82" s="756"/>
      <c r="B82" s="271" t="s">
        <v>559</v>
      </c>
      <c r="C82" s="231">
        <v>1</v>
      </c>
      <c r="D82" s="128"/>
      <c r="E82" s="251" t="s">
        <v>559</v>
      </c>
      <c r="F82" s="231">
        <v>2</v>
      </c>
      <c r="G82" s="128"/>
      <c r="H82" s="251" t="s">
        <v>559</v>
      </c>
      <c r="I82" s="231">
        <v>2</v>
      </c>
      <c r="J82" s="128"/>
      <c r="K82" s="251" t="s">
        <v>559</v>
      </c>
      <c r="L82" s="231">
        <v>2</v>
      </c>
      <c r="N82" s="251" t="s">
        <v>559</v>
      </c>
      <c r="O82" s="231">
        <v>1</v>
      </c>
    </row>
    <row r="83" spans="1:51" ht="15" customHeight="1" x14ac:dyDescent="0.25">
      <c r="A83" s="756"/>
      <c r="B83" s="271" t="s">
        <v>558</v>
      </c>
      <c r="C83" s="231">
        <v>1</v>
      </c>
      <c r="D83" s="128"/>
      <c r="E83" s="251" t="s">
        <v>558</v>
      </c>
      <c r="F83" s="231">
        <v>1</v>
      </c>
      <c r="G83" s="128"/>
      <c r="H83" s="251" t="s">
        <v>558</v>
      </c>
      <c r="I83" s="231">
        <v>3</v>
      </c>
      <c r="J83" s="128"/>
      <c r="K83" s="251" t="s">
        <v>558</v>
      </c>
      <c r="L83" s="231">
        <v>3</v>
      </c>
      <c r="N83" s="251" t="s">
        <v>558</v>
      </c>
      <c r="O83" s="231">
        <v>3</v>
      </c>
    </row>
    <row r="84" spans="1:51" ht="15" customHeight="1" x14ac:dyDescent="0.25">
      <c r="A84" s="756"/>
      <c r="B84" s="271" t="s">
        <v>557</v>
      </c>
      <c r="C84" s="231">
        <v>2</v>
      </c>
      <c r="D84" s="128"/>
      <c r="E84" s="251" t="s">
        <v>557</v>
      </c>
      <c r="F84" s="231">
        <v>2</v>
      </c>
      <c r="G84" s="128"/>
      <c r="H84" s="251" t="s">
        <v>557</v>
      </c>
      <c r="I84" s="231">
        <v>2</v>
      </c>
      <c r="J84" s="128"/>
      <c r="K84" s="251" t="s">
        <v>557</v>
      </c>
      <c r="L84" s="231">
        <v>2</v>
      </c>
      <c r="N84" s="251" t="s">
        <v>557</v>
      </c>
      <c r="O84" s="231">
        <v>1</v>
      </c>
    </row>
    <row r="85" spans="1:51" ht="15" customHeight="1" x14ac:dyDescent="0.25">
      <c r="A85" s="756"/>
      <c r="B85" s="271" t="s">
        <v>556</v>
      </c>
      <c r="C85" s="231">
        <v>2</v>
      </c>
      <c r="D85" s="128"/>
      <c r="E85" s="251" t="s">
        <v>556</v>
      </c>
      <c r="F85" s="231">
        <v>2</v>
      </c>
      <c r="G85" s="128"/>
      <c r="H85" s="251" t="s">
        <v>556</v>
      </c>
      <c r="I85" s="231">
        <v>2</v>
      </c>
      <c r="J85" s="128"/>
      <c r="K85" s="251" t="s">
        <v>556</v>
      </c>
      <c r="L85" s="231">
        <v>2</v>
      </c>
      <c r="N85" s="251" t="s">
        <v>556</v>
      </c>
      <c r="O85" s="231">
        <v>2</v>
      </c>
    </row>
    <row r="86" spans="1:51" ht="15" customHeight="1" x14ac:dyDescent="0.25">
      <c r="A86" s="756"/>
      <c r="B86" s="271" t="s">
        <v>555</v>
      </c>
      <c r="C86" s="231">
        <v>1</v>
      </c>
      <c r="D86" s="128"/>
      <c r="E86" s="251" t="s">
        <v>555</v>
      </c>
      <c r="F86" s="231">
        <v>1</v>
      </c>
      <c r="G86" s="128"/>
      <c r="H86" s="251" t="s">
        <v>555</v>
      </c>
      <c r="I86" s="231">
        <v>1</v>
      </c>
      <c r="J86" s="128"/>
      <c r="K86" s="251" t="s">
        <v>555</v>
      </c>
      <c r="L86" s="231">
        <v>1</v>
      </c>
      <c r="N86" s="251" t="s">
        <v>555</v>
      </c>
      <c r="O86" s="231">
        <v>2</v>
      </c>
    </row>
    <row r="87" spans="1:51" ht="15" customHeight="1" x14ac:dyDescent="0.25">
      <c r="A87" s="756"/>
      <c r="B87" s="271" t="s">
        <v>554</v>
      </c>
      <c r="C87" s="231">
        <v>0</v>
      </c>
      <c r="D87" s="128"/>
      <c r="E87" s="251" t="s">
        <v>554</v>
      </c>
      <c r="F87" s="231">
        <v>0</v>
      </c>
      <c r="G87" s="128"/>
      <c r="H87" s="251" t="s">
        <v>554</v>
      </c>
      <c r="I87" s="231">
        <v>0</v>
      </c>
      <c r="J87" s="128"/>
      <c r="K87" s="251" t="s">
        <v>554</v>
      </c>
      <c r="L87" s="231">
        <v>0</v>
      </c>
      <c r="N87" s="251" t="s">
        <v>554</v>
      </c>
      <c r="O87" s="231">
        <v>1</v>
      </c>
    </row>
    <row r="88" spans="1:51" ht="15" customHeight="1" x14ac:dyDescent="0.25">
      <c r="A88" s="756"/>
      <c r="B88" s="271" t="s">
        <v>553</v>
      </c>
      <c r="C88" s="231">
        <v>0</v>
      </c>
      <c r="D88" s="128"/>
      <c r="E88" s="251" t="s">
        <v>553</v>
      </c>
      <c r="F88" s="231">
        <v>0</v>
      </c>
      <c r="G88" s="128"/>
      <c r="H88" s="251" t="s">
        <v>553</v>
      </c>
      <c r="I88" s="231">
        <v>0</v>
      </c>
      <c r="J88" s="128"/>
      <c r="K88" s="251" t="s">
        <v>553</v>
      </c>
      <c r="L88" s="231">
        <v>0</v>
      </c>
      <c r="N88" s="251" t="s">
        <v>553</v>
      </c>
      <c r="O88" s="231">
        <v>1</v>
      </c>
    </row>
    <row r="89" spans="1:51" ht="15" customHeight="1" thickBot="1" x14ac:dyDescent="0.3">
      <c r="A89" s="757"/>
      <c r="B89" s="274" t="s">
        <v>552</v>
      </c>
      <c r="C89" s="249">
        <f>SUM(C81:C88)</f>
        <v>8</v>
      </c>
      <c r="D89" s="248"/>
      <c r="E89" s="250" t="s">
        <v>552</v>
      </c>
      <c r="F89" s="249">
        <f>F81*((SUM(F82:F88)))</f>
        <v>8</v>
      </c>
      <c r="G89" s="248"/>
      <c r="H89" s="250" t="s">
        <v>552</v>
      </c>
      <c r="I89" s="249">
        <f>I81*((SUM(I82:I88)))</f>
        <v>10</v>
      </c>
      <c r="J89" s="248"/>
      <c r="K89" s="250" t="s">
        <v>552</v>
      </c>
      <c r="L89" s="249">
        <f>L81*((SUM(L82:L88)))</f>
        <v>10</v>
      </c>
      <c r="N89" s="250" t="s">
        <v>552</v>
      </c>
      <c r="O89" s="249">
        <f>O81*((SUM(O82:O88)))</f>
        <v>-11</v>
      </c>
    </row>
    <row r="90" spans="1:51" ht="24.75" customHeight="1" thickBot="1" x14ac:dyDescent="0.3">
      <c r="A90" s="277"/>
      <c r="B90" s="276"/>
      <c r="C90" s="225"/>
      <c r="D90" s="128"/>
      <c r="E90" s="128"/>
      <c r="F90" s="275"/>
      <c r="G90" s="128"/>
      <c r="H90" s="128"/>
      <c r="I90" s="275"/>
    </row>
    <row r="91" spans="1:51" ht="37.5" customHeight="1" thickBot="1" x14ac:dyDescent="0.3">
      <c r="A91" s="768">
        <v>7</v>
      </c>
      <c r="B91" s="771" t="str">
        <f>'Matriz de identificación'!J4</f>
        <v>Contratación de servicios de transporte</v>
      </c>
      <c r="C91" s="763"/>
      <c r="D91" s="763"/>
      <c r="E91" s="763"/>
      <c r="F91" s="763"/>
      <c r="G91" s="263"/>
      <c r="H91" s="263"/>
      <c r="I91" s="264"/>
      <c r="J91" s="263"/>
      <c r="K91" s="263"/>
      <c r="L91" s="264"/>
      <c r="N91" s="224"/>
      <c r="O91"/>
      <c r="Q91" s="224"/>
      <c r="R91"/>
      <c r="T91" s="224"/>
      <c r="U91"/>
      <c r="X91"/>
      <c r="AA91"/>
      <c r="AD91"/>
      <c r="AG91"/>
      <c r="AJ91"/>
      <c r="AM91"/>
      <c r="AP91"/>
      <c r="AS91"/>
      <c r="AV91"/>
      <c r="AY91"/>
    </row>
    <row r="92" spans="1:51" x14ac:dyDescent="0.25">
      <c r="A92" s="769"/>
      <c r="B92" s="255" t="s">
        <v>563</v>
      </c>
      <c r="C92" s="254" t="str">
        <f>'Matriz de identificación'!A29</f>
        <v>ANTROPOSFERICO</v>
      </c>
      <c r="D92" s="128"/>
      <c r="E92" s="255" t="s">
        <v>563</v>
      </c>
      <c r="F92" s="268" t="str">
        <f>C92</f>
        <v>ANTROPOSFERICO</v>
      </c>
      <c r="G92" s="128"/>
      <c r="H92" s="255" t="s">
        <v>563</v>
      </c>
      <c r="I92" s="268" t="str">
        <f>F92</f>
        <v>ANTROPOSFERICO</v>
      </c>
      <c r="J92" s="128"/>
      <c r="K92" s="255" t="s">
        <v>563</v>
      </c>
      <c r="L92" s="268" t="str">
        <f>I92</f>
        <v>ANTROPOSFERICO</v>
      </c>
      <c r="N92" s="255" t="s">
        <v>563</v>
      </c>
      <c r="O92" s="268" t="str">
        <f>O78</f>
        <v>HIDROSFÉRICO</v>
      </c>
      <c r="Q92" s="224"/>
      <c r="R92"/>
      <c r="T92" s="224"/>
      <c r="U92"/>
      <c r="X92"/>
      <c r="AA92"/>
      <c r="AD92"/>
      <c r="AG92"/>
      <c r="AJ92"/>
      <c r="AM92"/>
      <c r="AP92"/>
      <c r="AS92"/>
      <c r="AV92"/>
      <c r="AY92"/>
    </row>
    <row r="93" spans="1:51" x14ac:dyDescent="0.25">
      <c r="A93" s="769"/>
      <c r="B93" s="253" t="s">
        <v>562</v>
      </c>
      <c r="C93" s="252" t="str">
        <f>'Matriz de identificación'!B29</f>
        <v>SOCIAL</v>
      </c>
      <c r="D93" s="128"/>
      <c r="E93" s="253" t="s">
        <v>562</v>
      </c>
      <c r="F93" s="267" t="str">
        <f>C93</f>
        <v>SOCIAL</v>
      </c>
      <c r="G93" s="128"/>
      <c r="H93" s="253" t="s">
        <v>562</v>
      </c>
      <c r="I93" s="267" t="str">
        <f>F93</f>
        <v>SOCIAL</v>
      </c>
      <c r="J93" s="128"/>
      <c r="K93" s="253" t="s">
        <v>562</v>
      </c>
      <c r="L93" s="267" t="str">
        <f>L79</f>
        <v>ECONÓMICO</v>
      </c>
      <c r="N93" s="253" t="s">
        <v>562</v>
      </c>
      <c r="O93" s="267" t="str">
        <f>O79</f>
        <v>RECURSOS</v>
      </c>
      <c r="Q93" s="224"/>
      <c r="R93"/>
      <c r="T93" s="224"/>
      <c r="U93"/>
      <c r="X93"/>
      <c r="AA93"/>
      <c r="AD93"/>
      <c r="AG93"/>
      <c r="AJ93"/>
      <c r="AM93"/>
      <c r="AP93"/>
      <c r="AS93"/>
      <c r="AV93"/>
      <c r="AY93"/>
    </row>
    <row r="94" spans="1:51" x14ac:dyDescent="0.25">
      <c r="A94" s="769"/>
      <c r="B94" s="251" t="s">
        <v>561</v>
      </c>
      <c r="C94" s="231" t="str">
        <f>'Matriz de identificación'!C30</f>
        <v>Empleo</v>
      </c>
      <c r="D94" s="128"/>
      <c r="E94" s="251" t="s">
        <v>561</v>
      </c>
      <c r="F94" s="231" t="str">
        <f>F80</f>
        <v>Organización</v>
      </c>
      <c r="G94" s="128"/>
      <c r="H94" s="251" t="s">
        <v>561</v>
      </c>
      <c r="I94" s="231" t="str">
        <f>I80</f>
        <v>Servicios</v>
      </c>
      <c r="J94" s="128"/>
      <c r="K94" s="251" t="s">
        <v>561</v>
      </c>
      <c r="L94" s="231" t="str">
        <f>L80</f>
        <v>Estructura comercial</v>
      </c>
      <c r="N94" s="251" t="s">
        <v>561</v>
      </c>
      <c r="O94" s="231" t="str">
        <f>O80</f>
        <v>Disponibilidad</v>
      </c>
      <c r="Q94" s="224"/>
      <c r="R94"/>
      <c r="T94" s="224"/>
      <c r="U94"/>
      <c r="X94"/>
      <c r="AA94"/>
      <c r="AD94"/>
      <c r="AG94"/>
      <c r="AJ94"/>
      <c r="AM94"/>
      <c r="AP94"/>
      <c r="AS94"/>
      <c r="AV94"/>
      <c r="AY94"/>
    </row>
    <row r="95" spans="1:51" x14ac:dyDescent="0.25">
      <c r="A95" s="769"/>
      <c r="B95" s="251" t="s">
        <v>560</v>
      </c>
      <c r="C95" s="231">
        <v>1</v>
      </c>
      <c r="D95" s="128"/>
      <c r="E95" s="251" t="s">
        <v>560</v>
      </c>
      <c r="F95" s="231">
        <v>1</v>
      </c>
      <c r="G95" s="128"/>
      <c r="H95" s="251" t="s">
        <v>560</v>
      </c>
      <c r="I95" s="231">
        <v>1</v>
      </c>
      <c r="J95" s="128"/>
      <c r="K95" s="251" t="s">
        <v>560</v>
      </c>
      <c r="L95" s="231">
        <v>1</v>
      </c>
      <c r="N95" s="251" t="s">
        <v>560</v>
      </c>
      <c r="O95" s="231">
        <v>-1</v>
      </c>
      <c r="Q95" s="224"/>
      <c r="R95"/>
      <c r="T95" s="224"/>
      <c r="U95"/>
      <c r="X95"/>
      <c r="AA95"/>
      <c r="AD95"/>
      <c r="AG95"/>
      <c r="AJ95"/>
      <c r="AM95"/>
      <c r="AP95"/>
      <c r="AS95"/>
      <c r="AV95"/>
      <c r="AY95"/>
    </row>
    <row r="96" spans="1:51" x14ac:dyDescent="0.25">
      <c r="A96" s="769"/>
      <c r="B96" s="251" t="s">
        <v>559</v>
      </c>
      <c r="C96" s="231">
        <v>2</v>
      </c>
      <c r="D96" s="128"/>
      <c r="E96" s="251" t="s">
        <v>559</v>
      </c>
      <c r="F96" s="231">
        <v>2</v>
      </c>
      <c r="G96" s="128"/>
      <c r="H96" s="251" t="s">
        <v>559</v>
      </c>
      <c r="I96" s="231">
        <v>2</v>
      </c>
      <c r="J96" s="128"/>
      <c r="K96" s="251" t="s">
        <v>559</v>
      </c>
      <c r="L96" s="231">
        <v>2</v>
      </c>
      <c r="N96" s="251" t="s">
        <v>559</v>
      </c>
      <c r="O96" s="231">
        <v>1</v>
      </c>
      <c r="Q96" s="224"/>
      <c r="R96"/>
      <c r="T96" s="224"/>
      <c r="U96"/>
      <c r="X96"/>
      <c r="AA96"/>
      <c r="AD96"/>
      <c r="AG96"/>
      <c r="AJ96"/>
      <c r="AM96"/>
      <c r="AP96"/>
      <c r="AS96"/>
      <c r="AV96"/>
      <c r="AY96"/>
    </row>
    <row r="97" spans="1:51" x14ac:dyDescent="0.25">
      <c r="A97" s="769"/>
      <c r="B97" s="251" t="s">
        <v>558</v>
      </c>
      <c r="C97" s="231">
        <v>1</v>
      </c>
      <c r="D97" s="128"/>
      <c r="E97" s="251" t="s">
        <v>558</v>
      </c>
      <c r="F97" s="231">
        <v>3</v>
      </c>
      <c r="G97" s="128"/>
      <c r="H97" s="251" t="s">
        <v>558</v>
      </c>
      <c r="I97" s="231">
        <v>3</v>
      </c>
      <c r="J97" s="128"/>
      <c r="K97" s="251" t="s">
        <v>558</v>
      </c>
      <c r="L97" s="231">
        <v>3</v>
      </c>
      <c r="N97" s="251" t="s">
        <v>558</v>
      </c>
      <c r="O97" s="231">
        <v>3</v>
      </c>
      <c r="Q97" s="224"/>
      <c r="R97"/>
      <c r="T97" s="224"/>
      <c r="U97"/>
      <c r="X97"/>
      <c r="AA97"/>
      <c r="AD97"/>
      <c r="AG97"/>
      <c r="AJ97"/>
      <c r="AM97"/>
      <c r="AP97"/>
      <c r="AS97"/>
      <c r="AV97"/>
      <c r="AY97"/>
    </row>
    <row r="98" spans="1:51" x14ac:dyDescent="0.25">
      <c r="A98" s="769"/>
      <c r="B98" s="251" t="s">
        <v>557</v>
      </c>
      <c r="C98" s="231">
        <v>2</v>
      </c>
      <c r="D98" s="128"/>
      <c r="E98" s="251" t="s">
        <v>557</v>
      </c>
      <c r="F98" s="231">
        <v>2</v>
      </c>
      <c r="G98" s="128"/>
      <c r="H98" s="251" t="s">
        <v>557</v>
      </c>
      <c r="I98" s="231">
        <v>2</v>
      </c>
      <c r="J98" s="128"/>
      <c r="K98" s="251" t="s">
        <v>557</v>
      </c>
      <c r="L98" s="231">
        <v>2</v>
      </c>
      <c r="N98" s="251" t="s">
        <v>557</v>
      </c>
      <c r="O98" s="231">
        <v>1</v>
      </c>
      <c r="Q98" s="224"/>
      <c r="R98"/>
      <c r="T98" s="224"/>
      <c r="U98"/>
      <c r="X98"/>
      <c r="AA98"/>
      <c r="AD98"/>
      <c r="AG98"/>
      <c r="AJ98"/>
      <c r="AM98"/>
      <c r="AP98"/>
      <c r="AS98"/>
      <c r="AV98"/>
      <c r="AY98"/>
    </row>
    <row r="99" spans="1:51" x14ac:dyDescent="0.25">
      <c r="A99" s="769"/>
      <c r="B99" s="251" t="s">
        <v>556</v>
      </c>
      <c r="C99" s="231">
        <v>2</v>
      </c>
      <c r="D99" s="128"/>
      <c r="E99" s="251" t="s">
        <v>556</v>
      </c>
      <c r="F99" s="231">
        <v>2</v>
      </c>
      <c r="G99" s="128"/>
      <c r="H99" s="251" t="s">
        <v>556</v>
      </c>
      <c r="I99" s="231">
        <v>2</v>
      </c>
      <c r="J99" s="128"/>
      <c r="K99" s="251" t="s">
        <v>556</v>
      </c>
      <c r="L99" s="231">
        <v>2</v>
      </c>
      <c r="N99" s="251" t="s">
        <v>556</v>
      </c>
      <c r="O99" s="231">
        <v>2</v>
      </c>
      <c r="Q99" s="224"/>
      <c r="R99"/>
      <c r="T99" s="224"/>
      <c r="U99"/>
      <c r="X99"/>
      <c r="AA99"/>
      <c r="AD99"/>
      <c r="AG99"/>
      <c r="AJ99"/>
      <c r="AM99"/>
      <c r="AP99"/>
      <c r="AS99"/>
      <c r="AV99"/>
      <c r="AY99"/>
    </row>
    <row r="100" spans="1:51" x14ac:dyDescent="0.25">
      <c r="A100" s="769"/>
      <c r="B100" s="251" t="s">
        <v>555</v>
      </c>
      <c r="C100" s="231">
        <v>1</v>
      </c>
      <c r="D100" s="128"/>
      <c r="E100" s="251" t="s">
        <v>555</v>
      </c>
      <c r="F100" s="231">
        <v>1</v>
      </c>
      <c r="G100" s="128"/>
      <c r="H100" s="251" t="s">
        <v>555</v>
      </c>
      <c r="I100" s="231">
        <v>1</v>
      </c>
      <c r="J100" s="128"/>
      <c r="K100" s="251" t="s">
        <v>555</v>
      </c>
      <c r="L100" s="231">
        <v>1</v>
      </c>
      <c r="N100" s="251" t="s">
        <v>555</v>
      </c>
      <c r="O100" s="231">
        <v>2</v>
      </c>
      <c r="Q100" s="224"/>
      <c r="R100"/>
      <c r="T100" s="224"/>
      <c r="U100"/>
      <c r="X100"/>
      <c r="AA100"/>
      <c r="AD100"/>
      <c r="AG100"/>
      <c r="AJ100"/>
      <c r="AM100"/>
      <c r="AP100"/>
      <c r="AS100"/>
      <c r="AV100"/>
      <c r="AY100"/>
    </row>
    <row r="101" spans="1:51" x14ac:dyDescent="0.25">
      <c r="A101" s="769"/>
      <c r="B101" s="251" t="s">
        <v>554</v>
      </c>
      <c r="C101" s="231">
        <v>0</v>
      </c>
      <c r="D101" s="128"/>
      <c r="E101" s="251" t="s">
        <v>554</v>
      </c>
      <c r="F101" s="231">
        <v>0</v>
      </c>
      <c r="G101" s="128"/>
      <c r="H101" s="251" t="s">
        <v>554</v>
      </c>
      <c r="I101" s="231">
        <v>0</v>
      </c>
      <c r="J101" s="128"/>
      <c r="K101" s="251" t="s">
        <v>554</v>
      </c>
      <c r="L101" s="231">
        <v>0</v>
      </c>
      <c r="N101" s="251" t="s">
        <v>554</v>
      </c>
      <c r="O101" s="231">
        <v>1</v>
      </c>
      <c r="Q101" s="224"/>
      <c r="R101"/>
      <c r="T101" s="224"/>
      <c r="U101"/>
      <c r="X101"/>
      <c r="AA101"/>
      <c r="AD101"/>
      <c r="AG101"/>
      <c r="AJ101"/>
      <c r="AM101"/>
      <c r="AP101"/>
      <c r="AS101"/>
      <c r="AV101"/>
      <c r="AY101"/>
    </row>
    <row r="102" spans="1:51" x14ac:dyDescent="0.25">
      <c r="A102" s="769"/>
      <c r="B102" s="251" t="s">
        <v>553</v>
      </c>
      <c r="C102" s="231">
        <v>0</v>
      </c>
      <c r="D102" s="128"/>
      <c r="E102" s="251" t="s">
        <v>553</v>
      </c>
      <c r="F102" s="231">
        <v>0</v>
      </c>
      <c r="G102" s="128"/>
      <c r="H102" s="251" t="s">
        <v>553</v>
      </c>
      <c r="I102" s="231">
        <v>0</v>
      </c>
      <c r="J102" s="128"/>
      <c r="K102" s="251" t="s">
        <v>553</v>
      </c>
      <c r="L102" s="231">
        <v>0</v>
      </c>
      <c r="N102" s="251" t="s">
        <v>553</v>
      </c>
      <c r="O102" s="231">
        <v>1</v>
      </c>
      <c r="Q102" s="224"/>
      <c r="R102"/>
      <c r="T102" s="224"/>
      <c r="U102"/>
      <c r="X102"/>
      <c r="AA102"/>
      <c r="AD102"/>
      <c r="AG102"/>
      <c r="AJ102"/>
      <c r="AM102"/>
      <c r="AP102"/>
      <c r="AS102"/>
      <c r="AV102"/>
      <c r="AY102"/>
    </row>
    <row r="103" spans="1:51" ht="15.75" thickBot="1" x14ac:dyDescent="0.3">
      <c r="A103" s="770"/>
      <c r="B103" s="250" t="s">
        <v>552</v>
      </c>
      <c r="C103" s="249">
        <f>C95*((SUM(C96:C102)))</f>
        <v>8</v>
      </c>
      <c r="D103" s="248"/>
      <c r="E103" s="250" t="s">
        <v>552</v>
      </c>
      <c r="F103" s="249">
        <f>F95*((SUM(F96:F102)))</f>
        <v>10</v>
      </c>
      <c r="G103" s="248"/>
      <c r="H103" s="250" t="s">
        <v>552</v>
      </c>
      <c r="I103" s="249">
        <f>I95*((SUM(I96:I102)))</f>
        <v>10</v>
      </c>
      <c r="J103" s="248"/>
      <c r="K103" s="250" t="s">
        <v>552</v>
      </c>
      <c r="L103" s="249">
        <f>L95*((SUM(L96:L102)))</f>
        <v>10</v>
      </c>
      <c r="N103" s="250" t="s">
        <v>552</v>
      </c>
      <c r="O103" s="249">
        <f>O95*((SUM(O96:O102)))</f>
        <v>-11</v>
      </c>
      <c r="Q103" s="224"/>
      <c r="R103"/>
      <c r="T103" s="224"/>
      <c r="U103"/>
      <c r="X103"/>
      <c r="AA103"/>
      <c r="AD103"/>
      <c r="AG103"/>
      <c r="AJ103"/>
      <c r="AM103"/>
      <c r="AP103"/>
      <c r="AS103"/>
      <c r="AV103"/>
      <c r="AY103"/>
    </row>
    <row r="104" spans="1:51" ht="15.75" thickBot="1" x14ac:dyDescent="0.3"/>
    <row r="105" spans="1:51" ht="40.5" customHeight="1" thickBot="1" x14ac:dyDescent="0.3">
      <c r="A105" s="755">
        <v>8</v>
      </c>
      <c r="B105" s="763" t="str">
        <f>'Matriz de identificación'!K4</f>
        <v>Llegada de la pila</v>
      </c>
      <c r="C105" s="763"/>
      <c r="D105" s="763"/>
      <c r="E105" s="763"/>
      <c r="F105" s="764"/>
    </row>
    <row r="106" spans="1:51" x14ac:dyDescent="0.25">
      <c r="A106" s="756"/>
      <c r="B106" s="273" t="s">
        <v>563</v>
      </c>
      <c r="C106" s="268" t="str">
        <f>'Matriz de identificación'!A5</f>
        <v>ATMOSFÉRICO</v>
      </c>
      <c r="D106" s="128"/>
      <c r="E106" s="255" t="s">
        <v>563</v>
      </c>
      <c r="F106" s="268" t="str">
        <f>C106</f>
        <v>ATMOSFÉRICO</v>
      </c>
      <c r="H106" s="255" t="s">
        <v>563</v>
      </c>
      <c r="I106" s="268" t="str">
        <f>'Matriz de identificación'!A8</f>
        <v>GEOSFERICO</v>
      </c>
      <c r="J106" s="128"/>
      <c r="K106" s="255" t="s">
        <v>563</v>
      </c>
      <c r="L106" s="268" t="str">
        <f>'Matriz de identificación'!A29</f>
        <v>ANTROPOSFERICO</v>
      </c>
      <c r="M106" s="128"/>
      <c r="N106" s="255" t="s">
        <v>563</v>
      </c>
      <c r="O106" s="268" t="str">
        <f>L106</f>
        <v>ANTROPOSFERICO</v>
      </c>
    </row>
    <row r="107" spans="1:51" x14ac:dyDescent="0.25">
      <c r="A107" s="756"/>
      <c r="B107" s="272" t="s">
        <v>562</v>
      </c>
      <c r="C107" s="252" t="str">
        <f>'Matriz de identificación'!B5</f>
        <v>CALIDAD DEL AIRE</v>
      </c>
      <c r="D107" s="128"/>
      <c r="E107" s="253" t="s">
        <v>562</v>
      </c>
      <c r="F107" s="252" t="str">
        <f>C107</f>
        <v>CALIDAD DEL AIRE</v>
      </c>
      <c r="H107" s="253" t="s">
        <v>562</v>
      </c>
      <c r="I107" s="267" t="str">
        <f>'Matriz de identificación'!B15</f>
        <v>RECURSOS</v>
      </c>
      <c r="J107" s="128"/>
      <c r="K107" s="253" t="s">
        <v>562</v>
      </c>
      <c r="L107" s="267" t="str">
        <f>'Matriz de identificación'!B29</f>
        <v>SOCIAL</v>
      </c>
      <c r="M107" s="128"/>
      <c r="N107" s="253" t="s">
        <v>562</v>
      </c>
      <c r="O107" s="267" t="str">
        <f>L107</f>
        <v>SOCIAL</v>
      </c>
    </row>
    <row r="108" spans="1:51" x14ac:dyDescent="0.25">
      <c r="A108" s="756"/>
      <c r="B108" s="271" t="s">
        <v>561</v>
      </c>
      <c r="C108" s="231" t="str">
        <f>'Matriz de identificación'!C5</f>
        <v>Emisiones de ruido</v>
      </c>
      <c r="D108" s="128"/>
      <c r="E108" s="251" t="s">
        <v>561</v>
      </c>
      <c r="F108" s="231" t="str">
        <f>'Matriz de identificación'!C6</f>
        <v>Emisiones de gases</v>
      </c>
      <c r="H108" s="251" t="s">
        <v>561</v>
      </c>
      <c r="I108" s="231" t="str">
        <f>'Matriz de identificación'!C15</f>
        <v>Disponibilidad</v>
      </c>
      <c r="J108" s="128"/>
      <c r="K108" s="251" t="s">
        <v>561</v>
      </c>
      <c r="L108" s="231" t="str">
        <f>'Matriz de identificación'!C31</f>
        <v>Organización</v>
      </c>
      <c r="M108" s="128"/>
      <c r="N108" s="251" t="s">
        <v>561</v>
      </c>
      <c r="O108" s="231" t="str">
        <f>'Matriz de identificación'!C33</f>
        <v>Servicios</v>
      </c>
    </row>
    <row r="109" spans="1:51" x14ac:dyDescent="0.25">
      <c r="A109" s="756"/>
      <c r="B109" s="271" t="s">
        <v>560</v>
      </c>
      <c r="C109" s="231">
        <v>-1</v>
      </c>
      <c r="D109" s="128"/>
      <c r="E109" s="251" t="s">
        <v>560</v>
      </c>
      <c r="F109" s="231">
        <v>-1</v>
      </c>
      <c r="H109" s="251" t="s">
        <v>560</v>
      </c>
      <c r="I109" s="231">
        <v>-1</v>
      </c>
      <c r="J109" s="128"/>
      <c r="K109" s="251" t="s">
        <v>560</v>
      </c>
      <c r="L109" s="231">
        <v>1</v>
      </c>
      <c r="M109" s="128"/>
      <c r="N109" s="251" t="s">
        <v>560</v>
      </c>
      <c r="O109" s="231">
        <v>1</v>
      </c>
    </row>
    <row r="110" spans="1:51" x14ac:dyDescent="0.25">
      <c r="A110" s="756"/>
      <c r="B110" s="271" t="s">
        <v>559</v>
      </c>
      <c r="C110" s="231">
        <v>1</v>
      </c>
      <c r="D110" s="128"/>
      <c r="E110" s="251" t="s">
        <v>559</v>
      </c>
      <c r="F110" s="231">
        <v>2</v>
      </c>
      <c r="H110" s="251" t="s">
        <v>559</v>
      </c>
      <c r="I110" s="231">
        <v>2</v>
      </c>
      <c r="J110" s="128"/>
      <c r="K110" s="251" t="s">
        <v>559</v>
      </c>
      <c r="L110" s="231">
        <v>1</v>
      </c>
      <c r="M110" s="128"/>
      <c r="N110" s="251" t="s">
        <v>559</v>
      </c>
      <c r="O110" s="231">
        <v>2</v>
      </c>
    </row>
    <row r="111" spans="1:51" x14ac:dyDescent="0.25">
      <c r="A111" s="756"/>
      <c r="B111" s="271" t="s">
        <v>558</v>
      </c>
      <c r="C111" s="231">
        <v>3</v>
      </c>
      <c r="D111" s="128"/>
      <c r="E111" s="251" t="s">
        <v>558</v>
      </c>
      <c r="F111" s="231">
        <v>3</v>
      </c>
      <c r="H111" s="251" t="s">
        <v>558</v>
      </c>
      <c r="I111" s="231">
        <v>3</v>
      </c>
      <c r="J111" s="128"/>
      <c r="K111" s="251" t="s">
        <v>558</v>
      </c>
      <c r="L111" s="231">
        <v>3</v>
      </c>
      <c r="M111" s="128"/>
      <c r="N111" s="251" t="s">
        <v>558</v>
      </c>
      <c r="O111" s="231">
        <v>3</v>
      </c>
    </row>
    <row r="112" spans="1:51" x14ac:dyDescent="0.25">
      <c r="A112" s="756"/>
      <c r="B112" s="271" t="s">
        <v>557</v>
      </c>
      <c r="C112" s="231">
        <v>1</v>
      </c>
      <c r="D112" s="128"/>
      <c r="E112" s="251" t="s">
        <v>557</v>
      </c>
      <c r="F112" s="231">
        <v>2</v>
      </c>
      <c r="H112" s="251" t="s">
        <v>557</v>
      </c>
      <c r="I112" s="231">
        <v>2</v>
      </c>
      <c r="J112" s="128"/>
      <c r="K112" s="251" t="s">
        <v>557</v>
      </c>
      <c r="L112" s="231">
        <v>2</v>
      </c>
      <c r="M112" s="128"/>
      <c r="N112" s="251" t="s">
        <v>557</v>
      </c>
      <c r="O112" s="231">
        <v>2</v>
      </c>
    </row>
    <row r="113" spans="1:15" x14ac:dyDescent="0.25">
      <c r="A113" s="756"/>
      <c r="B113" s="271" t="s">
        <v>556</v>
      </c>
      <c r="C113" s="231">
        <v>1</v>
      </c>
      <c r="D113" s="128"/>
      <c r="E113" s="251" t="s">
        <v>556</v>
      </c>
      <c r="F113" s="231">
        <v>3</v>
      </c>
      <c r="H113" s="251" t="s">
        <v>556</v>
      </c>
      <c r="I113" s="231">
        <v>2</v>
      </c>
      <c r="J113" s="128"/>
      <c r="K113" s="251" t="s">
        <v>556</v>
      </c>
      <c r="L113" s="231">
        <v>2</v>
      </c>
      <c r="M113" s="128"/>
      <c r="N113" s="251" t="s">
        <v>556</v>
      </c>
      <c r="O113" s="231">
        <v>2</v>
      </c>
    </row>
    <row r="114" spans="1:15" x14ac:dyDescent="0.25">
      <c r="A114" s="756"/>
      <c r="B114" s="271" t="s">
        <v>555</v>
      </c>
      <c r="C114" s="231">
        <v>1</v>
      </c>
      <c r="D114" s="128"/>
      <c r="E114" s="251" t="s">
        <v>555</v>
      </c>
      <c r="F114" s="231">
        <v>2</v>
      </c>
      <c r="H114" s="251" t="s">
        <v>555</v>
      </c>
      <c r="I114" s="231">
        <v>2</v>
      </c>
      <c r="J114" s="128"/>
      <c r="K114" s="251" t="s">
        <v>555</v>
      </c>
      <c r="L114" s="231">
        <v>1</v>
      </c>
      <c r="M114" s="128"/>
      <c r="N114" s="251" t="s">
        <v>555</v>
      </c>
      <c r="O114" s="231">
        <v>1</v>
      </c>
    </row>
    <row r="115" spans="1:15" x14ac:dyDescent="0.25">
      <c r="A115" s="756"/>
      <c r="B115" s="271" t="s">
        <v>554</v>
      </c>
      <c r="C115" s="231">
        <v>1</v>
      </c>
      <c r="D115" s="128"/>
      <c r="E115" s="251" t="s">
        <v>554</v>
      </c>
      <c r="F115" s="231">
        <v>2</v>
      </c>
      <c r="H115" s="251" t="s">
        <v>554</v>
      </c>
      <c r="I115" s="231">
        <v>2</v>
      </c>
      <c r="J115" s="128"/>
      <c r="K115" s="251" t="s">
        <v>554</v>
      </c>
      <c r="L115" s="231">
        <v>0</v>
      </c>
      <c r="M115" s="128"/>
      <c r="N115" s="251" t="s">
        <v>554</v>
      </c>
      <c r="O115" s="231">
        <v>0</v>
      </c>
    </row>
    <row r="116" spans="1:15" x14ac:dyDescent="0.25">
      <c r="A116" s="756"/>
      <c r="B116" s="271" t="s">
        <v>553</v>
      </c>
      <c r="C116" s="231">
        <v>1</v>
      </c>
      <c r="D116" s="128"/>
      <c r="E116" s="251" t="s">
        <v>553</v>
      </c>
      <c r="F116" s="231">
        <v>2</v>
      </c>
      <c r="H116" s="251" t="s">
        <v>553</v>
      </c>
      <c r="I116" s="231">
        <v>2</v>
      </c>
      <c r="J116" s="128"/>
      <c r="K116" s="251" t="s">
        <v>553</v>
      </c>
      <c r="L116" s="231">
        <v>0</v>
      </c>
      <c r="M116" s="128"/>
      <c r="N116" s="251" t="s">
        <v>553</v>
      </c>
      <c r="O116" s="231">
        <v>0</v>
      </c>
    </row>
    <row r="117" spans="1:15" ht="15.75" thickBot="1" x14ac:dyDescent="0.3">
      <c r="A117" s="757"/>
      <c r="B117" s="274" t="s">
        <v>552</v>
      </c>
      <c r="C117" s="249">
        <f>C109*((SUM(C110:C116)))</f>
        <v>-9</v>
      </c>
      <c r="D117" s="248"/>
      <c r="E117" s="250" t="s">
        <v>552</v>
      </c>
      <c r="F117" s="249">
        <f>F109*((SUM(F110:F116)))</f>
        <v>-16</v>
      </c>
      <c r="H117" s="250" t="s">
        <v>552</v>
      </c>
      <c r="I117" s="249">
        <f>I109*((SUM(I110:I116)))</f>
        <v>-15</v>
      </c>
      <c r="J117" s="248"/>
      <c r="K117" s="250" t="s">
        <v>552</v>
      </c>
      <c r="L117" s="249">
        <f>L109*((SUM(L110:L116)))</f>
        <v>9</v>
      </c>
      <c r="M117" s="248"/>
      <c r="N117" s="250" t="s">
        <v>552</v>
      </c>
      <c r="O117" s="249">
        <f>O109*((SUM(O110:O116)))</f>
        <v>10</v>
      </c>
    </row>
    <row r="118" spans="1:15" ht="28.5" customHeight="1" thickBot="1" x14ac:dyDescent="0.3"/>
    <row r="119" spans="1:15" ht="40.5" customHeight="1" thickBot="1" x14ac:dyDescent="0.3">
      <c r="A119" s="755">
        <v>9</v>
      </c>
      <c r="B119" s="763" t="str">
        <f>'Matriz de identificación'!L4</f>
        <v>Nacionalización de productos</v>
      </c>
      <c r="C119" s="763"/>
      <c r="D119" s="763"/>
      <c r="E119" s="763"/>
      <c r="F119" s="763"/>
      <c r="G119" s="263"/>
      <c r="H119" s="263"/>
      <c r="I119" s="264"/>
      <c r="J119" s="263"/>
      <c r="K119" s="263"/>
      <c r="L119" s="264"/>
      <c r="M119" s="263"/>
      <c r="N119" s="263"/>
      <c r="O119" s="264"/>
    </row>
    <row r="120" spans="1:15" x14ac:dyDescent="0.25">
      <c r="A120" s="756"/>
      <c r="B120" s="273" t="s">
        <v>563</v>
      </c>
      <c r="C120" s="254" t="str">
        <f>'Matriz de identificación'!A29</f>
        <v>ANTROPOSFERICO</v>
      </c>
      <c r="D120" s="128"/>
      <c r="E120" s="255" t="s">
        <v>563</v>
      </c>
      <c r="F120" s="254" t="str">
        <f>C120</f>
        <v>ANTROPOSFERICO</v>
      </c>
      <c r="G120" s="128"/>
      <c r="H120" s="255" t="s">
        <v>563</v>
      </c>
      <c r="I120" s="254" t="str">
        <f>F120</f>
        <v>ANTROPOSFERICO</v>
      </c>
      <c r="J120" s="128"/>
      <c r="K120" s="255" t="s">
        <v>563</v>
      </c>
      <c r="L120" s="254" t="str">
        <f>I120</f>
        <v>ANTROPOSFERICO</v>
      </c>
      <c r="M120" s="128"/>
      <c r="N120" s="255" t="s">
        <v>563</v>
      </c>
      <c r="O120" s="254" t="str">
        <f>L120</f>
        <v>ANTROPOSFERICO</v>
      </c>
    </row>
    <row r="121" spans="1:15" x14ac:dyDescent="0.25">
      <c r="A121" s="756"/>
      <c r="B121" s="272" t="s">
        <v>562</v>
      </c>
      <c r="C121" s="252" t="str">
        <f>'Matriz de identificación'!B29</f>
        <v>SOCIAL</v>
      </c>
      <c r="D121" s="128"/>
      <c r="E121" s="253" t="s">
        <v>562</v>
      </c>
      <c r="F121" s="252" t="str">
        <f>C121</f>
        <v>SOCIAL</v>
      </c>
      <c r="G121" s="128"/>
      <c r="H121" s="253" t="s">
        <v>562</v>
      </c>
      <c r="I121" s="252" t="str">
        <f>F121</f>
        <v>SOCIAL</v>
      </c>
      <c r="J121" s="128"/>
      <c r="K121" s="253" t="s">
        <v>562</v>
      </c>
      <c r="L121" s="252" t="str">
        <f>I121</f>
        <v>SOCIAL</v>
      </c>
      <c r="M121" s="128"/>
      <c r="N121" s="253" t="s">
        <v>562</v>
      </c>
      <c r="O121" s="252" t="str">
        <f>'Matriz de identificación'!B35</f>
        <v>ECONÓMICO</v>
      </c>
    </row>
    <row r="122" spans="1:15" x14ac:dyDescent="0.25">
      <c r="A122" s="756"/>
      <c r="B122" s="271" t="s">
        <v>561</v>
      </c>
      <c r="C122" s="231" t="str">
        <f>'Matriz de identificación'!C30</f>
        <v>Empleo</v>
      </c>
      <c r="D122" s="128"/>
      <c r="E122" s="251" t="s">
        <v>561</v>
      </c>
      <c r="F122" s="231" t="str">
        <f>'Matriz de identificación'!C31</f>
        <v>Organización</v>
      </c>
      <c r="G122" s="128"/>
      <c r="H122" s="251" t="s">
        <v>561</v>
      </c>
      <c r="I122" s="231" t="str">
        <f>'Matriz de identificación'!C32</f>
        <v>Presencia del Estado</v>
      </c>
      <c r="J122" s="128"/>
      <c r="K122" s="251" t="s">
        <v>561</v>
      </c>
      <c r="L122" s="231" t="str">
        <f>'Matriz de identificación'!C33</f>
        <v>Servicios</v>
      </c>
      <c r="M122" s="128"/>
      <c r="N122" s="251" t="s">
        <v>561</v>
      </c>
      <c r="O122" s="231" t="str">
        <f>'Matriz de identificación'!C35</f>
        <v>Estructura comercial</v>
      </c>
    </row>
    <row r="123" spans="1:15" x14ac:dyDescent="0.25">
      <c r="A123" s="756"/>
      <c r="B123" s="271" t="s">
        <v>560</v>
      </c>
      <c r="C123" s="231"/>
      <c r="D123" s="128"/>
      <c r="E123" s="251" t="s">
        <v>560</v>
      </c>
      <c r="F123" s="231">
        <v>1</v>
      </c>
      <c r="G123" s="128"/>
      <c r="H123" s="251" t="s">
        <v>560</v>
      </c>
      <c r="I123" s="231">
        <v>1</v>
      </c>
      <c r="J123" s="128"/>
      <c r="K123" s="251" t="s">
        <v>560</v>
      </c>
      <c r="L123" s="231">
        <v>1</v>
      </c>
      <c r="M123" s="128"/>
      <c r="N123" s="251" t="s">
        <v>560</v>
      </c>
      <c r="O123" s="231">
        <v>1</v>
      </c>
    </row>
    <row r="124" spans="1:15" x14ac:dyDescent="0.25">
      <c r="A124" s="756"/>
      <c r="B124" s="271" t="s">
        <v>559</v>
      </c>
      <c r="C124" s="231"/>
      <c r="D124" s="128"/>
      <c r="E124" s="251" t="s">
        <v>559</v>
      </c>
      <c r="F124" s="231">
        <v>2</v>
      </c>
      <c r="G124" s="128"/>
      <c r="H124" s="251" t="s">
        <v>559</v>
      </c>
      <c r="I124" s="231">
        <v>3</v>
      </c>
      <c r="J124" s="128"/>
      <c r="K124" s="251" t="s">
        <v>559</v>
      </c>
      <c r="L124" s="231">
        <v>2</v>
      </c>
      <c r="M124" s="128"/>
      <c r="N124" s="251" t="s">
        <v>559</v>
      </c>
      <c r="O124" s="231">
        <v>2</v>
      </c>
    </row>
    <row r="125" spans="1:15" x14ac:dyDescent="0.25">
      <c r="A125" s="756"/>
      <c r="B125" s="271" t="s">
        <v>558</v>
      </c>
      <c r="C125" s="231"/>
      <c r="D125" s="128"/>
      <c r="E125" s="251" t="s">
        <v>558</v>
      </c>
      <c r="F125" s="231">
        <v>3</v>
      </c>
      <c r="G125" s="128"/>
      <c r="H125" s="251" t="s">
        <v>558</v>
      </c>
      <c r="I125" s="231">
        <v>3</v>
      </c>
      <c r="J125" s="128"/>
      <c r="K125" s="251" t="s">
        <v>558</v>
      </c>
      <c r="L125" s="231">
        <v>3</v>
      </c>
      <c r="M125" s="128"/>
      <c r="N125" s="251" t="s">
        <v>558</v>
      </c>
      <c r="O125" s="231">
        <v>3</v>
      </c>
    </row>
    <row r="126" spans="1:15" x14ac:dyDescent="0.25">
      <c r="A126" s="756"/>
      <c r="B126" s="271" t="s">
        <v>557</v>
      </c>
      <c r="C126" s="231"/>
      <c r="D126" s="128"/>
      <c r="E126" s="251" t="s">
        <v>557</v>
      </c>
      <c r="F126" s="231">
        <v>2</v>
      </c>
      <c r="G126" s="128"/>
      <c r="H126" s="251" t="s">
        <v>557</v>
      </c>
      <c r="I126" s="231">
        <v>2</v>
      </c>
      <c r="J126" s="128"/>
      <c r="K126" s="251" t="s">
        <v>557</v>
      </c>
      <c r="L126" s="231">
        <v>2</v>
      </c>
      <c r="M126" s="128"/>
      <c r="N126" s="251" t="s">
        <v>557</v>
      </c>
      <c r="O126" s="231">
        <v>2</v>
      </c>
    </row>
    <row r="127" spans="1:15" x14ac:dyDescent="0.25">
      <c r="A127" s="756"/>
      <c r="B127" s="271" t="s">
        <v>556</v>
      </c>
      <c r="C127" s="231"/>
      <c r="D127" s="128"/>
      <c r="E127" s="251" t="s">
        <v>556</v>
      </c>
      <c r="F127" s="231">
        <v>2</v>
      </c>
      <c r="G127" s="128"/>
      <c r="H127" s="251" t="s">
        <v>556</v>
      </c>
      <c r="I127" s="231">
        <v>2</v>
      </c>
      <c r="J127" s="128"/>
      <c r="K127" s="251" t="s">
        <v>556</v>
      </c>
      <c r="L127" s="231">
        <v>2</v>
      </c>
      <c r="M127" s="128"/>
      <c r="N127" s="251" t="s">
        <v>556</v>
      </c>
      <c r="O127" s="231">
        <v>2</v>
      </c>
    </row>
    <row r="128" spans="1:15" x14ac:dyDescent="0.25">
      <c r="A128" s="756"/>
      <c r="B128" s="271" t="s">
        <v>555</v>
      </c>
      <c r="C128" s="231"/>
      <c r="D128" s="128"/>
      <c r="E128" s="251" t="s">
        <v>555</v>
      </c>
      <c r="F128" s="231">
        <v>1</v>
      </c>
      <c r="G128" s="128"/>
      <c r="H128" s="251" t="s">
        <v>555</v>
      </c>
      <c r="I128" s="231">
        <v>1</v>
      </c>
      <c r="J128" s="128"/>
      <c r="K128" s="251" t="s">
        <v>555</v>
      </c>
      <c r="L128" s="231">
        <v>1</v>
      </c>
      <c r="M128" s="128"/>
      <c r="N128" s="251" t="s">
        <v>555</v>
      </c>
      <c r="O128" s="231">
        <v>1</v>
      </c>
    </row>
    <row r="129" spans="1:51" x14ac:dyDescent="0.25">
      <c r="A129" s="756"/>
      <c r="B129" s="271" t="s">
        <v>554</v>
      </c>
      <c r="C129" s="231"/>
      <c r="D129" s="128"/>
      <c r="E129" s="251" t="s">
        <v>554</v>
      </c>
      <c r="F129" s="231">
        <v>0</v>
      </c>
      <c r="G129" s="128"/>
      <c r="H129" s="251" t="s">
        <v>554</v>
      </c>
      <c r="I129" s="231">
        <v>0</v>
      </c>
      <c r="J129" s="128"/>
      <c r="K129" s="251" t="s">
        <v>554</v>
      </c>
      <c r="L129" s="231">
        <v>0</v>
      </c>
      <c r="M129" s="128"/>
      <c r="N129" s="251" t="s">
        <v>554</v>
      </c>
      <c r="O129" s="231">
        <v>0</v>
      </c>
    </row>
    <row r="130" spans="1:51" ht="15.75" thickBot="1" x14ac:dyDescent="0.3">
      <c r="A130" s="756"/>
      <c r="B130" s="270" t="s">
        <v>553</v>
      </c>
      <c r="C130" s="227"/>
      <c r="D130" s="128"/>
      <c r="E130" s="251" t="s">
        <v>553</v>
      </c>
      <c r="F130" s="231">
        <v>0</v>
      </c>
      <c r="G130" s="128"/>
      <c r="H130" s="251" t="s">
        <v>553</v>
      </c>
      <c r="I130" s="231">
        <v>0</v>
      </c>
      <c r="J130" s="128"/>
      <c r="K130" s="251" t="s">
        <v>553</v>
      </c>
      <c r="L130" s="231">
        <v>0</v>
      </c>
      <c r="M130" s="128"/>
      <c r="N130" s="251" t="s">
        <v>553</v>
      </c>
      <c r="O130" s="231">
        <v>0</v>
      </c>
    </row>
    <row r="131" spans="1:51" ht="15.75" thickBot="1" x14ac:dyDescent="0.3">
      <c r="A131" s="757"/>
      <c r="B131" s="269" t="s">
        <v>552</v>
      </c>
      <c r="C131" s="249"/>
      <c r="D131" s="248"/>
      <c r="E131" s="250" t="s">
        <v>552</v>
      </c>
      <c r="F131" s="249">
        <f>F123*((SUM(F124:F130)))</f>
        <v>10</v>
      </c>
      <c r="G131" s="248"/>
      <c r="H131" s="250" t="s">
        <v>552</v>
      </c>
      <c r="I131" s="249">
        <f>I123*((SUM(I124:I130)))</f>
        <v>11</v>
      </c>
      <c r="J131" s="248"/>
      <c r="K131" s="250" t="s">
        <v>552</v>
      </c>
      <c r="L131" s="249">
        <f>L123*((SUM(L124:L130)))</f>
        <v>10</v>
      </c>
      <c r="M131" s="248"/>
      <c r="N131" s="250" t="s">
        <v>552</v>
      </c>
      <c r="O131" s="249">
        <f>O123*((SUM(O124:O130)))</f>
        <v>10</v>
      </c>
    </row>
    <row r="132" spans="1:51" ht="30.75" customHeight="1" thickBot="1" x14ac:dyDescent="0.3"/>
    <row r="133" spans="1:51" ht="36.75" customHeight="1" thickBot="1" x14ac:dyDescent="0.3">
      <c r="A133" s="768">
        <v>10</v>
      </c>
      <c r="B133" s="771" t="str">
        <f>'Matriz de identificación'!M4</f>
        <v>Transporte a las instalaciones de Transcoop</v>
      </c>
      <c r="C133" s="763"/>
      <c r="D133" s="763"/>
      <c r="E133" s="763"/>
      <c r="F133" s="763"/>
      <c r="G133" s="263"/>
      <c r="H133" s="263"/>
      <c r="I133" s="264"/>
      <c r="J133" s="263"/>
      <c r="K133" s="263"/>
      <c r="L133" s="264"/>
      <c r="M133" s="263"/>
      <c r="N133" s="263"/>
      <c r="O133" s="264"/>
      <c r="P133" s="263"/>
      <c r="Q133" s="263"/>
      <c r="R133" s="264"/>
      <c r="U133" s="224"/>
      <c r="X133" s="224"/>
      <c r="AA133" s="224"/>
      <c r="AD133" s="224"/>
      <c r="AG133"/>
      <c r="AJ133"/>
      <c r="AM133"/>
      <c r="AP133"/>
      <c r="AS133"/>
      <c r="AV133"/>
      <c r="AY133"/>
    </row>
    <row r="134" spans="1:51" x14ac:dyDescent="0.25">
      <c r="A134" s="769"/>
      <c r="B134" s="273" t="s">
        <v>563</v>
      </c>
      <c r="C134" s="268" t="str">
        <f>'Matriz de identificación'!A5</f>
        <v>ATMOSFÉRICO</v>
      </c>
      <c r="D134" s="128"/>
      <c r="E134" s="255" t="s">
        <v>563</v>
      </c>
      <c r="F134" s="268" t="str">
        <f>C134</f>
        <v>ATMOSFÉRICO</v>
      </c>
      <c r="H134" s="255" t="s">
        <v>563</v>
      </c>
      <c r="I134" s="254" t="str">
        <f>'Matriz de identificación'!A29</f>
        <v>ANTROPOSFERICO</v>
      </c>
      <c r="J134" s="128"/>
      <c r="K134" s="255" t="s">
        <v>563</v>
      </c>
      <c r="L134" s="268" t="str">
        <f>I134</f>
        <v>ANTROPOSFERICO</v>
      </c>
      <c r="M134" s="128"/>
      <c r="N134" s="255" t="s">
        <v>563</v>
      </c>
      <c r="O134" s="268" t="str">
        <f>L134</f>
        <v>ANTROPOSFERICO</v>
      </c>
      <c r="P134" s="128"/>
      <c r="Q134" s="261" t="s">
        <v>563</v>
      </c>
      <c r="R134" s="266" t="str">
        <f>O134</f>
        <v>ANTROPOSFERICO</v>
      </c>
      <c r="T134" s="255" t="s">
        <v>563</v>
      </c>
      <c r="U134" s="268" t="str">
        <f>'Matriz de identificación'!A8</f>
        <v>GEOSFERICO</v>
      </c>
      <c r="X134" s="224"/>
      <c r="AA134" s="224"/>
      <c r="AD134" s="224"/>
      <c r="AG134"/>
      <c r="AJ134"/>
      <c r="AM134"/>
      <c r="AP134"/>
      <c r="AS134"/>
      <c r="AV134"/>
      <c r="AY134"/>
    </row>
    <row r="135" spans="1:51" x14ac:dyDescent="0.25">
      <c r="A135" s="769"/>
      <c r="B135" s="272" t="s">
        <v>562</v>
      </c>
      <c r="C135" s="252" t="str">
        <f>'Matriz de identificación'!B5</f>
        <v>CALIDAD DEL AIRE</v>
      </c>
      <c r="D135" s="128"/>
      <c r="E135" s="253" t="s">
        <v>562</v>
      </c>
      <c r="F135" s="252" t="str">
        <f>C135</f>
        <v>CALIDAD DEL AIRE</v>
      </c>
      <c r="H135" s="253" t="s">
        <v>562</v>
      </c>
      <c r="I135" s="252" t="str">
        <f>'Matriz de identificación'!B29</f>
        <v>SOCIAL</v>
      </c>
      <c r="J135" s="128"/>
      <c r="K135" s="253" t="s">
        <v>562</v>
      </c>
      <c r="L135" s="267" t="str">
        <f>I135</f>
        <v>SOCIAL</v>
      </c>
      <c r="M135" s="128"/>
      <c r="N135" s="253" t="s">
        <v>562</v>
      </c>
      <c r="O135" s="267" t="str">
        <f>L135</f>
        <v>SOCIAL</v>
      </c>
      <c r="P135" s="128"/>
      <c r="Q135" s="259" t="s">
        <v>562</v>
      </c>
      <c r="R135" s="258" t="str">
        <f>'Matriz de identificación'!B35</f>
        <v>ECONÓMICO</v>
      </c>
      <c r="T135" s="253" t="s">
        <v>562</v>
      </c>
      <c r="U135" s="267" t="str">
        <f>'Matriz de identificación'!B15</f>
        <v>RECURSOS</v>
      </c>
      <c r="X135" s="224"/>
      <c r="AA135" s="224"/>
      <c r="AD135" s="224"/>
      <c r="AG135"/>
      <c r="AJ135"/>
      <c r="AM135"/>
      <c r="AP135"/>
      <c r="AS135"/>
      <c r="AV135"/>
      <c r="AY135"/>
    </row>
    <row r="136" spans="1:51" x14ac:dyDescent="0.25">
      <c r="A136" s="769"/>
      <c r="B136" s="271" t="s">
        <v>561</v>
      </c>
      <c r="C136" s="231" t="str">
        <f>'Matriz de identificación'!C5</f>
        <v>Emisiones de ruido</v>
      </c>
      <c r="D136" s="128"/>
      <c r="E136" s="251" t="s">
        <v>561</v>
      </c>
      <c r="F136" s="231" t="str">
        <f>'Matriz de identificación'!C6</f>
        <v>Emisiones de gases</v>
      </c>
      <c r="H136" s="251" t="s">
        <v>561</v>
      </c>
      <c r="I136" s="231" t="str">
        <f>'Matriz de identificación'!C30</f>
        <v>Empleo</v>
      </c>
      <c r="J136" s="128"/>
      <c r="K136" s="251" t="s">
        <v>561</v>
      </c>
      <c r="L136" s="231" t="str">
        <f>'Matriz de identificación'!C31</f>
        <v>Organización</v>
      </c>
      <c r="M136" s="128"/>
      <c r="N136" s="251" t="s">
        <v>561</v>
      </c>
      <c r="O136" s="231" t="str">
        <f>'Matriz de identificación'!C33</f>
        <v>Servicios</v>
      </c>
      <c r="P136" s="128"/>
      <c r="Q136" s="257" t="s">
        <v>561</v>
      </c>
      <c r="R136" s="8" t="str">
        <f>'Matriz de identificación'!C35</f>
        <v>Estructura comercial</v>
      </c>
      <c r="T136" s="251" t="s">
        <v>561</v>
      </c>
      <c r="U136" s="231" t="str">
        <f>'Matriz de identificación'!C15</f>
        <v>Disponibilidad</v>
      </c>
      <c r="X136" s="224"/>
      <c r="AA136" s="224"/>
      <c r="AD136" s="224"/>
      <c r="AG136"/>
      <c r="AJ136"/>
      <c r="AM136"/>
      <c r="AP136"/>
      <c r="AS136"/>
      <c r="AV136"/>
      <c r="AY136"/>
    </row>
    <row r="137" spans="1:51" x14ac:dyDescent="0.25">
      <c r="A137" s="769"/>
      <c r="B137" s="271" t="s">
        <v>560</v>
      </c>
      <c r="C137" s="231">
        <v>-1</v>
      </c>
      <c r="D137" s="128"/>
      <c r="E137" s="251" t="s">
        <v>560</v>
      </c>
      <c r="F137" s="231">
        <v>-1</v>
      </c>
      <c r="H137" s="251" t="s">
        <v>560</v>
      </c>
      <c r="I137" s="231">
        <v>1</v>
      </c>
      <c r="J137" s="128"/>
      <c r="K137" s="251" t="s">
        <v>560</v>
      </c>
      <c r="L137" s="231">
        <v>1</v>
      </c>
      <c r="M137" s="128"/>
      <c r="N137" s="251" t="s">
        <v>560</v>
      </c>
      <c r="O137" s="231">
        <v>1</v>
      </c>
      <c r="P137" s="128"/>
      <c r="Q137" s="257" t="s">
        <v>560</v>
      </c>
      <c r="R137" s="8">
        <v>1</v>
      </c>
      <c r="T137" s="251" t="s">
        <v>560</v>
      </c>
      <c r="U137" s="231">
        <v>-1</v>
      </c>
      <c r="X137" s="224"/>
      <c r="AA137" s="224"/>
      <c r="AD137" s="224"/>
      <c r="AG137"/>
      <c r="AJ137"/>
      <c r="AM137"/>
      <c r="AP137"/>
      <c r="AS137"/>
      <c r="AV137"/>
      <c r="AY137"/>
    </row>
    <row r="138" spans="1:51" x14ac:dyDescent="0.25">
      <c r="A138" s="769"/>
      <c r="B138" s="271" t="s">
        <v>559</v>
      </c>
      <c r="C138" s="231">
        <v>1</v>
      </c>
      <c r="D138" s="128"/>
      <c r="E138" s="251" t="s">
        <v>559</v>
      </c>
      <c r="F138" s="231">
        <v>3</v>
      </c>
      <c r="H138" s="251" t="s">
        <v>559</v>
      </c>
      <c r="I138" s="231">
        <v>2</v>
      </c>
      <c r="J138" s="128"/>
      <c r="K138" s="251" t="s">
        <v>559</v>
      </c>
      <c r="L138" s="231">
        <v>2</v>
      </c>
      <c r="M138" s="128"/>
      <c r="N138" s="251" t="s">
        <v>559</v>
      </c>
      <c r="O138" s="231">
        <v>2</v>
      </c>
      <c r="P138" s="128"/>
      <c r="Q138" s="257" t="s">
        <v>559</v>
      </c>
      <c r="R138" s="8">
        <v>2</v>
      </c>
      <c r="T138" s="251" t="s">
        <v>559</v>
      </c>
      <c r="U138" s="231">
        <v>2</v>
      </c>
      <c r="X138" s="224"/>
      <c r="AA138" s="224"/>
      <c r="AD138" s="224"/>
      <c r="AG138"/>
      <c r="AJ138"/>
      <c r="AM138"/>
      <c r="AP138"/>
      <c r="AS138"/>
      <c r="AV138"/>
      <c r="AY138"/>
    </row>
    <row r="139" spans="1:51" x14ac:dyDescent="0.25">
      <c r="A139" s="769"/>
      <c r="B139" s="271" t="s">
        <v>558</v>
      </c>
      <c r="C139" s="231">
        <v>3</v>
      </c>
      <c r="D139" s="128"/>
      <c r="E139" s="251" t="s">
        <v>558</v>
      </c>
      <c r="F139" s="231">
        <v>3</v>
      </c>
      <c r="H139" s="251" t="s">
        <v>558</v>
      </c>
      <c r="I139" s="231">
        <v>3</v>
      </c>
      <c r="J139" s="128"/>
      <c r="K139" s="251" t="s">
        <v>558</v>
      </c>
      <c r="L139" s="231">
        <v>3</v>
      </c>
      <c r="M139" s="128"/>
      <c r="N139" s="251" t="s">
        <v>558</v>
      </c>
      <c r="O139" s="231">
        <v>3</v>
      </c>
      <c r="P139" s="128"/>
      <c r="Q139" s="257" t="s">
        <v>558</v>
      </c>
      <c r="R139" s="8">
        <v>3</v>
      </c>
      <c r="T139" s="251" t="s">
        <v>558</v>
      </c>
      <c r="U139" s="231">
        <v>3</v>
      </c>
      <c r="X139" s="224"/>
      <c r="AA139" s="224"/>
      <c r="AD139" s="224"/>
      <c r="AG139"/>
      <c r="AJ139"/>
      <c r="AM139"/>
      <c r="AP139"/>
      <c r="AS139"/>
      <c r="AV139"/>
      <c r="AY139"/>
    </row>
    <row r="140" spans="1:51" x14ac:dyDescent="0.25">
      <c r="A140" s="769"/>
      <c r="B140" s="271" t="s">
        <v>557</v>
      </c>
      <c r="C140" s="231">
        <v>1</v>
      </c>
      <c r="D140" s="128"/>
      <c r="E140" s="251" t="s">
        <v>557</v>
      </c>
      <c r="F140" s="231">
        <v>1</v>
      </c>
      <c r="H140" s="251" t="s">
        <v>557</v>
      </c>
      <c r="I140" s="231">
        <v>2</v>
      </c>
      <c r="J140" s="128"/>
      <c r="K140" s="251" t="s">
        <v>557</v>
      </c>
      <c r="L140" s="231">
        <v>2</v>
      </c>
      <c r="M140" s="128"/>
      <c r="N140" s="251" t="s">
        <v>557</v>
      </c>
      <c r="O140" s="231">
        <v>2</v>
      </c>
      <c r="P140" s="128"/>
      <c r="Q140" s="257" t="s">
        <v>557</v>
      </c>
      <c r="R140" s="8">
        <v>2</v>
      </c>
      <c r="T140" s="251" t="s">
        <v>557</v>
      </c>
      <c r="U140" s="231">
        <v>2</v>
      </c>
      <c r="X140" s="224"/>
      <c r="AA140" s="224"/>
      <c r="AD140" s="224"/>
      <c r="AG140"/>
      <c r="AJ140"/>
      <c r="AM140"/>
      <c r="AP140"/>
      <c r="AS140"/>
      <c r="AV140"/>
      <c r="AY140"/>
    </row>
    <row r="141" spans="1:51" x14ac:dyDescent="0.25">
      <c r="A141" s="769"/>
      <c r="B141" s="271" t="s">
        <v>556</v>
      </c>
      <c r="C141" s="231">
        <v>1</v>
      </c>
      <c r="D141" s="128"/>
      <c r="E141" s="251" t="s">
        <v>556</v>
      </c>
      <c r="F141" s="231">
        <v>3</v>
      </c>
      <c r="H141" s="251" t="s">
        <v>556</v>
      </c>
      <c r="I141" s="231">
        <v>2</v>
      </c>
      <c r="J141" s="128"/>
      <c r="K141" s="251" t="s">
        <v>556</v>
      </c>
      <c r="L141" s="231">
        <v>2</v>
      </c>
      <c r="M141" s="128"/>
      <c r="N141" s="251" t="s">
        <v>556</v>
      </c>
      <c r="O141" s="231">
        <v>2</v>
      </c>
      <c r="P141" s="128"/>
      <c r="Q141" s="257" t="s">
        <v>556</v>
      </c>
      <c r="R141" s="8">
        <v>2</v>
      </c>
      <c r="T141" s="251" t="s">
        <v>556</v>
      </c>
      <c r="U141" s="231">
        <v>2</v>
      </c>
      <c r="X141" s="224"/>
      <c r="AA141" s="224"/>
      <c r="AD141" s="224"/>
      <c r="AG141"/>
      <c r="AJ141"/>
      <c r="AM141"/>
      <c r="AP141"/>
      <c r="AS141"/>
      <c r="AV141"/>
      <c r="AY141"/>
    </row>
    <row r="142" spans="1:51" x14ac:dyDescent="0.25">
      <c r="A142" s="769"/>
      <c r="B142" s="271" t="s">
        <v>555</v>
      </c>
      <c r="C142" s="231">
        <v>1</v>
      </c>
      <c r="D142" s="128"/>
      <c r="E142" s="251" t="s">
        <v>555</v>
      </c>
      <c r="F142" s="231">
        <v>2</v>
      </c>
      <c r="H142" s="251" t="s">
        <v>555</v>
      </c>
      <c r="I142" s="231">
        <v>1</v>
      </c>
      <c r="J142" s="128"/>
      <c r="K142" s="251" t="s">
        <v>555</v>
      </c>
      <c r="L142" s="231">
        <v>1</v>
      </c>
      <c r="M142" s="128"/>
      <c r="N142" s="251" t="s">
        <v>555</v>
      </c>
      <c r="O142" s="231">
        <v>1</v>
      </c>
      <c r="P142" s="128"/>
      <c r="Q142" s="257" t="s">
        <v>555</v>
      </c>
      <c r="R142" s="8">
        <v>1</v>
      </c>
      <c r="T142" s="251" t="s">
        <v>555</v>
      </c>
      <c r="U142" s="231">
        <v>2</v>
      </c>
      <c r="X142" s="224"/>
      <c r="AA142" s="224"/>
      <c r="AD142" s="224"/>
      <c r="AG142"/>
      <c r="AJ142"/>
      <c r="AM142"/>
      <c r="AP142"/>
      <c r="AS142"/>
      <c r="AV142"/>
      <c r="AY142"/>
    </row>
    <row r="143" spans="1:51" x14ac:dyDescent="0.25">
      <c r="A143" s="769"/>
      <c r="B143" s="271" t="s">
        <v>554</v>
      </c>
      <c r="C143" s="231">
        <v>1</v>
      </c>
      <c r="D143" s="128"/>
      <c r="E143" s="251" t="s">
        <v>554</v>
      </c>
      <c r="F143" s="231">
        <v>2</v>
      </c>
      <c r="H143" s="251" t="s">
        <v>554</v>
      </c>
      <c r="I143" s="231">
        <v>0</v>
      </c>
      <c r="J143" s="128"/>
      <c r="K143" s="251" t="s">
        <v>554</v>
      </c>
      <c r="L143" s="231">
        <v>0</v>
      </c>
      <c r="M143" s="128"/>
      <c r="N143" s="251" t="s">
        <v>554</v>
      </c>
      <c r="O143" s="231">
        <v>0</v>
      </c>
      <c r="P143" s="128"/>
      <c r="Q143" s="257" t="s">
        <v>554</v>
      </c>
      <c r="R143" s="8">
        <v>0</v>
      </c>
      <c r="T143" s="251" t="s">
        <v>554</v>
      </c>
      <c r="U143" s="231">
        <v>2</v>
      </c>
      <c r="X143" s="224"/>
      <c r="AA143" s="224"/>
      <c r="AD143" s="224"/>
      <c r="AG143"/>
      <c r="AJ143"/>
      <c r="AM143"/>
      <c r="AP143"/>
      <c r="AS143"/>
      <c r="AV143"/>
      <c r="AY143"/>
    </row>
    <row r="144" spans="1:51" x14ac:dyDescent="0.25">
      <c r="A144" s="769"/>
      <c r="B144" s="271" t="s">
        <v>553</v>
      </c>
      <c r="C144" s="231">
        <v>1</v>
      </c>
      <c r="D144" s="128"/>
      <c r="E144" s="251" t="s">
        <v>553</v>
      </c>
      <c r="F144" s="231">
        <v>2</v>
      </c>
      <c r="H144" s="251" t="s">
        <v>553</v>
      </c>
      <c r="I144" s="231">
        <v>0</v>
      </c>
      <c r="J144" s="128"/>
      <c r="K144" s="251" t="s">
        <v>553</v>
      </c>
      <c r="L144" s="231">
        <v>0</v>
      </c>
      <c r="M144" s="128"/>
      <c r="N144" s="251" t="s">
        <v>553</v>
      </c>
      <c r="O144" s="231">
        <v>0</v>
      </c>
      <c r="P144" s="128"/>
      <c r="Q144" s="257" t="s">
        <v>553</v>
      </c>
      <c r="R144" s="8">
        <v>0</v>
      </c>
      <c r="T144" s="251" t="s">
        <v>553</v>
      </c>
      <c r="U144" s="231">
        <v>2</v>
      </c>
      <c r="X144" s="224"/>
      <c r="AA144" s="224"/>
      <c r="AD144" s="224"/>
      <c r="AG144"/>
      <c r="AJ144"/>
      <c r="AM144"/>
      <c r="AP144"/>
      <c r="AS144"/>
      <c r="AV144"/>
      <c r="AY144"/>
    </row>
    <row r="145" spans="1:51" ht="15.75" thickBot="1" x14ac:dyDescent="0.3">
      <c r="A145" s="770"/>
      <c r="B145" s="274" t="s">
        <v>552</v>
      </c>
      <c r="C145" s="249">
        <f>C137*((SUM(C138:C144)))</f>
        <v>-9</v>
      </c>
      <c r="D145" s="248"/>
      <c r="E145" s="250" t="s">
        <v>552</v>
      </c>
      <c r="F145" s="249">
        <f>F137*((SUM(F138:F144)))</f>
        <v>-16</v>
      </c>
      <c r="H145" s="250" t="s">
        <v>552</v>
      </c>
      <c r="I145" s="249">
        <f>I137*((SUM(I138:I144)))</f>
        <v>10</v>
      </c>
      <c r="J145" s="248"/>
      <c r="K145" s="250" t="s">
        <v>552</v>
      </c>
      <c r="L145" s="249">
        <f>L137*((SUM(L138:L144)))</f>
        <v>10</v>
      </c>
      <c r="M145" s="248"/>
      <c r="N145" s="250" t="s">
        <v>552</v>
      </c>
      <c r="O145" s="249">
        <f>O137*((SUM(O138:O144)))</f>
        <v>10</v>
      </c>
      <c r="P145" s="248"/>
      <c r="Q145" s="256" t="s">
        <v>552</v>
      </c>
      <c r="R145" s="249">
        <f>R137*((SUM(R138:R144)))</f>
        <v>10</v>
      </c>
      <c r="T145" s="250" t="s">
        <v>552</v>
      </c>
      <c r="U145" s="249">
        <f>U137*((SUM(U138:U144)))</f>
        <v>-15</v>
      </c>
      <c r="X145" s="224"/>
      <c r="AA145" s="224"/>
      <c r="AD145" s="224"/>
      <c r="AG145"/>
      <c r="AJ145"/>
      <c r="AM145"/>
      <c r="AP145"/>
      <c r="AS145"/>
      <c r="AV145"/>
      <c r="AY145"/>
    </row>
    <row r="146" spans="1:51" ht="36" customHeight="1" thickBot="1" x14ac:dyDescent="0.3"/>
    <row r="147" spans="1:51" ht="36.75" customHeight="1" thickBot="1" x14ac:dyDescent="0.3">
      <c r="A147" s="768">
        <v>11</v>
      </c>
      <c r="B147" s="772" t="str">
        <f>'Matriz de identificación'!N4</f>
        <v>Transporte de equipos complementarios</v>
      </c>
      <c r="C147" s="773"/>
      <c r="D147" s="773"/>
      <c r="E147" s="773"/>
      <c r="F147" s="774"/>
      <c r="G147" s="263"/>
      <c r="H147" s="263"/>
      <c r="I147" s="264"/>
      <c r="J147" s="263"/>
      <c r="K147" s="263"/>
      <c r="L147" s="264"/>
      <c r="M147" s="263"/>
      <c r="N147" s="263"/>
      <c r="O147" s="264"/>
      <c r="P147" s="263"/>
      <c r="Q147" s="263"/>
      <c r="R147" s="264"/>
      <c r="AJ147" s="224"/>
      <c r="AM147" s="224"/>
      <c r="AV147"/>
      <c r="AY147"/>
    </row>
    <row r="148" spans="1:51" x14ac:dyDescent="0.25">
      <c r="A148" s="769"/>
      <c r="B148" s="253" t="s">
        <v>563</v>
      </c>
      <c r="C148" s="516" t="str">
        <f>C134</f>
        <v>ATMOSFÉRICO</v>
      </c>
      <c r="D148" s="207"/>
      <c r="E148" s="253" t="s">
        <v>563</v>
      </c>
      <c r="F148" s="516" t="str">
        <f>C148</f>
        <v>ATMOSFÉRICO</v>
      </c>
      <c r="H148" s="255" t="s">
        <v>563</v>
      </c>
      <c r="I148" s="254" t="str">
        <f>I134</f>
        <v>ANTROPOSFERICO</v>
      </c>
      <c r="J148" s="128"/>
      <c r="K148" s="255" t="s">
        <v>563</v>
      </c>
      <c r="L148" s="268" t="str">
        <f>I148</f>
        <v>ANTROPOSFERICO</v>
      </c>
      <c r="M148" s="128"/>
      <c r="N148" s="255" t="s">
        <v>563</v>
      </c>
      <c r="O148" s="268" t="str">
        <f>L148</f>
        <v>ANTROPOSFERICO</v>
      </c>
      <c r="P148" s="128"/>
      <c r="Q148" s="261" t="s">
        <v>563</v>
      </c>
      <c r="R148" s="266" t="str">
        <f>O148</f>
        <v>ANTROPOSFERICO</v>
      </c>
      <c r="T148" s="255" t="s">
        <v>563</v>
      </c>
      <c r="U148" s="268" t="str">
        <f>U134</f>
        <v>GEOSFERICO</v>
      </c>
      <c r="AJ148" s="224"/>
      <c r="AM148" s="224"/>
      <c r="AV148"/>
      <c r="AY148"/>
    </row>
    <row r="149" spans="1:51" x14ac:dyDescent="0.25">
      <c r="A149" s="769"/>
      <c r="B149" s="253" t="s">
        <v>562</v>
      </c>
      <c r="C149" s="267" t="str">
        <f>C135</f>
        <v>CALIDAD DEL AIRE</v>
      </c>
      <c r="D149" s="207"/>
      <c r="E149" s="253" t="s">
        <v>562</v>
      </c>
      <c r="F149" s="252" t="str">
        <f>C149</f>
        <v>CALIDAD DEL AIRE</v>
      </c>
      <c r="H149" s="253" t="s">
        <v>562</v>
      </c>
      <c r="I149" s="252" t="str">
        <f>I135</f>
        <v>SOCIAL</v>
      </c>
      <c r="J149" s="128"/>
      <c r="K149" s="253" t="s">
        <v>562</v>
      </c>
      <c r="L149" s="267" t="str">
        <f>I149</f>
        <v>SOCIAL</v>
      </c>
      <c r="M149" s="128"/>
      <c r="N149" s="253" t="s">
        <v>562</v>
      </c>
      <c r="O149" s="267" t="str">
        <f>L149</f>
        <v>SOCIAL</v>
      </c>
      <c r="P149" s="128"/>
      <c r="Q149" s="259" t="s">
        <v>562</v>
      </c>
      <c r="R149" s="258" t="str">
        <f>R135</f>
        <v>ECONÓMICO</v>
      </c>
      <c r="T149" s="253" t="s">
        <v>562</v>
      </c>
      <c r="U149" s="267" t="str">
        <f>U135</f>
        <v>RECURSOS</v>
      </c>
      <c r="AJ149" s="224"/>
      <c r="AM149" s="224"/>
      <c r="AV149"/>
      <c r="AY149"/>
    </row>
    <row r="150" spans="1:51" x14ac:dyDescent="0.25">
      <c r="A150" s="769"/>
      <c r="B150" s="251" t="s">
        <v>561</v>
      </c>
      <c r="C150" s="231" t="str">
        <f>C136</f>
        <v>Emisiones de ruido</v>
      </c>
      <c r="D150" s="207"/>
      <c r="E150" s="251" t="s">
        <v>561</v>
      </c>
      <c r="F150" s="231" t="str">
        <f>F136</f>
        <v>Emisiones de gases</v>
      </c>
      <c r="H150" s="251" t="s">
        <v>561</v>
      </c>
      <c r="I150" s="231" t="str">
        <f>I136</f>
        <v>Empleo</v>
      </c>
      <c r="J150" s="128"/>
      <c r="K150" s="251" t="s">
        <v>561</v>
      </c>
      <c r="L150" s="231" t="str">
        <f>L136</f>
        <v>Organización</v>
      </c>
      <c r="M150" s="128"/>
      <c r="N150" s="251" t="s">
        <v>561</v>
      </c>
      <c r="O150" s="231" t="str">
        <f>O136</f>
        <v>Servicios</v>
      </c>
      <c r="P150" s="128"/>
      <c r="Q150" s="257" t="s">
        <v>561</v>
      </c>
      <c r="R150" s="8" t="str">
        <f>R136</f>
        <v>Estructura comercial</v>
      </c>
      <c r="T150" s="251" t="s">
        <v>561</v>
      </c>
      <c r="U150" s="231" t="str">
        <f>U136</f>
        <v>Disponibilidad</v>
      </c>
      <c r="AJ150" s="224"/>
      <c r="AM150" s="224"/>
      <c r="AV150"/>
      <c r="AY150"/>
    </row>
    <row r="151" spans="1:51" x14ac:dyDescent="0.25">
      <c r="A151" s="769"/>
      <c r="B151" s="251" t="s">
        <v>560</v>
      </c>
      <c r="C151" s="231">
        <v>-1</v>
      </c>
      <c r="D151" s="207"/>
      <c r="E151" s="251" t="s">
        <v>560</v>
      </c>
      <c r="F151" s="231">
        <v>-1</v>
      </c>
      <c r="H151" s="251" t="s">
        <v>560</v>
      </c>
      <c r="I151" s="231">
        <v>1</v>
      </c>
      <c r="J151" s="128"/>
      <c r="K151" s="251" t="s">
        <v>560</v>
      </c>
      <c r="L151" s="231">
        <v>1</v>
      </c>
      <c r="M151" s="128"/>
      <c r="N151" s="251" t="s">
        <v>560</v>
      </c>
      <c r="O151" s="231">
        <v>1</v>
      </c>
      <c r="P151" s="128"/>
      <c r="Q151" s="257" t="s">
        <v>560</v>
      </c>
      <c r="R151" s="8">
        <v>1</v>
      </c>
      <c r="T151" s="251" t="s">
        <v>560</v>
      </c>
      <c r="U151" s="231">
        <v>-1</v>
      </c>
      <c r="AJ151" s="224"/>
      <c r="AM151" s="224"/>
      <c r="AV151"/>
      <c r="AY151"/>
    </row>
    <row r="152" spans="1:51" x14ac:dyDescent="0.25">
      <c r="A152" s="769"/>
      <c r="B152" s="251" t="s">
        <v>559</v>
      </c>
      <c r="C152" s="231">
        <v>1</v>
      </c>
      <c r="D152" s="207"/>
      <c r="E152" s="251" t="s">
        <v>559</v>
      </c>
      <c r="F152" s="231">
        <v>3</v>
      </c>
      <c r="H152" s="251" t="s">
        <v>559</v>
      </c>
      <c r="I152" s="231">
        <v>2</v>
      </c>
      <c r="J152" s="128"/>
      <c r="K152" s="251" t="s">
        <v>559</v>
      </c>
      <c r="L152" s="231">
        <v>2</v>
      </c>
      <c r="M152" s="128"/>
      <c r="N152" s="251" t="s">
        <v>559</v>
      </c>
      <c r="O152" s="231">
        <v>2</v>
      </c>
      <c r="P152" s="128"/>
      <c r="Q152" s="257" t="s">
        <v>559</v>
      </c>
      <c r="R152" s="8">
        <v>2</v>
      </c>
      <c r="T152" s="251" t="s">
        <v>559</v>
      </c>
      <c r="U152" s="231">
        <v>2</v>
      </c>
      <c r="AJ152" s="224"/>
      <c r="AM152" s="224"/>
      <c r="AV152"/>
      <c r="AY152"/>
    </row>
    <row r="153" spans="1:51" x14ac:dyDescent="0.25">
      <c r="A153" s="769"/>
      <c r="B153" s="251" t="s">
        <v>558</v>
      </c>
      <c r="C153" s="231">
        <v>3</v>
      </c>
      <c r="D153" s="207"/>
      <c r="E153" s="251" t="s">
        <v>558</v>
      </c>
      <c r="F153" s="231">
        <v>3</v>
      </c>
      <c r="H153" s="251" t="s">
        <v>558</v>
      </c>
      <c r="I153" s="231">
        <v>3</v>
      </c>
      <c r="J153" s="128"/>
      <c r="K153" s="251" t="s">
        <v>558</v>
      </c>
      <c r="L153" s="231">
        <v>3</v>
      </c>
      <c r="M153" s="128"/>
      <c r="N153" s="251" t="s">
        <v>558</v>
      </c>
      <c r="O153" s="231">
        <v>3</v>
      </c>
      <c r="P153" s="128"/>
      <c r="Q153" s="257" t="s">
        <v>558</v>
      </c>
      <c r="R153" s="8">
        <v>3</v>
      </c>
      <c r="T153" s="251" t="s">
        <v>558</v>
      </c>
      <c r="U153" s="231">
        <v>3</v>
      </c>
      <c r="AJ153" s="224"/>
      <c r="AM153" s="224"/>
      <c r="AV153"/>
      <c r="AY153"/>
    </row>
    <row r="154" spans="1:51" x14ac:dyDescent="0.25">
      <c r="A154" s="769"/>
      <c r="B154" s="251" t="s">
        <v>557</v>
      </c>
      <c r="C154" s="231">
        <v>1</v>
      </c>
      <c r="D154" s="207"/>
      <c r="E154" s="251" t="s">
        <v>557</v>
      </c>
      <c r="F154" s="231">
        <v>1</v>
      </c>
      <c r="H154" s="251" t="s">
        <v>557</v>
      </c>
      <c r="I154" s="231">
        <v>2</v>
      </c>
      <c r="J154" s="128"/>
      <c r="K154" s="251" t="s">
        <v>557</v>
      </c>
      <c r="L154" s="231">
        <v>2</v>
      </c>
      <c r="M154" s="128"/>
      <c r="N154" s="251" t="s">
        <v>557</v>
      </c>
      <c r="O154" s="231">
        <v>2</v>
      </c>
      <c r="P154" s="128"/>
      <c r="Q154" s="257" t="s">
        <v>557</v>
      </c>
      <c r="R154" s="8">
        <v>2</v>
      </c>
      <c r="T154" s="251" t="s">
        <v>557</v>
      </c>
      <c r="U154" s="231">
        <v>2</v>
      </c>
      <c r="AJ154" s="224"/>
      <c r="AM154" s="224"/>
      <c r="AV154"/>
      <c r="AY154"/>
    </row>
    <row r="155" spans="1:51" x14ac:dyDescent="0.25">
      <c r="A155" s="769"/>
      <c r="B155" s="251" t="s">
        <v>556</v>
      </c>
      <c r="C155" s="231">
        <v>1</v>
      </c>
      <c r="D155" s="207"/>
      <c r="E155" s="251" t="s">
        <v>556</v>
      </c>
      <c r="F155" s="231">
        <v>3</v>
      </c>
      <c r="H155" s="251" t="s">
        <v>556</v>
      </c>
      <c r="I155" s="231">
        <v>2</v>
      </c>
      <c r="J155" s="128"/>
      <c r="K155" s="251" t="s">
        <v>556</v>
      </c>
      <c r="L155" s="231">
        <v>2</v>
      </c>
      <c r="M155" s="128"/>
      <c r="N155" s="251" t="s">
        <v>556</v>
      </c>
      <c r="O155" s="231">
        <v>2</v>
      </c>
      <c r="P155" s="128"/>
      <c r="Q155" s="257" t="s">
        <v>556</v>
      </c>
      <c r="R155" s="8">
        <v>2</v>
      </c>
      <c r="T155" s="251" t="s">
        <v>556</v>
      </c>
      <c r="U155" s="231">
        <v>2</v>
      </c>
      <c r="AJ155" s="224"/>
      <c r="AM155" s="224"/>
      <c r="AV155"/>
      <c r="AY155"/>
    </row>
    <row r="156" spans="1:51" x14ac:dyDescent="0.25">
      <c r="A156" s="769"/>
      <c r="B156" s="251" t="s">
        <v>555</v>
      </c>
      <c r="C156" s="231">
        <v>1</v>
      </c>
      <c r="D156" s="207"/>
      <c r="E156" s="251" t="s">
        <v>555</v>
      </c>
      <c r="F156" s="231">
        <v>2</v>
      </c>
      <c r="H156" s="251" t="s">
        <v>555</v>
      </c>
      <c r="I156" s="231">
        <v>1</v>
      </c>
      <c r="J156" s="128"/>
      <c r="K156" s="251" t="s">
        <v>555</v>
      </c>
      <c r="L156" s="231">
        <v>1</v>
      </c>
      <c r="M156" s="128"/>
      <c r="N156" s="251" t="s">
        <v>555</v>
      </c>
      <c r="O156" s="231">
        <v>1</v>
      </c>
      <c r="P156" s="128"/>
      <c r="Q156" s="257" t="s">
        <v>555</v>
      </c>
      <c r="R156" s="8">
        <v>1</v>
      </c>
      <c r="T156" s="251" t="s">
        <v>555</v>
      </c>
      <c r="U156" s="231">
        <v>2</v>
      </c>
      <c r="AJ156" s="224"/>
      <c r="AM156" s="224"/>
      <c r="AV156"/>
      <c r="AY156"/>
    </row>
    <row r="157" spans="1:51" x14ac:dyDescent="0.25">
      <c r="A157" s="769"/>
      <c r="B157" s="251" t="s">
        <v>554</v>
      </c>
      <c r="C157" s="231">
        <v>1</v>
      </c>
      <c r="D157" s="207"/>
      <c r="E157" s="251" t="s">
        <v>554</v>
      </c>
      <c r="F157" s="231">
        <v>2</v>
      </c>
      <c r="H157" s="251" t="s">
        <v>554</v>
      </c>
      <c r="I157" s="231">
        <v>0</v>
      </c>
      <c r="J157" s="128"/>
      <c r="K157" s="251" t="s">
        <v>554</v>
      </c>
      <c r="L157" s="231">
        <v>0</v>
      </c>
      <c r="M157" s="128"/>
      <c r="N157" s="251" t="s">
        <v>554</v>
      </c>
      <c r="O157" s="231">
        <v>0</v>
      </c>
      <c r="P157" s="128"/>
      <c r="Q157" s="257" t="s">
        <v>554</v>
      </c>
      <c r="R157" s="8">
        <v>0</v>
      </c>
      <c r="T157" s="251" t="s">
        <v>554</v>
      </c>
      <c r="U157" s="231">
        <v>2</v>
      </c>
      <c r="AJ157" s="224"/>
      <c r="AM157" s="224"/>
      <c r="AV157"/>
      <c r="AY157"/>
    </row>
    <row r="158" spans="1:51" ht="15.75" thickBot="1" x14ac:dyDescent="0.3">
      <c r="A158" s="769"/>
      <c r="B158" s="517" t="s">
        <v>553</v>
      </c>
      <c r="C158" s="518">
        <v>1</v>
      </c>
      <c r="D158" s="207"/>
      <c r="E158" s="517" t="s">
        <v>553</v>
      </c>
      <c r="F158" s="518">
        <v>2</v>
      </c>
      <c r="H158" s="251" t="s">
        <v>553</v>
      </c>
      <c r="I158" s="231">
        <v>0</v>
      </c>
      <c r="J158" s="128"/>
      <c r="K158" s="251" t="s">
        <v>553</v>
      </c>
      <c r="L158" s="231">
        <v>0</v>
      </c>
      <c r="M158" s="128"/>
      <c r="N158" s="251" t="s">
        <v>553</v>
      </c>
      <c r="O158" s="231">
        <v>0</v>
      </c>
      <c r="P158" s="128"/>
      <c r="Q158" s="257" t="s">
        <v>553</v>
      </c>
      <c r="R158" s="8">
        <v>0</v>
      </c>
      <c r="T158" s="251" t="s">
        <v>553</v>
      </c>
      <c r="U158" s="231">
        <v>2</v>
      </c>
      <c r="AJ158" s="224"/>
      <c r="AM158" s="224"/>
      <c r="AV158"/>
      <c r="AY158"/>
    </row>
    <row r="159" spans="1:51" ht="15.75" thickBot="1" x14ac:dyDescent="0.3">
      <c r="A159" s="770"/>
      <c r="B159" s="520" t="s">
        <v>552</v>
      </c>
      <c r="C159" s="521">
        <f>C151*((SUM(C152:C158)))</f>
        <v>-9</v>
      </c>
      <c r="D159" s="519"/>
      <c r="E159" s="520" t="s">
        <v>552</v>
      </c>
      <c r="F159" s="521">
        <f>F151*((SUM(F152:F158)))</f>
        <v>-16</v>
      </c>
      <c r="H159" s="250" t="s">
        <v>552</v>
      </c>
      <c r="I159" s="249">
        <f>I151*((SUM(I152:I158)))</f>
        <v>10</v>
      </c>
      <c r="J159" s="248"/>
      <c r="K159" s="250" t="s">
        <v>552</v>
      </c>
      <c r="L159" s="249">
        <f>L151*((SUM(L152:L158)))</f>
        <v>10</v>
      </c>
      <c r="M159" s="248"/>
      <c r="N159" s="250" t="s">
        <v>552</v>
      </c>
      <c r="O159" s="249">
        <f>O151*((SUM(O152:O158)))</f>
        <v>10</v>
      </c>
      <c r="P159" s="248"/>
      <c r="Q159" s="256" t="s">
        <v>552</v>
      </c>
      <c r="R159" s="249">
        <f>R151*((SUM(R152:R158)))</f>
        <v>10</v>
      </c>
      <c r="T159" s="250" t="s">
        <v>552</v>
      </c>
      <c r="U159" s="249">
        <f>U151*((SUM(U152:U158)))</f>
        <v>-15</v>
      </c>
      <c r="AJ159" s="224"/>
      <c r="AM159" s="224"/>
      <c r="AV159"/>
      <c r="AY159"/>
    </row>
    <row r="160" spans="1:51" ht="36" customHeight="1" thickBot="1" x14ac:dyDescent="0.3"/>
    <row r="161" spans="1:51" ht="34.5" customHeight="1" thickBot="1" x14ac:dyDescent="0.3">
      <c r="A161" s="768">
        <v>12</v>
      </c>
      <c r="B161" s="771" t="str">
        <f>'Matriz de identificación'!O4</f>
        <v>Contratación de personal para la adecuación de instalaciones</v>
      </c>
      <c r="C161" s="763"/>
      <c r="D161" s="763"/>
      <c r="E161" s="763"/>
      <c r="F161" s="763"/>
      <c r="G161" s="263"/>
      <c r="H161" s="263"/>
      <c r="I161" s="264"/>
      <c r="J161" s="263"/>
      <c r="K161" s="263"/>
      <c r="L161" s="264"/>
      <c r="M161" s="263"/>
      <c r="N161" s="263"/>
      <c r="O161" s="264"/>
      <c r="AD161" s="224"/>
      <c r="AG161" s="224"/>
      <c r="AJ161" s="224"/>
      <c r="AM161" s="224"/>
      <c r="AP161"/>
      <c r="AS161"/>
      <c r="AV161"/>
      <c r="AY161"/>
    </row>
    <row r="162" spans="1:51" x14ac:dyDescent="0.25">
      <c r="A162" s="769"/>
      <c r="B162" s="255" t="s">
        <v>563</v>
      </c>
      <c r="C162" s="268" t="str">
        <f>'Matriz de identificación'!A29</f>
        <v>ANTROPOSFERICO</v>
      </c>
      <c r="D162" s="128"/>
      <c r="E162" s="261" t="s">
        <v>563</v>
      </c>
      <c r="F162" s="266" t="str">
        <f>C162</f>
        <v>ANTROPOSFERICO</v>
      </c>
      <c r="G162" s="128"/>
      <c r="H162" s="261" t="s">
        <v>563</v>
      </c>
      <c r="I162" s="266" t="str">
        <f>F162</f>
        <v>ANTROPOSFERICO</v>
      </c>
      <c r="J162" s="128"/>
      <c r="K162" s="261" t="s">
        <v>563</v>
      </c>
      <c r="L162" s="266" t="str">
        <f>I162</f>
        <v>ANTROPOSFERICO</v>
      </c>
      <c r="M162" s="128"/>
      <c r="N162" s="261" t="s">
        <v>563</v>
      </c>
      <c r="O162" s="266" t="str">
        <f>L162</f>
        <v>ANTROPOSFERICO</v>
      </c>
      <c r="AD162" s="224"/>
      <c r="AG162" s="224"/>
      <c r="AJ162" s="224"/>
      <c r="AM162" s="224"/>
      <c r="AP162"/>
      <c r="AS162"/>
      <c r="AV162"/>
      <c r="AY162"/>
    </row>
    <row r="163" spans="1:51" x14ac:dyDescent="0.25">
      <c r="A163" s="769"/>
      <c r="B163" s="253" t="s">
        <v>562</v>
      </c>
      <c r="C163" s="267" t="str">
        <f>'Matriz de identificación'!B29</f>
        <v>SOCIAL</v>
      </c>
      <c r="D163" s="128"/>
      <c r="E163" s="259" t="s">
        <v>562</v>
      </c>
      <c r="F163" s="265" t="str">
        <f>C163</f>
        <v>SOCIAL</v>
      </c>
      <c r="G163" s="128"/>
      <c r="H163" s="259" t="s">
        <v>562</v>
      </c>
      <c r="I163" s="265" t="str">
        <f>F163</f>
        <v>SOCIAL</v>
      </c>
      <c r="J163" s="128"/>
      <c r="K163" s="259" t="s">
        <v>562</v>
      </c>
      <c r="L163" s="258" t="str">
        <f>'Matriz de identificación'!B34</f>
        <v>CULTURAL</v>
      </c>
      <c r="M163" s="128"/>
      <c r="N163" s="259" t="s">
        <v>562</v>
      </c>
      <c r="O163" s="258" t="str">
        <f>'Matriz de identificación'!B35</f>
        <v>ECONÓMICO</v>
      </c>
      <c r="AD163" s="224"/>
      <c r="AG163" s="224"/>
      <c r="AJ163" s="224"/>
      <c r="AM163" s="224"/>
      <c r="AP163"/>
      <c r="AS163"/>
      <c r="AV163"/>
      <c r="AY163"/>
    </row>
    <row r="164" spans="1:51" x14ac:dyDescent="0.25">
      <c r="A164" s="769"/>
      <c r="B164" s="251" t="s">
        <v>561</v>
      </c>
      <c r="C164" s="231" t="str">
        <f>'Matriz de identificación'!C30</f>
        <v>Empleo</v>
      </c>
      <c r="D164" s="128"/>
      <c r="E164" s="257" t="s">
        <v>561</v>
      </c>
      <c r="F164" s="8" t="str">
        <f>'Matriz de identificación'!C31</f>
        <v>Organización</v>
      </c>
      <c r="G164" s="128"/>
      <c r="H164" s="257" t="s">
        <v>561</v>
      </c>
      <c r="I164" s="8" t="str">
        <f>'Matriz de identificación'!C33</f>
        <v>Servicios</v>
      </c>
      <c r="J164" s="128"/>
      <c r="K164" s="257" t="s">
        <v>561</v>
      </c>
      <c r="L164" s="8" t="str">
        <f>'Matriz de identificación'!C34</f>
        <v>Cosmovisión</v>
      </c>
      <c r="M164" s="128"/>
      <c r="N164" s="257" t="s">
        <v>561</v>
      </c>
      <c r="O164" s="8" t="str">
        <f>'Matriz de identificación'!C35</f>
        <v>Estructura comercial</v>
      </c>
      <c r="AD164" s="224"/>
      <c r="AG164" s="224"/>
      <c r="AJ164" s="224"/>
      <c r="AM164" s="224"/>
      <c r="AP164"/>
      <c r="AS164"/>
      <c r="AV164"/>
      <c r="AY164"/>
    </row>
    <row r="165" spans="1:51" x14ac:dyDescent="0.25">
      <c r="A165" s="769"/>
      <c r="B165" s="251" t="s">
        <v>560</v>
      </c>
      <c r="C165" s="231">
        <v>1</v>
      </c>
      <c r="D165" s="128"/>
      <c r="E165" s="257" t="s">
        <v>560</v>
      </c>
      <c r="F165" s="8">
        <v>1</v>
      </c>
      <c r="G165" s="128"/>
      <c r="H165" s="257" t="s">
        <v>560</v>
      </c>
      <c r="I165" s="8">
        <v>1</v>
      </c>
      <c r="J165" s="128"/>
      <c r="K165" s="257" t="s">
        <v>560</v>
      </c>
      <c r="L165" s="8">
        <v>1</v>
      </c>
      <c r="M165" s="128"/>
      <c r="N165" s="257" t="s">
        <v>560</v>
      </c>
      <c r="O165" s="8">
        <v>1</v>
      </c>
      <c r="AD165" s="224"/>
      <c r="AG165" s="224"/>
      <c r="AJ165" s="224"/>
      <c r="AM165" s="224"/>
      <c r="AP165"/>
      <c r="AS165"/>
      <c r="AV165"/>
      <c r="AY165"/>
    </row>
    <row r="166" spans="1:51" x14ac:dyDescent="0.25">
      <c r="A166" s="769"/>
      <c r="B166" s="251" t="s">
        <v>559</v>
      </c>
      <c r="C166" s="231">
        <v>3</v>
      </c>
      <c r="D166" s="128"/>
      <c r="E166" s="257" t="s">
        <v>559</v>
      </c>
      <c r="F166" s="8">
        <v>2</v>
      </c>
      <c r="G166" s="128"/>
      <c r="H166" s="257" t="s">
        <v>559</v>
      </c>
      <c r="I166" s="8">
        <v>2</v>
      </c>
      <c r="J166" s="128"/>
      <c r="K166" s="257" t="s">
        <v>559</v>
      </c>
      <c r="L166" s="8">
        <v>2</v>
      </c>
      <c r="M166" s="128"/>
      <c r="N166" s="257" t="s">
        <v>559</v>
      </c>
      <c r="O166" s="8">
        <v>2</v>
      </c>
      <c r="AD166" s="224"/>
      <c r="AG166" s="224"/>
      <c r="AJ166" s="224"/>
      <c r="AM166" s="224"/>
      <c r="AP166"/>
      <c r="AS166"/>
      <c r="AV166"/>
      <c r="AY166"/>
    </row>
    <row r="167" spans="1:51" x14ac:dyDescent="0.25">
      <c r="A167" s="769"/>
      <c r="B167" s="251" t="s">
        <v>558</v>
      </c>
      <c r="C167" s="231">
        <v>1</v>
      </c>
      <c r="D167" s="128"/>
      <c r="E167" s="257" t="s">
        <v>558</v>
      </c>
      <c r="F167" s="8">
        <v>1</v>
      </c>
      <c r="G167" s="128"/>
      <c r="H167" s="257" t="s">
        <v>558</v>
      </c>
      <c r="I167" s="8">
        <v>1</v>
      </c>
      <c r="J167" s="128"/>
      <c r="K167" s="257" t="s">
        <v>558</v>
      </c>
      <c r="L167" s="8">
        <v>1</v>
      </c>
      <c r="M167" s="128"/>
      <c r="N167" s="257" t="s">
        <v>558</v>
      </c>
      <c r="O167" s="8">
        <v>1</v>
      </c>
      <c r="AD167" s="224"/>
      <c r="AG167" s="224"/>
      <c r="AJ167" s="224"/>
      <c r="AM167" s="224"/>
      <c r="AP167"/>
      <c r="AS167"/>
      <c r="AV167"/>
      <c r="AY167"/>
    </row>
    <row r="168" spans="1:51" x14ac:dyDescent="0.25">
      <c r="A168" s="769"/>
      <c r="B168" s="251" t="s">
        <v>557</v>
      </c>
      <c r="C168" s="231">
        <v>2</v>
      </c>
      <c r="D168" s="128"/>
      <c r="E168" s="257" t="s">
        <v>557</v>
      </c>
      <c r="F168" s="8">
        <v>2</v>
      </c>
      <c r="G168" s="128"/>
      <c r="H168" s="257" t="s">
        <v>557</v>
      </c>
      <c r="I168" s="8">
        <v>2</v>
      </c>
      <c r="J168" s="128"/>
      <c r="K168" s="257" t="s">
        <v>557</v>
      </c>
      <c r="L168" s="8">
        <v>2</v>
      </c>
      <c r="M168" s="128"/>
      <c r="N168" s="257" t="s">
        <v>557</v>
      </c>
      <c r="O168" s="8">
        <v>2</v>
      </c>
      <c r="AD168" s="224"/>
      <c r="AG168" s="224"/>
      <c r="AJ168" s="224"/>
      <c r="AM168" s="224"/>
      <c r="AP168"/>
      <c r="AS168"/>
      <c r="AV168"/>
      <c r="AY168"/>
    </row>
    <row r="169" spans="1:51" x14ac:dyDescent="0.25">
      <c r="A169" s="769"/>
      <c r="B169" s="251" t="s">
        <v>556</v>
      </c>
      <c r="C169" s="231">
        <v>2</v>
      </c>
      <c r="D169" s="128"/>
      <c r="E169" s="257" t="s">
        <v>556</v>
      </c>
      <c r="F169" s="8">
        <v>2</v>
      </c>
      <c r="G169" s="128"/>
      <c r="H169" s="257" t="s">
        <v>556</v>
      </c>
      <c r="I169" s="8">
        <v>2</v>
      </c>
      <c r="J169" s="128"/>
      <c r="K169" s="257" t="s">
        <v>556</v>
      </c>
      <c r="L169" s="8">
        <v>2</v>
      </c>
      <c r="M169" s="128"/>
      <c r="N169" s="257" t="s">
        <v>556</v>
      </c>
      <c r="O169" s="8">
        <v>2</v>
      </c>
      <c r="AD169" s="224"/>
      <c r="AG169" s="224"/>
      <c r="AJ169" s="224"/>
      <c r="AM169" s="224"/>
      <c r="AP169"/>
      <c r="AS169"/>
      <c r="AV169"/>
      <c r="AY169"/>
    </row>
    <row r="170" spans="1:51" x14ac:dyDescent="0.25">
      <c r="A170" s="769"/>
      <c r="B170" s="251" t="s">
        <v>555</v>
      </c>
      <c r="C170" s="231">
        <v>1</v>
      </c>
      <c r="D170" s="128"/>
      <c r="E170" s="257" t="s">
        <v>555</v>
      </c>
      <c r="F170" s="8">
        <v>1</v>
      </c>
      <c r="G170" s="128"/>
      <c r="H170" s="257" t="s">
        <v>555</v>
      </c>
      <c r="I170" s="8">
        <v>1</v>
      </c>
      <c r="J170" s="128"/>
      <c r="K170" s="257" t="s">
        <v>555</v>
      </c>
      <c r="L170" s="8">
        <v>2</v>
      </c>
      <c r="M170" s="128"/>
      <c r="N170" s="257" t="s">
        <v>555</v>
      </c>
      <c r="O170" s="8">
        <v>1</v>
      </c>
      <c r="AD170" s="224"/>
      <c r="AG170" s="224"/>
      <c r="AJ170" s="224"/>
      <c r="AM170" s="224"/>
      <c r="AP170"/>
      <c r="AS170"/>
      <c r="AV170"/>
      <c r="AY170"/>
    </row>
    <row r="171" spans="1:51" x14ac:dyDescent="0.25">
      <c r="A171" s="769"/>
      <c r="B171" s="251" t="s">
        <v>554</v>
      </c>
      <c r="C171" s="231">
        <v>0</v>
      </c>
      <c r="D171" s="128"/>
      <c r="E171" s="257" t="s">
        <v>554</v>
      </c>
      <c r="F171" s="8">
        <v>0</v>
      </c>
      <c r="G171" s="128"/>
      <c r="H171" s="257" t="s">
        <v>554</v>
      </c>
      <c r="I171" s="8">
        <v>0</v>
      </c>
      <c r="J171" s="128"/>
      <c r="K171" s="257" t="s">
        <v>554</v>
      </c>
      <c r="L171" s="8">
        <v>0</v>
      </c>
      <c r="M171" s="128"/>
      <c r="N171" s="257" t="s">
        <v>554</v>
      </c>
      <c r="O171" s="8">
        <v>0</v>
      </c>
      <c r="AD171" s="224"/>
      <c r="AG171" s="224"/>
      <c r="AJ171" s="224"/>
      <c r="AM171" s="224"/>
      <c r="AP171"/>
      <c r="AS171"/>
      <c r="AV171"/>
      <c r="AY171"/>
    </row>
    <row r="172" spans="1:51" x14ac:dyDescent="0.25">
      <c r="A172" s="769"/>
      <c r="B172" s="251" t="s">
        <v>553</v>
      </c>
      <c r="C172" s="231">
        <v>0</v>
      </c>
      <c r="D172" s="128"/>
      <c r="E172" s="257" t="s">
        <v>553</v>
      </c>
      <c r="F172" s="8">
        <v>0</v>
      </c>
      <c r="G172" s="128"/>
      <c r="H172" s="257" t="s">
        <v>553</v>
      </c>
      <c r="I172" s="8">
        <v>0</v>
      </c>
      <c r="J172" s="128"/>
      <c r="K172" s="257" t="s">
        <v>553</v>
      </c>
      <c r="L172" s="8">
        <v>0</v>
      </c>
      <c r="M172" s="128"/>
      <c r="N172" s="257" t="s">
        <v>553</v>
      </c>
      <c r="O172" s="8">
        <v>0</v>
      </c>
      <c r="AD172" s="224"/>
      <c r="AG172" s="224"/>
      <c r="AJ172" s="224"/>
      <c r="AM172" s="224"/>
      <c r="AP172"/>
      <c r="AS172"/>
      <c r="AV172"/>
      <c r="AY172"/>
    </row>
    <row r="173" spans="1:51" ht="15.75" thickBot="1" x14ac:dyDescent="0.3">
      <c r="A173" s="770"/>
      <c r="B173" s="250" t="s">
        <v>552</v>
      </c>
      <c r="C173" s="249">
        <f>C165*((SUM(C166:C172)))</f>
        <v>9</v>
      </c>
      <c r="D173" s="248"/>
      <c r="E173" s="256" t="s">
        <v>552</v>
      </c>
      <c r="F173" s="249">
        <f>F165*((SUM(F166:F172)))</f>
        <v>8</v>
      </c>
      <c r="G173" s="248"/>
      <c r="H173" s="256" t="s">
        <v>552</v>
      </c>
      <c r="I173" s="249">
        <f>I165*((SUM(I166:I172)))</f>
        <v>8</v>
      </c>
      <c r="J173" s="248"/>
      <c r="K173" s="256" t="s">
        <v>552</v>
      </c>
      <c r="L173" s="249">
        <f>L165*((SUM(L166:L172)))</f>
        <v>9</v>
      </c>
      <c r="M173" s="248"/>
      <c r="N173" s="256" t="s">
        <v>552</v>
      </c>
      <c r="O173" s="249">
        <f>O165*((SUM(O166:O172)))</f>
        <v>8</v>
      </c>
      <c r="AD173" s="224"/>
      <c r="AG173" s="224"/>
      <c r="AJ173" s="224"/>
      <c r="AM173" s="224"/>
      <c r="AP173"/>
      <c r="AS173"/>
      <c r="AV173"/>
      <c r="AY173"/>
    </row>
    <row r="174" spans="1:51" ht="36.75" customHeight="1" thickBot="1" x14ac:dyDescent="0.3"/>
    <row r="175" spans="1:51" ht="36.75" customHeight="1" thickBot="1" x14ac:dyDescent="0.3">
      <c r="A175" s="768">
        <v>13</v>
      </c>
      <c r="B175" s="771" t="str">
        <f>'Matriz de identificación'!P4</f>
        <v>Compra y transporte de materiales de adecuación de instalaciones</v>
      </c>
      <c r="C175" s="763"/>
      <c r="D175" s="763"/>
      <c r="E175" s="763"/>
      <c r="F175" s="763"/>
      <c r="G175" s="263"/>
      <c r="H175" s="263"/>
      <c r="I175" s="264"/>
      <c r="J175" s="263"/>
      <c r="K175" s="263"/>
      <c r="L175" s="264"/>
      <c r="M175" s="263"/>
      <c r="N175" s="263"/>
      <c r="O175" s="264"/>
      <c r="P175" s="263"/>
      <c r="Q175" s="263"/>
      <c r="R175" s="264"/>
      <c r="T175" s="224"/>
      <c r="U175"/>
      <c r="W175" s="224"/>
      <c r="X175"/>
      <c r="Z175" s="224"/>
      <c r="AA175"/>
      <c r="AD175"/>
      <c r="AG175"/>
      <c r="AJ175"/>
      <c r="AM175"/>
      <c r="AP175"/>
      <c r="AS175"/>
      <c r="AV175"/>
      <c r="AY175"/>
    </row>
    <row r="176" spans="1:51" x14ac:dyDescent="0.25">
      <c r="A176" s="769"/>
      <c r="B176" s="273" t="s">
        <v>563</v>
      </c>
      <c r="C176" s="268" t="str">
        <f>'Matriz de identificación'!A5</f>
        <v>ATMOSFÉRICO</v>
      </c>
      <c r="D176" s="128"/>
      <c r="E176" s="255" t="s">
        <v>563</v>
      </c>
      <c r="F176" s="268" t="str">
        <f>C176</f>
        <v>ATMOSFÉRICO</v>
      </c>
      <c r="H176" s="255" t="s">
        <v>563</v>
      </c>
      <c r="I176" s="254" t="str">
        <f>I162</f>
        <v>ANTROPOSFERICO</v>
      </c>
      <c r="J176" s="128"/>
      <c r="K176" s="255" t="s">
        <v>563</v>
      </c>
      <c r="L176" s="268" t="str">
        <f>I176</f>
        <v>ANTROPOSFERICO</v>
      </c>
      <c r="M176" s="128"/>
      <c r="N176" s="255" t="s">
        <v>563</v>
      </c>
      <c r="O176" s="268" t="str">
        <f>L176</f>
        <v>ANTROPOSFERICO</v>
      </c>
      <c r="P176" s="128"/>
      <c r="Q176" s="261" t="s">
        <v>563</v>
      </c>
      <c r="R176" s="266" t="str">
        <f>O176</f>
        <v>ANTROPOSFERICO</v>
      </c>
      <c r="T176" s="255" t="s">
        <v>563</v>
      </c>
      <c r="U176" s="268" t="str">
        <f>U148</f>
        <v>GEOSFERICO</v>
      </c>
      <c r="W176" s="224"/>
      <c r="X176"/>
      <c r="Z176" s="224"/>
      <c r="AA176"/>
      <c r="AD176"/>
      <c r="AG176"/>
      <c r="AJ176"/>
      <c r="AM176"/>
      <c r="AP176"/>
      <c r="AS176"/>
      <c r="AV176"/>
      <c r="AY176"/>
    </row>
    <row r="177" spans="1:51" x14ac:dyDescent="0.25">
      <c r="A177" s="769"/>
      <c r="B177" s="272" t="s">
        <v>562</v>
      </c>
      <c r="C177" s="267" t="str">
        <f>'Matriz de identificación'!B5</f>
        <v>CALIDAD DEL AIRE</v>
      </c>
      <c r="D177" s="128"/>
      <c r="E177" s="253" t="s">
        <v>562</v>
      </c>
      <c r="F177" s="252" t="str">
        <f>C177</f>
        <v>CALIDAD DEL AIRE</v>
      </c>
      <c r="H177" s="253" t="s">
        <v>562</v>
      </c>
      <c r="I177" s="252" t="str">
        <f>I163</f>
        <v>SOCIAL</v>
      </c>
      <c r="J177" s="128"/>
      <c r="K177" s="253" t="s">
        <v>562</v>
      </c>
      <c r="L177" s="267" t="str">
        <f>I177</f>
        <v>SOCIAL</v>
      </c>
      <c r="M177" s="128"/>
      <c r="N177" s="253" t="s">
        <v>562</v>
      </c>
      <c r="O177" s="267" t="str">
        <f>L177</f>
        <v>SOCIAL</v>
      </c>
      <c r="P177" s="128"/>
      <c r="Q177" s="259" t="s">
        <v>562</v>
      </c>
      <c r="R177" s="258" t="str">
        <f>'Matriz de identificación'!B35</f>
        <v>ECONÓMICO</v>
      </c>
      <c r="T177" s="253" t="s">
        <v>562</v>
      </c>
      <c r="U177" s="267" t="str">
        <f>U149</f>
        <v>RECURSOS</v>
      </c>
      <c r="W177" s="224"/>
      <c r="X177"/>
      <c r="Z177" s="224"/>
      <c r="AA177"/>
      <c r="AD177"/>
      <c r="AG177"/>
      <c r="AJ177"/>
      <c r="AM177"/>
      <c r="AP177"/>
      <c r="AS177"/>
      <c r="AV177"/>
      <c r="AY177"/>
    </row>
    <row r="178" spans="1:51" x14ac:dyDescent="0.25">
      <c r="A178" s="769"/>
      <c r="B178" s="271" t="s">
        <v>561</v>
      </c>
      <c r="C178" s="231" t="str">
        <f>'Matriz de identificación'!C5</f>
        <v>Emisiones de ruido</v>
      </c>
      <c r="D178" s="128"/>
      <c r="E178" s="251" t="s">
        <v>561</v>
      </c>
      <c r="F178" s="231" t="str">
        <f>'Matriz de identificación'!C6</f>
        <v>Emisiones de gases</v>
      </c>
      <c r="H178" s="251" t="s">
        <v>561</v>
      </c>
      <c r="I178" s="231" t="str">
        <f>'Matriz de identificación'!C30</f>
        <v>Empleo</v>
      </c>
      <c r="J178" s="128"/>
      <c r="K178" s="251" t="s">
        <v>561</v>
      </c>
      <c r="L178" s="231" t="str">
        <f>'Matriz de identificación'!C31</f>
        <v>Organización</v>
      </c>
      <c r="M178" s="128"/>
      <c r="N178" s="251" t="s">
        <v>561</v>
      </c>
      <c r="O178" s="231" t="str">
        <f>'Matriz de identificación'!C33</f>
        <v>Servicios</v>
      </c>
      <c r="P178" s="128"/>
      <c r="Q178" s="257" t="s">
        <v>561</v>
      </c>
      <c r="R178" s="8" t="str">
        <f>'Matriz de identificación'!C35</f>
        <v>Estructura comercial</v>
      </c>
      <c r="T178" s="251" t="s">
        <v>561</v>
      </c>
      <c r="U178" s="231" t="str">
        <f>U150</f>
        <v>Disponibilidad</v>
      </c>
      <c r="W178" s="224"/>
      <c r="X178"/>
      <c r="Z178" s="224"/>
      <c r="AA178"/>
      <c r="AD178"/>
      <c r="AG178"/>
      <c r="AJ178"/>
      <c r="AM178"/>
      <c r="AP178"/>
      <c r="AS178"/>
      <c r="AV178"/>
      <c r="AY178"/>
    </row>
    <row r="179" spans="1:51" x14ac:dyDescent="0.25">
      <c r="A179" s="769"/>
      <c r="B179" s="271" t="s">
        <v>560</v>
      </c>
      <c r="C179" s="231">
        <v>-1</v>
      </c>
      <c r="D179" s="128"/>
      <c r="E179" s="251" t="s">
        <v>560</v>
      </c>
      <c r="F179" s="231">
        <v>-1</v>
      </c>
      <c r="H179" s="251" t="s">
        <v>560</v>
      </c>
      <c r="I179" s="231">
        <v>1</v>
      </c>
      <c r="J179" s="128"/>
      <c r="K179" s="251" t="s">
        <v>560</v>
      </c>
      <c r="L179" s="231">
        <v>1</v>
      </c>
      <c r="M179" s="128"/>
      <c r="N179" s="251" t="s">
        <v>560</v>
      </c>
      <c r="O179" s="231">
        <v>1</v>
      </c>
      <c r="P179" s="128"/>
      <c r="Q179" s="257" t="s">
        <v>560</v>
      </c>
      <c r="R179" s="8">
        <v>1</v>
      </c>
      <c r="T179" s="251" t="s">
        <v>560</v>
      </c>
      <c r="U179" s="231">
        <v>-1</v>
      </c>
      <c r="W179" s="224"/>
      <c r="X179"/>
      <c r="Z179" s="224"/>
      <c r="AA179"/>
      <c r="AD179"/>
      <c r="AG179"/>
      <c r="AJ179"/>
      <c r="AM179"/>
      <c r="AP179"/>
      <c r="AS179"/>
      <c r="AV179"/>
      <c r="AY179"/>
    </row>
    <row r="180" spans="1:51" x14ac:dyDescent="0.25">
      <c r="A180" s="769"/>
      <c r="B180" s="271" t="s">
        <v>559</v>
      </c>
      <c r="C180" s="231">
        <v>1</v>
      </c>
      <c r="D180" s="128"/>
      <c r="E180" s="251" t="s">
        <v>559</v>
      </c>
      <c r="F180" s="231">
        <v>2</v>
      </c>
      <c r="H180" s="251" t="s">
        <v>559</v>
      </c>
      <c r="I180" s="231">
        <v>1</v>
      </c>
      <c r="J180" s="128"/>
      <c r="K180" s="251" t="s">
        <v>559</v>
      </c>
      <c r="L180" s="231">
        <v>1</v>
      </c>
      <c r="M180" s="128"/>
      <c r="N180" s="251" t="s">
        <v>559</v>
      </c>
      <c r="O180" s="231">
        <v>1</v>
      </c>
      <c r="P180" s="128"/>
      <c r="Q180" s="257" t="s">
        <v>559</v>
      </c>
      <c r="R180" s="8">
        <v>1</v>
      </c>
      <c r="T180" s="251" t="s">
        <v>559</v>
      </c>
      <c r="U180" s="231">
        <v>2</v>
      </c>
      <c r="W180" s="224"/>
      <c r="X180"/>
      <c r="Z180" s="224"/>
      <c r="AA180"/>
      <c r="AD180"/>
      <c r="AG180"/>
      <c r="AJ180"/>
      <c r="AM180"/>
      <c r="AP180"/>
      <c r="AS180"/>
      <c r="AV180"/>
      <c r="AY180"/>
    </row>
    <row r="181" spans="1:51" x14ac:dyDescent="0.25">
      <c r="A181" s="769"/>
      <c r="B181" s="271" t="s">
        <v>558</v>
      </c>
      <c r="C181" s="231">
        <v>1</v>
      </c>
      <c r="D181" s="128"/>
      <c r="E181" s="251" t="s">
        <v>558</v>
      </c>
      <c r="F181" s="231">
        <v>3</v>
      </c>
      <c r="H181" s="251" t="s">
        <v>558</v>
      </c>
      <c r="I181" s="231">
        <v>1</v>
      </c>
      <c r="J181" s="128"/>
      <c r="K181" s="251" t="s">
        <v>558</v>
      </c>
      <c r="L181" s="231">
        <v>1</v>
      </c>
      <c r="M181" s="128"/>
      <c r="N181" s="251" t="s">
        <v>558</v>
      </c>
      <c r="O181" s="231">
        <v>1</v>
      </c>
      <c r="P181" s="128"/>
      <c r="Q181" s="257" t="s">
        <v>558</v>
      </c>
      <c r="R181" s="8">
        <v>1</v>
      </c>
      <c r="T181" s="251" t="s">
        <v>558</v>
      </c>
      <c r="U181" s="231">
        <v>3</v>
      </c>
      <c r="W181" s="224"/>
      <c r="X181"/>
      <c r="Z181" s="224"/>
      <c r="AA181"/>
      <c r="AD181"/>
      <c r="AG181"/>
      <c r="AJ181"/>
      <c r="AM181"/>
      <c r="AP181"/>
      <c r="AS181"/>
      <c r="AV181"/>
      <c r="AY181"/>
    </row>
    <row r="182" spans="1:51" x14ac:dyDescent="0.25">
      <c r="A182" s="769"/>
      <c r="B182" s="271" t="s">
        <v>557</v>
      </c>
      <c r="C182" s="231">
        <v>1</v>
      </c>
      <c r="D182" s="128"/>
      <c r="E182" s="251" t="s">
        <v>557</v>
      </c>
      <c r="F182" s="231">
        <v>1</v>
      </c>
      <c r="H182" s="251" t="s">
        <v>557</v>
      </c>
      <c r="I182" s="231">
        <v>2</v>
      </c>
      <c r="J182" s="128"/>
      <c r="K182" s="251" t="s">
        <v>557</v>
      </c>
      <c r="L182" s="231">
        <v>2</v>
      </c>
      <c r="M182" s="128"/>
      <c r="N182" s="251" t="s">
        <v>557</v>
      </c>
      <c r="O182" s="231">
        <v>2</v>
      </c>
      <c r="P182" s="128"/>
      <c r="Q182" s="257" t="s">
        <v>557</v>
      </c>
      <c r="R182" s="8">
        <v>2</v>
      </c>
      <c r="T182" s="251" t="s">
        <v>557</v>
      </c>
      <c r="U182" s="231">
        <v>2</v>
      </c>
      <c r="W182" s="224"/>
      <c r="X182"/>
      <c r="Z182" s="224"/>
      <c r="AA182"/>
      <c r="AD182"/>
      <c r="AG182"/>
      <c r="AJ182"/>
      <c r="AM182"/>
      <c r="AP182"/>
      <c r="AS182"/>
      <c r="AV182"/>
      <c r="AY182"/>
    </row>
    <row r="183" spans="1:51" x14ac:dyDescent="0.25">
      <c r="A183" s="769"/>
      <c r="B183" s="271" t="s">
        <v>556</v>
      </c>
      <c r="C183" s="231">
        <v>1</v>
      </c>
      <c r="D183" s="128"/>
      <c r="E183" s="251" t="s">
        <v>556</v>
      </c>
      <c r="F183" s="231">
        <v>2</v>
      </c>
      <c r="H183" s="251" t="s">
        <v>556</v>
      </c>
      <c r="I183" s="231">
        <v>2</v>
      </c>
      <c r="J183" s="128"/>
      <c r="K183" s="251" t="s">
        <v>556</v>
      </c>
      <c r="L183" s="231">
        <v>2</v>
      </c>
      <c r="M183" s="128"/>
      <c r="N183" s="251" t="s">
        <v>556</v>
      </c>
      <c r="O183" s="231">
        <v>2</v>
      </c>
      <c r="P183" s="128"/>
      <c r="Q183" s="257" t="s">
        <v>556</v>
      </c>
      <c r="R183" s="8">
        <v>2</v>
      </c>
      <c r="T183" s="251" t="s">
        <v>556</v>
      </c>
      <c r="U183" s="231">
        <v>2</v>
      </c>
      <c r="W183" s="224"/>
      <c r="X183"/>
      <c r="Z183" s="224"/>
      <c r="AA183"/>
      <c r="AD183"/>
      <c r="AG183"/>
      <c r="AJ183"/>
      <c r="AM183"/>
      <c r="AP183"/>
      <c r="AS183"/>
      <c r="AV183"/>
      <c r="AY183"/>
    </row>
    <row r="184" spans="1:51" x14ac:dyDescent="0.25">
      <c r="A184" s="769"/>
      <c r="B184" s="271" t="s">
        <v>555</v>
      </c>
      <c r="C184" s="231">
        <v>1</v>
      </c>
      <c r="D184" s="128"/>
      <c r="E184" s="251" t="s">
        <v>555</v>
      </c>
      <c r="F184" s="231">
        <v>1</v>
      </c>
      <c r="H184" s="251" t="s">
        <v>555</v>
      </c>
      <c r="I184" s="231">
        <v>1</v>
      </c>
      <c r="J184" s="128"/>
      <c r="K184" s="251" t="s">
        <v>555</v>
      </c>
      <c r="L184" s="231">
        <v>1</v>
      </c>
      <c r="M184" s="128"/>
      <c r="N184" s="251" t="s">
        <v>555</v>
      </c>
      <c r="O184" s="231">
        <v>1</v>
      </c>
      <c r="P184" s="128"/>
      <c r="Q184" s="257" t="s">
        <v>555</v>
      </c>
      <c r="R184" s="8">
        <v>1</v>
      </c>
      <c r="T184" s="251" t="s">
        <v>555</v>
      </c>
      <c r="U184" s="231">
        <v>2</v>
      </c>
      <c r="W184" s="224"/>
      <c r="X184"/>
      <c r="Z184" s="224"/>
      <c r="AA184"/>
      <c r="AD184"/>
      <c r="AG184"/>
      <c r="AJ184"/>
      <c r="AM184"/>
      <c r="AP184"/>
      <c r="AS184"/>
      <c r="AV184"/>
      <c r="AY184"/>
    </row>
    <row r="185" spans="1:51" x14ac:dyDescent="0.25">
      <c r="A185" s="769"/>
      <c r="B185" s="271" t="s">
        <v>554</v>
      </c>
      <c r="C185" s="231">
        <v>1</v>
      </c>
      <c r="D185" s="128"/>
      <c r="E185" s="251" t="s">
        <v>554</v>
      </c>
      <c r="F185" s="231">
        <v>2</v>
      </c>
      <c r="H185" s="251" t="s">
        <v>554</v>
      </c>
      <c r="I185" s="231">
        <v>0</v>
      </c>
      <c r="J185" s="128"/>
      <c r="K185" s="251" t="s">
        <v>554</v>
      </c>
      <c r="L185" s="231">
        <v>0</v>
      </c>
      <c r="M185" s="128"/>
      <c r="N185" s="251" t="s">
        <v>554</v>
      </c>
      <c r="O185" s="231">
        <v>0</v>
      </c>
      <c r="P185" s="128"/>
      <c r="Q185" s="257" t="s">
        <v>554</v>
      </c>
      <c r="R185" s="8">
        <v>0</v>
      </c>
      <c r="T185" s="251" t="s">
        <v>554</v>
      </c>
      <c r="U185" s="231">
        <v>2</v>
      </c>
      <c r="W185" s="224"/>
      <c r="X185"/>
      <c r="Z185" s="224"/>
      <c r="AA185"/>
      <c r="AD185"/>
      <c r="AG185"/>
      <c r="AJ185"/>
      <c r="AM185"/>
      <c r="AP185"/>
      <c r="AS185"/>
      <c r="AV185"/>
      <c r="AY185"/>
    </row>
    <row r="186" spans="1:51" x14ac:dyDescent="0.25">
      <c r="A186" s="769"/>
      <c r="B186" s="271" t="s">
        <v>553</v>
      </c>
      <c r="C186" s="231">
        <v>1</v>
      </c>
      <c r="D186" s="128"/>
      <c r="E186" s="251" t="s">
        <v>553</v>
      </c>
      <c r="F186" s="231">
        <v>1</v>
      </c>
      <c r="H186" s="251" t="s">
        <v>553</v>
      </c>
      <c r="I186" s="231">
        <v>0</v>
      </c>
      <c r="J186" s="128"/>
      <c r="K186" s="251" t="s">
        <v>553</v>
      </c>
      <c r="L186" s="231">
        <v>0</v>
      </c>
      <c r="M186" s="128"/>
      <c r="N186" s="251" t="s">
        <v>553</v>
      </c>
      <c r="O186" s="231">
        <v>0</v>
      </c>
      <c r="P186" s="128"/>
      <c r="Q186" s="257" t="s">
        <v>553</v>
      </c>
      <c r="R186" s="8">
        <v>0</v>
      </c>
      <c r="T186" s="251" t="s">
        <v>553</v>
      </c>
      <c r="U186" s="231">
        <v>2</v>
      </c>
      <c r="W186" s="224"/>
      <c r="X186"/>
      <c r="Z186" s="224"/>
      <c r="AA186"/>
      <c r="AD186"/>
      <c r="AG186"/>
      <c r="AJ186"/>
      <c r="AM186"/>
      <c r="AP186"/>
      <c r="AS186"/>
      <c r="AV186"/>
      <c r="AY186"/>
    </row>
    <row r="187" spans="1:51" ht="15.75" thickBot="1" x14ac:dyDescent="0.3">
      <c r="A187" s="770"/>
      <c r="B187" s="274" t="s">
        <v>552</v>
      </c>
      <c r="C187" s="249">
        <f>C179*((SUM(C180:C186)))</f>
        <v>-7</v>
      </c>
      <c r="D187" s="248"/>
      <c r="E187" s="250" t="s">
        <v>552</v>
      </c>
      <c r="F187" s="249">
        <f>F179*((SUM(F180:F186)))</f>
        <v>-12</v>
      </c>
      <c r="H187" s="250" t="s">
        <v>552</v>
      </c>
      <c r="I187" s="249">
        <f>I179*((SUM(I180:I186)))</f>
        <v>7</v>
      </c>
      <c r="J187" s="248"/>
      <c r="K187" s="250" t="s">
        <v>552</v>
      </c>
      <c r="L187" s="249">
        <f>L179*((SUM(L180:L186)))</f>
        <v>7</v>
      </c>
      <c r="M187" s="248"/>
      <c r="N187" s="250" t="s">
        <v>552</v>
      </c>
      <c r="O187" s="249">
        <f>O179*((SUM(O180:O186)))</f>
        <v>7</v>
      </c>
      <c r="P187" s="248"/>
      <c r="Q187" s="256" t="s">
        <v>552</v>
      </c>
      <c r="R187" s="249">
        <f>R179*((SUM(R180:R186)))</f>
        <v>7</v>
      </c>
      <c r="T187" s="250" t="s">
        <v>552</v>
      </c>
      <c r="U187" s="249">
        <f>U179*((SUM(U180:U186)))</f>
        <v>-15</v>
      </c>
      <c r="W187" s="224"/>
      <c r="X187"/>
      <c r="Z187" s="224"/>
      <c r="AA187"/>
      <c r="AD187"/>
      <c r="AG187"/>
      <c r="AJ187"/>
      <c r="AM187"/>
      <c r="AP187"/>
      <c r="AS187"/>
      <c r="AV187"/>
      <c r="AY187"/>
    </row>
    <row r="188" spans="1:51" ht="34.5" customHeight="1" thickBot="1" x14ac:dyDescent="0.3"/>
    <row r="189" spans="1:51" ht="39" customHeight="1" thickBot="1" x14ac:dyDescent="0.3">
      <c r="A189" s="768">
        <v>14</v>
      </c>
      <c r="B189" s="771" t="str">
        <f>'Matriz de identificación'!Q4</f>
        <v>Construcción de la estructura que contendrá los equipos</v>
      </c>
      <c r="C189" s="763"/>
      <c r="D189" s="763"/>
      <c r="E189" s="763"/>
      <c r="F189" s="764"/>
    </row>
    <row r="190" spans="1:51" x14ac:dyDescent="0.25">
      <c r="A190" s="769"/>
      <c r="B190" s="273" t="s">
        <v>563</v>
      </c>
      <c r="C190" s="268" t="str">
        <f>'Matriz de identificación'!A5</f>
        <v>ATMOSFÉRICO</v>
      </c>
      <c r="D190" s="293"/>
      <c r="E190" s="255" t="s">
        <v>563</v>
      </c>
      <c r="F190" s="268" t="str">
        <f>C190</f>
        <v>ATMOSFÉRICO</v>
      </c>
      <c r="G190" s="128"/>
      <c r="H190" s="255" t="s">
        <v>563</v>
      </c>
      <c r="I190" s="268" t="str">
        <f>'Matriz de identificación'!A29</f>
        <v>ANTROPOSFERICO</v>
      </c>
      <c r="K190" s="255" t="s">
        <v>563</v>
      </c>
      <c r="L190" s="254" t="str">
        <f>I176</f>
        <v>ANTROPOSFERICO</v>
      </c>
      <c r="M190" s="128"/>
      <c r="N190" s="255" t="s">
        <v>563</v>
      </c>
      <c r="O190" s="268" t="str">
        <f>L190</f>
        <v>ANTROPOSFERICO</v>
      </c>
      <c r="Q190" s="255" t="s">
        <v>563</v>
      </c>
      <c r="R190" s="268" t="str">
        <f>'Matriz de identificación'!A16</f>
        <v>HIDROSFÉRICO</v>
      </c>
      <c r="AM190" s="224"/>
      <c r="AY190"/>
    </row>
    <row r="191" spans="1:51" x14ac:dyDescent="0.25">
      <c r="A191" s="769"/>
      <c r="B191" s="272" t="s">
        <v>562</v>
      </c>
      <c r="C191" s="267" t="str">
        <f>'Matriz de identificación'!B5</f>
        <v>CALIDAD DEL AIRE</v>
      </c>
      <c r="D191" s="293"/>
      <c r="E191" s="253" t="s">
        <v>562</v>
      </c>
      <c r="F191" s="267" t="str">
        <f>C191</f>
        <v>CALIDAD DEL AIRE</v>
      </c>
      <c r="G191" s="128"/>
      <c r="H191" s="253" t="s">
        <v>562</v>
      </c>
      <c r="I191" s="252" t="str">
        <f>'Matriz de identificación'!B29</f>
        <v>SOCIAL</v>
      </c>
      <c r="K191" s="253" t="s">
        <v>562</v>
      </c>
      <c r="L191" s="252" t="str">
        <f>I177</f>
        <v>SOCIAL</v>
      </c>
      <c r="M191" s="128"/>
      <c r="N191" s="253" t="s">
        <v>562</v>
      </c>
      <c r="O191" s="267" t="str">
        <f>'Matriz de identificación'!B35</f>
        <v>ECONÓMICO</v>
      </c>
      <c r="Q191" s="253" t="s">
        <v>562</v>
      </c>
      <c r="R191" s="267" t="str">
        <f>'Matriz de identificación'!B22</f>
        <v>RECURSOS</v>
      </c>
      <c r="AM191" s="224"/>
      <c r="AY191"/>
    </row>
    <row r="192" spans="1:51" x14ac:dyDescent="0.25">
      <c r="A192" s="769"/>
      <c r="B192" s="271" t="s">
        <v>561</v>
      </c>
      <c r="C192" s="231" t="str">
        <f>'Matriz de identificación'!C5</f>
        <v>Emisiones de ruido</v>
      </c>
      <c r="D192" s="226"/>
      <c r="E192" s="251" t="s">
        <v>561</v>
      </c>
      <c r="F192" s="231" t="str">
        <f>'Matriz de identificación'!C6</f>
        <v>Emisiones de gases</v>
      </c>
      <c r="G192" s="128"/>
      <c r="H192" s="251" t="s">
        <v>561</v>
      </c>
      <c r="I192" s="231" t="str">
        <f>'Matriz de identificación'!C30</f>
        <v>Empleo</v>
      </c>
      <c r="K192" s="251" t="s">
        <v>561</v>
      </c>
      <c r="L192" s="231" t="str">
        <f>'Matriz de identificación'!C31</f>
        <v>Organización</v>
      </c>
      <c r="M192" s="128"/>
      <c r="N192" s="251" t="s">
        <v>561</v>
      </c>
      <c r="O192" s="231" t="str">
        <f>'Matriz de identificación'!C35</f>
        <v>Estructura comercial</v>
      </c>
      <c r="Q192" s="251" t="s">
        <v>561</v>
      </c>
      <c r="R192" s="231" t="str">
        <f>'Matriz de identificación'!C22</f>
        <v>Disponibilidad</v>
      </c>
      <c r="AM192" s="224"/>
      <c r="AY192"/>
    </row>
    <row r="193" spans="1:51" x14ac:dyDescent="0.25">
      <c r="A193" s="769"/>
      <c r="B193" s="271" t="s">
        <v>560</v>
      </c>
      <c r="C193" s="231">
        <v>-1</v>
      </c>
      <c r="D193" s="226"/>
      <c r="E193" s="251" t="s">
        <v>560</v>
      </c>
      <c r="F193" s="231">
        <v>-1</v>
      </c>
      <c r="G193" s="128"/>
      <c r="H193" s="251" t="s">
        <v>560</v>
      </c>
      <c r="I193" s="231">
        <v>1</v>
      </c>
      <c r="K193" s="251" t="s">
        <v>560</v>
      </c>
      <c r="L193" s="231">
        <v>1</v>
      </c>
      <c r="M193" s="128"/>
      <c r="N193" s="251" t="s">
        <v>560</v>
      </c>
      <c r="O193" s="231">
        <v>1</v>
      </c>
      <c r="Q193" s="251" t="s">
        <v>560</v>
      </c>
      <c r="R193" s="231">
        <v>-1</v>
      </c>
      <c r="AM193" s="224"/>
      <c r="AY193"/>
    </row>
    <row r="194" spans="1:51" x14ac:dyDescent="0.25">
      <c r="A194" s="769"/>
      <c r="B194" s="271" t="s">
        <v>559</v>
      </c>
      <c r="C194" s="231">
        <v>2</v>
      </c>
      <c r="D194" s="226"/>
      <c r="E194" s="251" t="s">
        <v>559</v>
      </c>
      <c r="F194" s="231">
        <v>1</v>
      </c>
      <c r="G194" s="128"/>
      <c r="H194" s="251" t="s">
        <v>559</v>
      </c>
      <c r="I194" s="231">
        <v>1</v>
      </c>
      <c r="K194" s="251" t="s">
        <v>559</v>
      </c>
      <c r="L194" s="231">
        <v>1</v>
      </c>
      <c r="M194" s="128"/>
      <c r="N194" s="251" t="s">
        <v>559</v>
      </c>
      <c r="O194" s="231">
        <v>1</v>
      </c>
      <c r="Q194" s="251" t="s">
        <v>559</v>
      </c>
      <c r="R194" s="231">
        <v>1</v>
      </c>
      <c r="AM194" s="224"/>
      <c r="AY194"/>
    </row>
    <row r="195" spans="1:51" x14ac:dyDescent="0.25">
      <c r="A195" s="769"/>
      <c r="B195" s="271" t="s">
        <v>558</v>
      </c>
      <c r="C195" s="231">
        <v>1</v>
      </c>
      <c r="D195" s="226"/>
      <c r="E195" s="251" t="s">
        <v>558</v>
      </c>
      <c r="F195" s="231">
        <v>1</v>
      </c>
      <c r="G195" s="128"/>
      <c r="H195" s="251" t="s">
        <v>558</v>
      </c>
      <c r="I195" s="231">
        <v>1</v>
      </c>
      <c r="K195" s="251" t="s">
        <v>558</v>
      </c>
      <c r="L195" s="231">
        <v>1</v>
      </c>
      <c r="M195" s="128"/>
      <c r="N195" s="251" t="s">
        <v>558</v>
      </c>
      <c r="O195" s="231">
        <v>1</v>
      </c>
      <c r="Q195" s="251" t="s">
        <v>558</v>
      </c>
      <c r="R195" s="231">
        <v>3</v>
      </c>
      <c r="AM195" s="224"/>
      <c r="AY195"/>
    </row>
    <row r="196" spans="1:51" x14ac:dyDescent="0.25">
      <c r="A196" s="769"/>
      <c r="B196" s="271" t="s">
        <v>557</v>
      </c>
      <c r="C196" s="231">
        <v>2</v>
      </c>
      <c r="D196" s="226"/>
      <c r="E196" s="251" t="s">
        <v>557</v>
      </c>
      <c r="F196" s="231">
        <v>2</v>
      </c>
      <c r="G196" s="128"/>
      <c r="H196" s="251" t="s">
        <v>557</v>
      </c>
      <c r="I196" s="231">
        <v>2</v>
      </c>
      <c r="K196" s="251" t="s">
        <v>557</v>
      </c>
      <c r="L196" s="231">
        <v>2</v>
      </c>
      <c r="M196" s="128"/>
      <c r="N196" s="251" t="s">
        <v>557</v>
      </c>
      <c r="O196" s="231">
        <v>2</v>
      </c>
      <c r="Q196" s="251" t="s">
        <v>557</v>
      </c>
      <c r="R196" s="231">
        <v>1</v>
      </c>
      <c r="AM196" s="224"/>
      <c r="AY196"/>
    </row>
    <row r="197" spans="1:51" x14ac:dyDescent="0.25">
      <c r="A197" s="769"/>
      <c r="B197" s="271" t="s">
        <v>556</v>
      </c>
      <c r="C197" s="231">
        <v>2</v>
      </c>
      <c r="D197" s="226"/>
      <c r="E197" s="251" t="s">
        <v>556</v>
      </c>
      <c r="F197" s="231">
        <v>1</v>
      </c>
      <c r="G197" s="128"/>
      <c r="H197" s="251" t="s">
        <v>556</v>
      </c>
      <c r="I197" s="231">
        <v>2</v>
      </c>
      <c r="K197" s="251" t="s">
        <v>556</v>
      </c>
      <c r="L197" s="231">
        <v>2</v>
      </c>
      <c r="M197" s="128"/>
      <c r="N197" s="251" t="s">
        <v>556</v>
      </c>
      <c r="O197" s="231">
        <v>2</v>
      </c>
      <c r="Q197" s="251" t="s">
        <v>556</v>
      </c>
      <c r="R197" s="231">
        <v>2</v>
      </c>
      <c r="AM197" s="224"/>
      <c r="AY197"/>
    </row>
    <row r="198" spans="1:51" x14ac:dyDescent="0.25">
      <c r="A198" s="769"/>
      <c r="B198" s="271" t="s">
        <v>555</v>
      </c>
      <c r="C198" s="231">
        <v>1</v>
      </c>
      <c r="D198" s="226"/>
      <c r="E198" s="251" t="s">
        <v>555</v>
      </c>
      <c r="F198" s="231">
        <v>1</v>
      </c>
      <c r="G198" s="128"/>
      <c r="H198" s="251" t="s">
        <v>555</v>
      </c>
      <c r="I198" s="231">
        <v>1</v>
      </c>
      <c r="K198" s="251" t="s">
        <v>555</v>
      </c>
      <c r="L198" s="231">
        <v>1</v>
      </c>
      <c r="M198" s="128"/>
      <c r="N198" s="251" t="s">
        <v>555</v>
      </c>
      <c r="O198" s="231">
        <v>1</v>
      </c>
      <c r="Q198" s="251" t="s">
        <v>555</v>
      </c>
      <c r="R198" s="231">
        <v>2</v>
      </c>
      <c r="AM198" s="224"/>
      <c r="AY198"/>
    </row>
    <row r="199" spans="1:51" x14ac:dyDescent="0.25">
      <c r="A199" s="769"/>
      <c r="B199" s="271" t="s">
        <v>554</v>
      </c>
      <c r="C199" s="231">
        <v>1</v>
      </c>
      <c r="D199" s="226"/>
      <c r="E199" s="251" t="s">
        <v>554</v>
      </c>
      <c r="F199" s="231">
        <v>1</v>
      </c>
      <c r="G199" s="128"/>
      <c r="H199" s="251" t="s">
        <v>554</v>
      </c>
      <c r="I199" s="231">
        <v>0</v>
      </c>
      <c r="K199" s="251" t="s">
        <v>554</v>
      </c>
      <c r="L199" s="231">
        <v>0</v>
      </c>
      <c r="M199" s="128"/>
      <c r="N199" s="251" t="s">
        <v>554</v>
      </c>
      <c r="O199" s="231">
        <v>0</v>
      </c>
      <c r="Q199" s="251" t="s">
        <v>554</v>
      </c>
      <c r="R199" s="231">
        <v>1</v>
      </c>
      <c r="AM199" s="224"/>
      <c r="AY199"/>
    </row>
    <row r="200" spans="1:51" x14ac:dyDescent="0.25">
      <c r="A200" s="769"/>
      <c r="B200" s="271" t="s">
        <v>553</v>
      </c>
      <c r="C200" s="231">
        <v>1</v>
      </c>
      <c r="D200" s="226"/>
      <c r="E200" s="251" t="s">
        <v>553</v>
      </c>
      <c r="F200" s="231">
        <v>1</v>
      </c>
      <c r="G200" s="128"/>
      <c r="H200" s="251" t="s">
        <v>553</v>
      </c>
      <c r="I200" s="231">
        <v>0</v>
      </c>
      <c r="K200" s="251" t="s">
        <v>553</v>
      </c>
      <c r="L200" s="231">
        <v>0</v>
      </c>
      <c r="M200" s="128"/>
      <c r="N200" s="251" t="s">
        <v>553</v>
      </c>
      <c r="O200" s="231">
        <v>0</v>
      </c>
      <c r="Q200" s="251" t="s">
        <v>553</v>
      </c>
      <c r="R200" s="231">
        <v>1</v>
      </c>
      <c r="AM200" s="224"/>
      <c r="AY200"/>
    </row>
    <row r="201" spans="1:51" ht="15.75" thickBot="1" x14ac:dyDescent="0.3">
      <c r="A201" s="770"/>
      <c r="B201" s="274" t="s">
        <v>552</v>
      </c>
      <c r="C201" s="249">
        <f>C193*((SUM(C194:C200)))</f>
        <v>-10</v>
      </c>
      <c r="D201" s="294"/>
      <c r="E201" s="250" t="s">
        <v>552</v>
      </c>
      <c r="F201" s="249">
        <f>F193*((SUM(F194:F200)))</f>
        <v>-8</v>
      </c>
      <c r="G201" s="248"/>
      <c r="H201" s="250" t="s">
        <v>552</v>
      </c>
      <c r="I201" s="249">
        <f>I193*((SUM(I194:I200)))</f>
        <v>7</v>
      </c>
      <c r="K201" s="250" t="s">
        <v>552</v>
      </c>
      <c r="L201" s="249">
        <f>L193*((SUM(L194:L200)))</f>
        <v>7</v>
      </c>
      <c r="M201" s="248"/>
      <c r="N201" s="250" t="s">
        <v>552</v>
      </c>
      <c r="O201" s="249">
        <f>O193*((SUM(O194:O200)))</f>
        <v>7</v>
      </c>
      <c r="Q201" s="250" t="s">
        <v>552</v>
      </c>
      <c r="R201" s="249">
        <f>R193*((SUM(R194:R200)))</f>
        <v>-11</v>
      </c>
      <c r="AM201" s="224"/>
      <c r="AY201"/>
    </row>
    <row r="202" spans="1:51" ht="38.25" customHeight="1" thickBot="1" x14ac:dyDescent="0.3">
      <c r="AM202" s="224"/>
      <c r="AY202"/>
    </row>
    <row r="203" spans="1:51" ht="38.25" customHeight="1" thickBot="1" x14ac:dyDescent="0.3">
      <c r="A203" s="768">
        <v>15</v>
      </c>
      <c r="B203" s="771" t="str">
        <f>'Matriz de identificación'!R4</f>
        <v>Contratación de personal para la instalación y verificación del sistema</v>
      </c>
      <c r="C203" s="763"/>
      <c r="D203" s="763"/>
      <c r="E203" s="763"/>
      <c r="F203" s="764"/>
    </row>
    <row r="204" spans="1:51" x14ac:dyDescent="0.25">
      <c r="A204" s="769"/>
      <c r="B204" s="255" t="s">
        <v>563</v>
      </c>
      <c r="C204" s="254" t="str">
        <f>'Matriz de identificación'!A29</f>
        <v>ANTROPOSFERICO</v>
      </c>
      <c r="D204" s="128"/>
      <c r="E204" s="255" t="s">
        <v>563</v>
      </c>
      <c r="F204" s="254" t="str">
        <f>C204</f>
        <v>ANTROPOSFERICO</v>
      </c>
      <c r="H204" s="255" t="s">
        <v>563</v>
      </c>
      <c r="I204" s="254" t="str">
        <f>F204</f>
        <v>ANTROPOSFERICO</v>
      </c>
      <c r="J204" s="128"/>
      <c r="K204" s="255" t="s">
        <v>563</v>
      </c>
      <c r="L204" s="254" t="str">
        <f>I204</f>
        <v>ANTROPOSFERICO</v>
      </c>
    </row>
    <row r="205" spans="1:51" x14ac:dyDescent="0.25">
      <c r="A205" s="769"/>
      <c r="B205" s="253" t="s">
        <v>562</v>
      </c>
      <c r="C205" s="252" t="str">
        <f>'Matriz de identificación'!B29</f>
        <v>SOCIAL</v>
      </c>
      <c r="D205" s="128"/>
      <c r="E205" s="253" t="s">
        <v>562</v>
      </c>
      <c r="F205" s="252" t="str">
        <f>C205</f>
        <v>SOCIAL</v>
      </c>
      <c r="H205" s="253" t="s">
        <v>562</v>
      </c>
      <c r="I205" s="252" t="str">
        <f>F205</f>
        <v>SOCIAL</v>
      </c>
      <c r="J205" s="128"/>
      <c r="K205" s="253" t="s">
        <v>562</v>
      </c>
      <c r="L205" s="252" t="str">
        <f>'Matriz de identificación'!B35</f>
        <v>ECONÓMICO</v>
      </c>
    </row>
    <row r="206" spans="1:51" x14ac:dyDescent="0.25">
      <c r="A206" s="769"/>
      <c r="B206" s="251" t="s">
        <v>561</v>
      </c>
      <c r="C206" s="231" t="str">
        <f>'Matriz de identificación'!C30</f>
        <v>Empleo</v>
      </c>
      <c r="D206" s="128"/>
      <c r="E206" s="251" t="s">
        <v>561</v>
      </c>
      <c r="F206" s="231" t="str">
        <f>'Matriz de identificación'!C31</f>
        <v>Organización</v>
      </c>
      <c r="H206" s="251" t="s">
        <v>561</v>
      </c>
      <c r="I206" s="231" t="str">
        <f>'Matriz de identificación'!C33</f>
        <v>Servicios</v>
      </c>
      <c r="J206" s="128"/>
      <c r="K206" s="251" t="s">
        <v>561</v>
      </c>
      <c r="L206" s="231" t="str">
        <f>'Matriz de identificación'!C35</f>
        <v>Estructura comercial</v>
      </c>
    </row>
    <row r="207" spans="1:51" x14ac:dyDescent="0.25">
      <c r="A207" s="769"/>
      <c r="B207" s="251" t="s">
        <v>560</v>
      </c>
      <c r="C207" s="231">
        <v>1</v>
      </c>
      <c r="D207" s="128"/>
      <c r="E207" s="251" t="s">
        <v>560</v>
      </c>
      <c r="F207" s="231">
        <v>1</v>
      </c>
      <c r="H207" s="251" t="s">
        <v>560</v>
      </c>
      <c r="I207" s="231">
        <v>1</v>
      </c>
      <c r="J207" s="128"/>
      <c r="K207" s="251" t="s">
        <v>560</v>
      </c>
      <c r="L207" s="231">
        <v>1</v>
      </c>
    </row>
    <row r="208" spans="1:51" x14ac:dyDescent="0.25">
      <c r="A208" s="769"/>
      <c r="B208" s="251" t="s">
        <v>559</v>
      </c>
      <c r="C208" s="231">
        <v>1</v>
      </c>
      <c r="D208" s="128"/>
      <c r="E208" s="251" t="s">
        <v>559</v>
      </c>
      <c r="F208" s="231">
        <v>1</v>
      </c>
      <c r="H208" s="251" t="s">
        <v>559</v>
      </c>
      <c r="I208" s="231">
        <v>1</v>
      </c>
      <c r="J208" s="128"/>
      <c r="K208" s="251" t="s">
        <v>559</v>
      </c>
      <c r="L208" s="231">
        <v>1</v>
      </c>
    </row>
    <row r="209" spans="1:51" x14ac:dyDescent="0.25">
      <c r="A209" s="769"/>
      <c r="B209" s="251" t="s">
        <v>558</v>
      </c>
      <c r="C209" s="231">
        <v>1</v>
      </c>
      <c r="D209" s="128"/>
      <c r="E209" s="251" t="s">
        <v>558</v>
      </c>
      <c r="F209" s="231">
        <v>1</v>
      </c>
      <c r="H209" s="251" t="s">
        <v>558</v>
      </c>
      <c r="I209" s="231">
        <v>1</v>
      </c>
      <c r="J209" s="128"/>
      <c r="K209" s="251" t="s">
        <v>558</v>
      </c>
      <c r="L209" s="231">
        <v>1</v>
      </c>
    </row>
    <row r="210" spans="1:51" x14ac:dyDescent="0.25">
      <c r="A210" s="769"/>
      <c r="B210" s="251" t="s">
        <v>557</v>
      </c>
      <c r="C210" s="231">
        <v>2</v>
      </c>
      <c r="D210" s="128"/>
      <c r="E210" s="251" t="s">
        <v>557</v>
      </c>
      <c r="F210" s="231">
        <v>2</v>
      </c>
      <c r="H210" s="251" t="s">
        <v>557</v>
      </c>
      <c r="I210" s="231">
        <v>2</v>
      </c>
      <c r="J210" s="128"/>
      <c r="K210" s="251" t="s">
        <v>557</v>
      </c>
      <c r="L210" s="231">
        <v>2</v>
      </c>
    </row>
    <row r="211" spans="1:51" x14ac:dyDescent="0.25">
      <c r="A211" s="769"/>
      <c r="B211" s="251" t="s">
        <v>556</v>
      </c>
      <c r="C211" s="231">
        <v>2</v>
      </c>
      <c r="D211" s="128"/>
      <c r="E211" s="251" t="s">
        <v>556</v>
      </c>
      <c r="F211" s="231">
        <v>2</v>
      </c>
      <c r="H211" s="251" t="s">
        <v>556</v>
      </c>
      <c r="I211" s="231">
        <v>2</v>
      </c>
      <c r="J211" s="128"/>
      <c r="K211" s="251" t="s">
        <v>556</v>
      </c>
      <c r="L211" s="231">
        <v>2</v>
      </c>
    </row>
    <row r="212" spans="1:51" x14ac:dyDescent="0.25">
      <c r="A212" s="769"/>
      <c r="B212" s="251" t="s">
        <v>555</v>
      </c>
      <c r="C212" s="231">
        <v>1</v>
      </c>
      <c r="D212" s="128"/>
      <c r="E212" s="251" t="s">
        <v>555</v>
      </c>
      <c r="F212" s="231">
        <v>1</v>
      </c>
      <c r="H212" s="251" t="s">
        <v>555</v>
      </c>
      <c r="I212" s="231">
        <v>1</v>
      </c>
      <c r="J212" s="128"/>
      <c r="K212" s="251" t="s">
        <v>555</v>
      </c>
      <c r="L212" s="231">
        <v>1</v>
      </c>
    </row>
    <row r="213" spans="1:51" x14ac:dyDescent="0.25">
      <c r="A213" s="769"/>
      <c r="B213" s="251" t="s">
        <v>554</v>
      </c>
      <c r="C213" s="231">
        <v>0</v>
      </c>
      <c r="D213" s="128"/>
      <c r="E213" s="251" t="s">
        <v>554</v>
      </c>
      <c r="F213" s="231">
        <v>0</v>
      </c>
      <c r="H213" s="251" t="s">
        <v>554</v>
      </c>
      <c r="I213" s="231">
        <v>0</v>
      </c>
      <c r="J213" s="128"/>
      <c r="K213" s="251" t="s">
        <v>554</v>
      </c>
      <c r="L213" s="231">
        <v>0</v>
      </c>
    </row>
    <row r="214" spans="1:51" x14ac:dyDescent="0.25">
      <c r="A214" s="769"/>
      <c r="B214" s="251" t="s">
        <v>553</v>
      </c>
      <c r="C214" s="231">
        <v>0</v>
      </c>
      <c r="D214" s="128"/>
      <c r="E214" s="251" t="s">
        <v>553</v>
      </c>
      <c r="F214" s="231">
        <v>0</v>
      </c>
      <c r="H214" s="251" t="s">
        <v>553</v>
      </c>
      <c r="I214" s="231">
        <v>0</v>
      </c>
      <c r="J214" s="128"/>
      <c r="K214" s="251" t="s">
        <v>553</v>
      </c>
      <c r="L214" s="231">
        <v>0</v>
      </c>
    </row>
    <row r="215" spans="1:51" ht="15.75" thickBot="1" x14ac:dyDescent="0.3">
      <c r="A215" s="770"/>
      <c r="B215" s="250" t="s">
        <v>552</v>
      </c>
      <c r="C215" s="249">
        <f>C207*((SUM(C208:C214)))</f>
        <v>7</v>
      </c>
      <c r="D215" s="248"/>
      <c r="E215" s="250" t="s">
        <v>552</v>
      </c>
      <c r="F215" s="249">
        <f>F207*((SUM(F208:F214)))</f>
        <v>7</v>
      </c>
      <c r="H215" s="250" t="s">
        <v>552</v>
      </c>
      <c r="I215" s="249">
        <f>I207*((SUM(I208:I214)))</f>
        <v>7</v>
      </c>
      <c r="J215" s="248"/>
      <c r="K215" s="250" t="s">
        <v>552</v>
      </c>
      <c r="L215" s="249">
        <f>L207*((SUM(L208:L214)))</f>
        <v>7</v>
      </c>
    </row>
    <row r="216" spans="1:51" ht="36" customHeight="1" thickBot="1" x14ac:dyDescent="0.3"/>
    <row r="217" spans="1:51" ht="38.25" customHeight="1" thickBot="1" x14ac:dyDescent="0.3">
      <c r="A217" s="768">
        <v>16</v>
      </c>
      <c r="B217" s="771" t="str">
        <f>'Matriz de identificación'!S4</f>
        <v>Compra y transporte de materiales eléctricos</v>
      </c>
      <c r="C217" s="763"/>
      <c r="D217" s="763"/>
      <c r="E217" s="763"/>
      <c r="F217" s="763"/>
      <c r="G217" s="263"/>
      <c r="H217" s="263"/>
      <c r="I217" s="264"/>
      <c r="J217" s="263"/>
      <c r="K217" s="263"/>
      <c r="L217" s="264"/>
      <c r="O217"/>
      <c r="R217"/>
      <c r="U217"/>
      <c r="X217"/>
      <c r="AA217"/>
      <c r="AD217"/>
      <c r="AG217"/>
      <c r="AJ217"/>
      <c r="AM217"/>
      <c r="AP217"/>
      <c r="AS217"/>
      <c r="AV217"/>
      <c r="AY217"/>
    </row>
    <row r="218" spans="1:51" x14ac:dyDescent="0.25">
      <c r="A218" s="769"/>
      <c r="B218" s="255" t="s">
        <v>563</v>
      </c>
      <c r="C218" s="254" t="str">
        <f>'Matriz de identificación'!A29</f>
        <v>ANTROPOSFERICO</v>
      </c>
      <c r="D218" s="128"/>
      <c r="E218" s="255" t="s">
        <v>563</v>
      </c>
      <c r="F218" s="268" t="str">
        <f>C218</f>
        <v>ANTROPOSFERICO</v>
      </c>
      <c r="G218" s="128"/>
      <c r="H218" s="261" t="s">
        <v>563</v>
      </c>
      <c r="I218" s="266" t="str">
        <f>F218</f>
        <v>ANTROPOSFERICO</v>
      </c>
      <c r="J218" s="128"/>
      <c r="K218" s="261" t="s">
        <v>563</v>
      </c>
      <c r="L218" s="266" t="str">
        <f>'Matriz de identificación'!A29</f>
        <v>ANTROPOSFERICO</v>
      </c>
      <c r="N218" s="255" t="s">
        <v>563</v>
      </c>
      <c r="O218" s="268" t="str">
        <f>'Matriz de identificación'!A8</f>
        <v>GEOSFERICO</v>
      </c>
      <c r="R218"/>
      <c r="U218"/>
      <c r="X218"/>
      <c r="AA218"/>
      <c r="AD218"/>
      <c r="AG218"/>
      <c r="AJ218"/>
      <c r="AM218"/>
      <c r="AP218"/>
      <c r="AS218"/>
      <c r="AV218"/>
      <c r="AY218"/>
    </row>
    <row r="219" spans="1:51" x14ac:dyDescent="0.25">
      <c r="A219" s="769"/>
      <c r="B219" s="253" t="s">
        <v>562</v>
      </c>
      <c r="C219" s="252" t="str">
        <f>'Matriz de identificación'!B29</f>
        <v>SOCIAL</v>
      </c>
      <c r="D219" s="128"/>
      <c r="E219" s="253" t="s">
        <v>562</v>
      </c>
      <c r="F219" s="267" t="str">
        <f>C219</f>
        <v>SOCIAL</v>
      </c>
      <c r="G219" s="128"/>
      <c r="H219" s="259" t="s">
        <v>562</v>
      </c>
      <c r="I219" s="265" t="str">
        <f>F219</f>
        <v>SOCIAL</v>
      </c>
      <c r="J219" s="128"/>
      <c r="K219" s="259" t="s">
        <v>562</v>
      </c>
      <c r="L219" s="265" t="str">
        <f>'Matriz de identificación'!B35</f>
        <v>ECONÓMICO</v>
      </c>
      <c r="N219" s="253" t="s">
        <v>562</v>
      </c>
      <c r="O219" s="267" t="str">
        <f>'Matriz de identificación'!B15</f>
        <v>RECURSOS</v>
      </c>
      <c r="R219"/>
      <c r="U219"/>
      <c r="X219"/>
      <c r="AA219"/>
      <c r="AD219"/>
      <c r="AG219"/>
      <c r="AJ219"/>
      <c r="AM219"/>
      <c r="AP219"/>
      <c r="AS219"/>
      <c r="AV219"/>
      <c r="AY219"/>
    </row>
    <row r="220" spans="1:51" x14ac:dyDescent="0.25">
      <c r="A220" s="769"/>
      <c r="B220" s="251" t="s">
        <v>561</v>
      </c>
      <c r="C220" s="231" t="str">
        <f>'Matriz de identificación'!C30</f>
        <v>Empleo</v>
      </c>
      <c r="D220" s="128"/>
      <c r="E220" s="251" t="s">
        <v>561</v>
      </c>
      <c r="F220" s="231" t="str">
        <f>'Matriz de identificación'!C31</f>
        <v>Organización</v>
      </c>
      <c r="G220" s="128"/>
      <c r="H220" s="257" t="s">
        <v>561</v>
      </c>
      <c r="I220" s="8" t="str">
        <f>'Matriz de identificación'!C33</f>
        <v>Servicios</v>
      </c>
      <c r="J220" s="128"/>
      <c r="K220" s="257" t="s">
        <v>561</v>
      </c>
      <c r="L220" s="8" t="str">
        <f>'Matriz de identificación'!C35</f>
        <v>Estructura comercial</v>
      </c>
      <c r="N220" s="251" t="s">
        <v>561</v>
      </c>
      <c r="O220" s="231" t="str">
        <f>'Matriz de identificación'!C15</f>
        <v>Disponibilidad</v>
      </c>
      <c r="R220"/>
      <c r="U220"/>
      <c r="X220"/>
      <c r="AA220"/>
      <c r="AD220"/>
      <c r="AG220"/>
      <c r="AJ220"/>
      <c r="AM220"/>
      <c r="AP220"/>
      <c r="AS220"/>
      <c r="AV220"/>
      <c r="AY220"/>
    </row>
    <row r="221" spans="1:51" x14ac:dyDescent="0.25">
      <c r="A221" s="769"/>
      <c r="B221" s="251" t="s">
        <v>560</v>
      </c>
      <c r="C221" s="231">
        <v>1</v>
      </c>
      <c r="D221" s="128"/>
      <c r="E221" s="251" t="s">
        <v>560</v>
      </c>
      <c r="F221" s="231">
        <v>1</v>
      </c>
      <c r="G221" s="128"/>
      <c r="H221" s="257" t="s">
        <v>560</v>
      </c>
      <c r="I221" s="8">
        <v>1</v>
      </c>
      <c r="J221" s="128"/>
      <c r="K221" s="257" t="s">
        <v>560</v>
      </c>
      <c r="L221" s="8">
        <v>1</v>
      </c>
      <c r="N221" s="251" t="s">
        <v>560</v>
      </c>
      <c r="O221" s="231">
        <v>-1</v>
      </c>
      <c r="R221"/>
      <c r="U221"/>
      <c r="X221"/>
      <c r="AA221"/>
      <c r="AD221"/>
      <c r="AG221"/>
      <c r="AJ221"/>
      <c r="AM221"/>
      <c r="AP221"/>
      <c r="AS221"/>
      <c r="AV221"/>
      <c r="AY221"/>
    </row>
    <row r="222" spans="1:51" x14ac:dyDescent="0.25">
      <c r="A222" s="769"/>
      <c r="B222" s="251" t="s">
        <v>559</v>
      </c>
      <c r="C222" s="231">
        <v>1</v>
      </c>
      <c r="D222" s="128"/>
      <c r="E222" s="251" t="s">
        <v>559</v>
      </c>
      <c r="F222" s="231">
        <v>1</v>
      </c>
      <c r="G222" s="128"/>
      <c r="H222" s="257" t="s">
        <v>559</v>
      </c>
      <c r="I222" s="8">
        <v>1</v>
      </c>
      <c r="J222" s="128"/>
      <c r="K222" s="257" t="s">
        <v>559</v>
      </c>
      <c r="L222" s="8">
        <v>1</v>
      </c>
      <c r="N222" s="251" t="s">
        <v>559</v>
      </c>
      <c r="O222" s="231">
        <v>2</v>
      </c>
      <c r="R222"/>
      <c r="U222"/>
      <c r="X222"/>
      <c r="AA222"/>
      <c r="AD222"/>
      <c r="AG222"/>
      <c r="AJ222"/>
      <c r="AM222"/>
      <c r="AP222"/>
      <c r="AS222"/>
      <c r="AV222"/>
      <c r="AY222"/>
    </row>
    <row r="223" spans="1:51" x14ac:dyDescent="0.25">
      <c r="A223" s="769"/>
      <c r="B223" s="251" t="s">
        <v>558</v>
      </c>
      <c r="C223" s="231">
        <v>1</v>
      </c>
      <c r="D223" s="128"/>
      <c r="E223" s="251" t="s">
        <v>558</v>
      </c>
      <c r="F223" s="231">
        <v>1</v>
      </c>
      <c r="G223" s="128"/>
      <c r="H223" s="257" t="s">
        <v>558</v>
      </c>
      <c r="I223" s="8">
        <v>1</v>
      </c>
      <c r="J223" s="128"/>
      <c r="K223" s="257" t="s">
        <v>558</v>
      </c>
      <c r="L223" s="8">
        <v>1</v>
      </c>
      <c r="N223" s="251" t="s">
        <v>558</v>
      </c>
      <c r="O223" s="231">
        <v>3</v>
      </c>
      <c r="R223"/>
      <c r="U223"/>
      <c r="X223"/>
      <c r="AA223"/>
      <c r="AD223"/>
      <c r="AG223"/>
      <c r="AJ223"/>
      <c r="AM223"/>
      <c r="AP223"/>
      <c r="AS223"/>
      <c r="AV223"/>
      <c r="AY223"/>
    </row>
    <row r="224" spans="1:51" x14ac:dyDescent="0.25">
      <c r="A224" s="769"/>
      <c r="B224" s="251" t="s">
        <v>557</v>
      </c>
      <c r="C224" s="231">
        <v>2</v>
      </c>
      <c r="D224" s="128"/>
      <c r="E224" s="251" t="s">
        <v>557</v>
      </c>
      <c r="F224" s="231">
        <v>2</v>
      </c>
      <c r="G224" s="128"/>
      <c r="H224" s="257" t="s">
        <v>557</v>
      </c>
      <c r="I224" s="8">
        <v>2</v>
      </c>
      <c r="J224" s="128"/>
      <c r="K224" s="257" t="s">
        <v>557</v>
      </c>
      <c r="L224" s="8">
        <v>2</v>
      </c>
      <c r="N224" s="251" t="s">
        <v>557</v>
      </c>
      <c r="O224" s="231">
        <v>2</v>
      </c>
      <c r="R224"/>
      <c r="U224"/>
      <c r="X224"/>
      <c r="AA224"/>
      <c r="AD224"/>
      <c r="AG224"/>
      <c r="AJ224"/>
      <c r="AM224"/>
      <c r="AP224"/>
      <c r="AS224"/>
      <c r="AV224"/>
      <c r="AY224"/>
    </row>
    <row r="225" spans="1:51" x14ac:dyDescent="0.25">
      <c r="A225" s="769"/>
      <c r="B225" s="251" t="s">
        <v>556</v>
      </c>
      <c r="C225" s="231">
        <v>2</v>
      </c>
      <c r="D225" s="128"/>
      <c r="E225" s="251" t="s">
        <v>556</v>
      </c>
      <c r="F225" s="231">
        <v>2</v>
      </c>
      <c r="G225" s="128"/>
      <c r="H225" s="257" t="s">
        <v>556</v>
      </c>
      <c r="I225" s="8">
        <v>2</v>
      </c>
      <c r="J225" s="128"/>
      <c r="K225" s="257" t="s">
        <v>556</v>
      </c>
      <c r="L225" s="8">
        <v>2</v>
      </c>
      <c r="N225" s="251" t="s">
        <v>556</v>
      </c>
      <c r="O225" s="231">
        <v>2</v>
      </c>
      <c r="R225"/>
      <c r="U225"/>
      <c r="X225"/>
      <c r="AA225"/>
      <c r="AD225"/>
      <c r="AG225"/>
      <c r="AJ225"/>
      <c r="AM225"/>
      <c r="AP225"/>
      <c r="AS225"/>
      <c r="AV225"/>
      <c r="AY225"/>
    </row>
    <row r="226" spans="1:51" x14ac:dyDescent="0.25">
      <c r="A226" s="769"/>
      <c r="B226" s="251" t="s">
        <v>555</v>
      </c>
      <c r="C226" s="231">
        <v>1</v>
      </c>
      <c r="D226" s="128"/>
      <c r="E226" s="251" t="s">
        <v>555</v>
      </c>
      <c r="F226" s="231">
        <v>1</v>
      </c>
      <c r="G226" s="128"/>
      <c r="H226" s="257" t="s">
        <v>555</v>
      </c>
      <c r="I226" s="8">
        <v>1</v>
      </c>
      <c r="J226" s="128"/>
      <c r="K226" s="257" t="s">
        <v>555</v>
      </c>
      <c r="L226" s="8">
        <v>1</v>
      </c>
      <c r="N226" s="251" t="s">
        <v>555</v>
      </c>
      <c r="O226" s="231">
        <v>2</v>
      </c>
      <c r="R226"/>
      <c r="U226"/>
      <c r="X226"/>
      <c r="AA226"/>
      <c r="AD226"/>
      <c r="AG226"/>
      <c r="AJ226"/>
      <c r="AM226"/>
      <c r="AP226"/>
      <c r="AS226"/>
      <c r="AV226"/>
      <c r="AY226"/>
    </row>
    <row r="227" spans="1:51" x14ac:dyDescent="0.25">
      <c r="A227" s="769"/>
      <c r="B227" s="251" t="s">
        <v>554</v>
      </c>
      <c r="C227" s="231">
        <v>0</v>
      </c>
      <c r="D227" s="128"/>
      <c r="E227" s="251" t="s">
        <v>554</v>
      </c>
      <c r="F227" s="231">
        <v>0</v>
      </c>
      <c r="G227" s="128"/>
      <c r="H227" s="257" t="s">
        <v>554</v>
      </c>
      <c r="I227" s="8">
        <v>0</v>
      </c>
      <c r="J227" s="128"/>
      <c r="K227" s="257" t="s">
        <v>554</v>
      </c>
      <c r="L227" s="8">
        <v>0</v>
      </c>
      <c r="N227" s="251" t="s">
        <v>554</v>
      </c>
      <c r="O227" s="231">
        <v>2</v>
      </c>
      <c r="R227"/>
      <c r="U227"/>
      <c r="X227"/>
      <c r="AA227"/>
      <c r="AD227"/>
      <c r="AG227"/>
      <c r="AJ227"/>
      <c r="AM227"/>
      <c r="AP227"/>
      <c r="AS227"/>
      <c r="AV227"/>
      <c r="AY227"/>
    </row>
    <row r="228" spans="1:51" x14ac:dyDescent="0.25">
      <c r="A228" s="769"/>
      <c r="B228" s="251" t="s">
        <v>553</v>
      </c>
      <c r="C228" s="231">
        <v>0</v>
      </c>
      <c r="D228" s="128"/>
      <c r="E228" s="251" t="s">
        <v>553</v>
      </c>
      <c r="F228" s="231">
        <v>0</v>
      </c>
      <c r="G228" s="128"/>
      <c r="H228" s="257" t="s">
        <v>553</v>
      </c>
      <c r="I228" s="8">
        <v>0</v>
      </c>
      <c r="J228" s="128"/>
      <c r="K228" s="257" t="s">
        <v>553</v>
      </c>
      <c r="L228" s="8">
        <v>0</v>
      </c>
      <c r="N228" s="251" t="s">
        <v>553</v>
      </c>
      <c r="O228" s="231">
        <v>2</v>
      </c>
      <c r="R228"/>
      <c r="U228"/>
      <c r="X228"/>
      <c r="AA228"/>
      <c r="AD228"/>
      <c r="AG228"/>
      <c r="AJ228"/>
      <c r="AM228"/>
      <c r="AP228"/>
      <c r="AS228"/>
      <c r="AV228"/>
      <c r="AY228"/>
    </row>
    <row r="229" spans="1:51" ht="15.75" thickBot="1" x14ac:dyDescent="0.3">
      <c r="A229" s="770"/>
      <c r="B229" s="250" t="s">
        <v>552</v>
      </c>
      <c r="C229" s="249">
        <f>C221*((SUM(C222:C228)))</f>
        <v>7</v>
      </c>
      <c r="D229" s="248"/>
      <c r="E229" s="250" t="s">
        <v>552</v>
      </c>
      <c r="F229" s="249">
        <f>F221*((SUM(F222:F228)))</f>
        <v>7</v>
      </c>
      <c r="G229" s="248"/>
      <c r="H229" s="256" t="s">
        <v>552</v>
      </c>
      <c r="I229" s="249">
        <f>I221*((SUM(I222:I228)))</f>
        <v>7</v>
      </c>
      <c r="J229" s="248"/>
      <c r="K229" s="256" t="s">
        <v>552</v>
      </c>
      <c r="L229" s="249">
        <f>L221*((SUM(L222:L228)))</f>
        <v>7</v>
      </c>
      <c r="N229" s="250" t="s">
        <v>552</v>
      </c>
      <c r="O229" s="249">
        <f>O221*((SUM(O222:O228)))</f>
        <v>-15</v>
      </c>
      <c r="R229"/>
      <c r="U229"/>
      <c r="X229"/>
      <c r="AA229"/>
      <c r="AD229"/>
      <c r="AG229"/>
      <c r="AJ229"/>
      <c r="AM229"/>
      <c r="AP229"/>
      <c r="AS229"/>
      <c r="AV229"/>
      <c r="AY229"/>
    </row>
    <row r="230" spans="1:51" ht="36.75" customHeight="1" thickBot="1" x14ac:dyDescent="0.3"/>
    <row r="231" spans="1:51" ht="36.75" customHeight="1" thickBot="1" x14ac:dyDescent="0.3">
      <c r="A231" s="768">
        <v>17</v>
      </c>
      <c r="B231" s="771" t="str">
        <f>'Matriz de identificación'!T4</f>
        <v>Instalación del sistema</v>
      </c>
      <c r="C231" s="763"/>
      <c r="D231" s="763"/>
      <c r="E231" s="763"/>
      <c r="F231" s="763"/>
      <c r="G231" s="263"/>
      <c r="H231" s="263"/>
      <c r="I231" s="264"/>
      <c r="J231" s="263"/>
      <c r="K231" s="263"/>
      <c r="L231" s="264"/>
      <c r="M231" s="263"/>
      <c r="N231" s="263"/>
      <c r="O231" s="264"/>
      <c r="P231" s="263"/>
      <c r="Q231" s="263"/>
      <c r="R231" s="264"/>
      <c r="T231" s="66"/>
      <c r="U231"/>
      <c r="W231" s="66"/>
      <c r="X231"/>
      <c r="Z231" s="224"/>
      <c r="AA231"/>
      <c r="AC231" s="224"/>
      <c r="AD231"/>
      <c r="AF231" s="224"/>
      <c r="AG231"/>
      <c r="AI231" s="224"/>
      <c r="AJ231"/>
      <c r="AM231"/>
      <c r="AP231"/>
      <c r="AS231"/>
      <c r="AV231"/>
      <c r="AY231"/>
    </row>
    <row r="232" spans="1:51" x14ac:dyDescent="0.25">
      <c r="A232" s="769"/>
      <c r="B232" s="255" t="s">
        <v>563</v>
      </c>
      <c r="C232" s="254" t="str">
        <f>'Matriz de identificación'!A29</f>
        <v>ANTROPOSFERICO</v>
      </c>
      <c r="D232" s="128"/>
      <c r="E232" s="255" t="s">
        <v>563</v>
      </c>
      <c r="F232" s="268" t="str">
        <f>C232</f>
        <v>ANTROPOSFERICO</v>
      </c>
      <c r="G232" s="128"/>
      <c r="H232" s="261" t="s">
        <v>563</v>
      </c>
      <c r="I232" s="266" t="str">
        <f>F232</f>
        <v>ANTROPOSFERICO</v>
      </c>
      <c r="J232" s="128"/>
      <c r="K232" s="261" t="s">
        <v>563</v>
      </c>
      <c r="L232" s="266" t="str">
        <f>I232</f>
        <v>ANTROPOSFERICO</v>
      </c>
      <c r="M232" s="128"/>
      <c r="N232" s="261" t="s">
        <v>563</v>
      </c>
      <c r="O232" s="266" t="str">
        <f>L232</f>
        <v>ANTROPOSFERICO</v>
      </c>
      <c r="P232" s="128"/>
      <c r="Q232" s="261" t="s">
        <v>563</v>
      </c>
      <c r="R232" s="266" t="str">
        <f>O232</f>
        <v>ANTROPOSFERICO</v>
      </c>
      <c r="T232" s="66"/>
      <c r="U232"/>
      <c r="W232" s="66"/>
      <c r="X232"/>
      <c r="Z232" s="224"/>
      <c r="AA232"/>
      <c r="AC232" s="224"/>
      <c r="AD232"/>
      <c r="AF232" s="224"/>
      <c r="AG232"/>
      <c r="AI232" s="224"/>
      <c r="AJ232"/>
      <c r="AM232"/>
      <c r="AP232"/>
      <c r="AS232"/>
      <c r="AV232"/>
      <c r="AY232"/>
    </row>
    <row r="233" spans="1:51" x14ac:dyDescent="0.25">
      <c r="A233" s="769"/>
      <c r="B233" s="253" t="s">
        <v>562</v>
      </c>
      <c r="C233" s="252" t="str">
        <f>'Matriz de identificación'!B29</f>
        <v>SOCIAL</v>
      </c>
      <c r="D233" s="128"/>
      <c r="E233" s="253" t="s">
        <v>562</v>
      </c>
      <c r="F233" s="267" t="str">
        <f>C233</f>
        <v>SOCIAL</v>
      </c>
      <c r="G233" s="128"/>
      <c r="H233" s="259" t="s">
        <v>562</v>
      </c>
      <c r="I233" s="265" t="str">
        <f>F233</f>
        <v>SOCIAL</v>
      </c>
      <c r="J233" s="128"/>
      <c r="K233" s="259" t="s">
        <v>562</v>
      </c>
      <c r="L233" s="265" t="str">
        <f>I233</f>
        <v>SOCIAL</v>
      </c>
      <c r="M233" s="128"/>
      <c r="N233" s="259" t="s">
        <v>562</v>
      </c>
      <c r="O233" s="258" t="str">
        <f>'Matriz de identificación'!B34</f>
        <v>CULTURAL</v>
      </c>
      <c r="P233" s="128"/>
      <c r="Q233" s="259" t="s">
        <v>562</v>
      </c>
      <c r="R233" s="258" t="str">
        <f>'Matriz de identificación'!B35</f>
        <v>ECONÓMICO</v>
      </c>
      <c r="T233" s="66"/>
      <c r="U233"/>
      <c r="W233" s="66"/>
      <c r="X233"/>
      <c r="Z233" s="224"/>
      <c r="AA233"/>
      <c r="AC233" s="224"/>
      <c r="AD233"/>
      <c r="AF233" s="224"/>
      <c r="AG233"/>
      <c r="AI233" s="224"/>
      <c r="AJ233"/>
      <c r="AM233"/>
      <c r="AP233"/>
      <c r="AS233"/>
      <c r="AV233"/>
      <c r="AY233"/>
    </row>
    <row r="234" spans="1:51" x14ac:dyDescent="0.25">
      <c r="A234" s="769"/>
      <c r="B234" s="251" t="s">
        <v>561</v>
      </c>
      <c r="C234" s="231" t="str">
        <f>'Matriz de identificación'!C29</f>
        <v>Calidad de vida</v>
      </c>
      <c r="D234" s="128"/>
      <c r="E234" s="251" t="s">
        <v>561</v>
      </c>
      <c r="F234" s="231" t="str">
        <f>'Matriz de identificación'!C30</f>
        <v>Empleo</v>
      </c>
      <c r="G234" s="128"/>
      <c r="H234" s="257" t="s">
        <v>561</v>
      </c>
      <c r="I234" s="8" t="str">
        <f>'Matriz de identificación'!C31</f>
        <v>Organización</v>
      </c>
      <c r="J234" s="128"/>
      <c r="K234" s="257" t="s">
        <v>561</v>
      </c>
      <c r="L234" s="8" t="str">
        <f>'Matriz de identificación'!C33</f>
        <v>Servicios</v>
      </c>
      <c r="M234" s="128"/>
      <c r="N234" s="257" t="s">
        <v>561</v>
      </c>
      <c r="O234" s="8" t="str">
        <f>'Matriz de identificación'!C34</f>
        <v>Cosmovisión</v>
      </c>
      <c r="P234" s="128"/>
      <c r="Q234" s="257" t="s">
        <v>561</v>
      </c>
      <c r="R234" s="8" t="str">
        <f>'Matriz de identificación'!C35</f>
        <v>Estructura comercial</v>
      </c>
      <c r="T234" s="66"/>
      <c r="U234"/>
      <c r="W234" s="66"/>
      <c r="X234"/>
      <c r="Z234" s="224"/>
      <c r="AA234"/>
      <c r="AC234" s="224"/>
      <c r="AD234"/>
      <c r="AF234" s="224"/>
      <c r="AG234"/>
      <c r="AI234" s="224"/>
      <c r="AJ234"/>
      <c r="AM234"/>
      <c r="AP234"/>
      <c r="AS234"/>
      <c r="AV234"/>
      <c r="AY234"/>
    </row>
    <row r="235" spans="1:51" x14ac:dyDescent="0.25">
      <c r="A235" s="769"/>
      <c r="B235" s="251" t="s">
        <v>560</v>
      </c>
      <c r="C235" s="231">
        <v>1</v>
      </c>
      <c r="D235" s="128"/>
      <c r="E235" s="251" t="s">
        <v>560</v>
      </c>
      <c r="F235" s="231">
        <v>1</v>
      </c>
      <c r="G235" s="128"/>
      <c r="H235" s="257" t="s">
        <v>560</v>
      </c>
      <c r="I235" s="8">
        <v>1</v>
      </c>
      <c r="J235" s="128"/>
      <c r="K235" s="257" t="s">
        <v>560</v>
      </c>
      <c r="L235" s="8">
        <v>1</v>
      </c>
      <c r="M235" s="128"/>
      <c r="N235" s="257" t="s">
        <v>560</v>
      </c>
      <c r="O235" s="8">
        <v>1</v>
      </c>
      <c r="P235" s="128"/>
      <c r="Q235" s="257" t="s">
        <v>560</v>
      </c>
      <c r="R235" s="8">
        <v>1</v>
      </c>
      <c r="T235" s="66"/>
      <c r="U235"/>
      <c r="W235" s="66"/>
      <c r="X235"/>
      <c r="Z235" s="224"/>
      <c r="AA235"/>
      <c r="AC235" s="224"/>
      <c r="AD235"/>
      <c r="AF235" s="224"/>
      <c r="AG235"/>
      <c r="AI235" s="224"/>
      <c r="AJ235"/>
      <c r="AM235"/>
      <c r="AP235"/>
      <c r="AS235"/>
      <c r="AV235"/>
      <c r="AY235"/>
    </row>
    <row r="236" spans="1:51" x14ac:dyDescent="0.25">
      <c r="A236" s="769"/>
      <c r="B236" s="251" t="s">
        <v>559</v>
      </c>
      <c r="C236" s="231">
        <v>1</v>
      </c>
      <c r="D236" s="128"/>
      <c r="E236" s="251" t="s">
        <v>559</v>
      </c>
      <c r="F236" s="231">
        <v>1</v>
      </c>
      <c r="G236" s="128"/>
      <c r="H236" s="257" t="s">
        <v>559</v>
      </c>
      <c r="I236" s="8">
        <v>1</v>
      </c>
      <c r="J236" s="128"/>
      <c r="K236" s="257" t="s">
        <v>559</v>
      </c>
      <c r="L236" s="8">
        <v>1</v>
      </c>
      <c r="M236" s="128"/>
      <c r="N236" s="257" t="s">
        <v>559</v>
      </c>
      <c r="O236" s="8">
        <v>3</v>
      </c>
      <c r="P236" s="128"/>
      <c r="Q236" s="257" t="s">
        <v>559</v>
      </c>
      <c r="R236" s="8">
        <v>2</v>
      </c>
      <c r="T236" s="66"/>
      <c r="U236"/>
      <c r="W236" s="66"/>
      <c r="X236"/>
      <c r="Z236" s="224"/>
      <c r="AA236"/>
      <c r="AC236" s="224"/>
      <c r="AD236"/>
      <c r="AF236" s="224"/>
      <c r="AG236"/>
      <c r="AI236" s="224"/>
      <c r="AJ236"/>
      <c r="AM236"/>
      <c r="AP236"/>
      <c r="AS236"/>
      <c r="AV236"/>
      <c r="AY236"/>
    </row>
    <row r="237" spans="1:51" x14ac:dyDescent="0.25">
      <c r="A237" s="769"/>
      <c r="B237" s="251" t="s">
        <v>558</v>
      </c>
      <c r="C237" s="231">
        <v>3</v>
      </c>
      <c r="D237" s="128"/>
      <c r="E237" s="251" t="s">
        <v>558</v>
      </c>
      <c r="F237" s="231">
        <v>1</v>
      </c>
      <c r="G237" s="128"/>
      <c r="H237" s="257" t="s">
        <v>558</v>
      </c>
      <c r="I237" s="8">
        <v>1</v>
      </c>
      <c r="J237" s="128"/>
      <c r="K237" s="257" t="s">
        <v>558</v>
      </c>
      <c r="L237" s="8">
        <v>1</v>
      </c>
      <c r="M237" s="128"/>
      <c r="N237" s="257" t="s">
        <v>558</v>
      </c>
      <c r="O237" s="8">
        <v>1</v>
      </c>
      <c r="P237" s="128"/>
      <c r="Q237" s="257" t="s">
        <v>558</v>
      </c>
      <c r="R237" s="8">
        <v>1</v>
      </c>
      <c r="T237" s="66"/>
      <c r="U237"/>
      <c r="W237" s="66"/>
      <c r="X237"/>
      <c r="Z237" s="224"/>
      <c r="AA237"/>
      <c r="AC237" s="224"/>
      <c r="AD237"/>
      <c r="AF237" s="224"/>
      <c r="AG237"/>
      <c r="AI237" s="224"/>
      <c r="AJ237"/>
      <c r="AM237"/>
      <c r="AP237"/>
      <c r="AS237"/>
      <c r="AV237"/>
      <c r="AY237"/>
    </row>
    <row r="238" spans="1:51" x14ac:dyDescent="0.25">
      <c r="A238" s="769"/>
      <c r="B238" s="251" t="s">
        <v>557</v>
      </c>
      <c r="C238" s="231">
        <v>1</v>
      </c>
      <c r="D238" s="128"/>
      <c r="E238" s="251" t="s">
        <v>557</v>
      </c>
      <c r="F238" s="231">
        <v>2</v>
      </c>
      <c r="G238" s="128"/>
      <c r="H238" s="257" t="s">
        <v>557</v>
      </c>
      <c r="I238" s="8">
        <v>2</v>
      </c>
      <c r="J238" s="128"/>
      <c r="K238" s="257" t="s">
        <v>557</v>
      </c>
      <c r="L238" s="8">
        <v>2</v>
      </c>
      <c r="M238" s="128"/>
      <c r="N238" s="257" t="s">
        <v>557</v>
      </c>
      <c r="O238" s="8">
        <v>3</v>
      </c>
      <c r="P238" s="128"/>
      <c r="Q238" s="257" t="s">
        <v>557</v>
      </c>
      <c r="R238" s="8">
        <v>3</v>
      </c>
      <c r="T238" s="66"/>
      <c r="U238"/>
      <c r="W238" s="66"/>
      <c r="X238"/>
      <c r="Z238" s="224"/>
      <c r="AA238"/>
      <c r="AC238" s="224"/>
      <c r="AD238"/>
      <c r="AF238" s="224"/>
      <c r="AG238"/>
      <c r="AI238" s="224"/>
      <c r="AJ238"/>
      <c r="AM238"/>
      <c r="AP238"/>
      <c r="AS238"/>
      <c r="AV238"/>
      <c r="AY238"/>
    </row>
    <row r="239" spans="1:51" x14ac:dyDescent="0.25">
      <c r="A239" s="769"/>
      <c r="B239" s="251" t="s">
        <v>556</v>
      </c>
      <c r="C239" s="231">
        <v>3</v>
      </c>
      <c r="D239" s="128"/>
      <c r="E239" s="251" t="s">
        <v>556</v>
      </c>
      <c r="F239" s="231">
        <v>2</v>
      </c>
      <c r="G239" s="128"/>
      <c r="H239" s="257" t="s">
        <v>556</v>
      </c>
      <c r="I239" s="8">
        <v>2</v>
      </c>
      <c r="J239" s="128"/>
      <c r="K239" s="257" t="s">
        <v>556</v>
      </c>
      <c r="L239" s="8">
        <v>2</v>
      </c>
      <c r="M239" s="128"/>
      <c r="N239" s="257" t="s">
        <v>556</v>
      </c>
      <c r="O239" s="8">
        <v>3</v>
      </c>
      <c r="P239" s="128"/>
      <c r="Q239" s="257" t="s">
        <v>556</v>
      </c>
      <c r="R239" s="8">
        <v>3</v>
      </c>
      <c r="T239" s="66"/>
      <c r="U239"/>
      <c r="W239" s="66"/>
      <c r="X239"/>
      <c r="Z239" s="224"/>
      <c r="AA239"/>
      <c r="AC239" s="224"/>
      <c r="AD239"/>
      <c r="AF239" s="224"/>
      <c r="AG239"/>
      <c r="AI239" s="224"/>
      <c r="AJ239"/>
      <c r="AM239"/>
      <c r="AP239"/>
      <c r="AS239"/>
      <c r="AV239"/>
      <c r="AY239"/>
    </row>
    <row r="240" spans="1:51" x14ac:dyDescent="0.25">
      <c r="A240" s="769"/>
      <c r="B240" s="251" t="s">
        <v>555</v>
      </c>
      <c r="C240" s="231">
        <v>2</v>
      </c>
      <c r="D240" s="128"/>
      <c r="E240" s="251" t="s">
        <v>555</v>
      </c>
      <c r="F240" s="231">
        <v>1</v>
      </c>
      <c r="G240" s="128"/>
      <c r="H240" s="257" t="s">
        <v>555</v>
      </c>
      <c r="I240" s="8">
        <v>1</v>
      </c>
      <c r="J240" s="128"/>
      <c r="K240" s="257" t="s">
        <v>555</v>
      </c>
      <c r="L240" s="8">
        <v>1</v>
      </c>
      <c r="M240" s="128"/>
      <c r="N240" s="257" t="s">
        <v>555</v>
      </c>
      <c r="O240" s="8">
        <v>2</v>
      </c>
      <c r="P240" s="128"/>
      <c r="Q240" s="257" t="s">
        <v>555</v>
      </c>
      <c r="R240" s="8">
        <v>2</v>
      </c>
      <c r="T240" s="66"/>
      <c r="U240"/>
      <c r="W240" s="66"/>
      <c r="X240"/>
      <c r="Z240" s="224"/>
      <c r="AA240"/>
      <c r="AC240" s="224"/>
      <c r="AD240"/>
      <c r="AF240" s="224"/>
      <c r="AG240"/>
      <c r="AI240" s="224"/>
      <c r="AJ240"/>
      <c r="AM240"/>
      <c r="AP240"/>
      <c r="AS240"/>
      <c r="AV240"/>
      <c r="AY240"/>
    </row>
    <row r="241" spans="1:51" x14ac:dyDescent="0.25">
      <c r="A241" s="769"/>
      <c r="B241" s="251" t="s">
        <v>554</v>
      </c>
      <c r="C241" s="231">
        <v>1</v>
      </c>
      <c r="D241" s="128"/>
      <c r="E241" s="251" t="s">
        <v>554</v>
      </c>
      <c r="F241" s="231">
        <v>0</v>
      </c>
      <c r="G241" s="128"/>
      <c r="H241" s="257" t="s">
        <v>554</v>
      </c>
      <c r="I241" s="8">
        <v>0</v>
      </c>
      <c r="J241" s="128"/>
      <c r="K241" s="257" t="s">
        <v>554</v>
      </c>
      <c r="L241" s="8">
        <v>0</v>
      </c>
      <c r="M241" s="128"/>
      <c r="N241" s="257" t="s">
        <v>554</v>
      </c>
      <c r="O241" s="8">
        <v>0</v>
      </c>
      <c r="P241" s="128"/>
      <c r="Q241" s="257" t="s">
        <v>554</v>
      </c>
      <c r="R241" s="8">
        <v>0</v>
      </c>
      <c r="T241" s="66"/>
      <c r="U241"/>
      <c r="W241" s="66"/>
      <c r="X241"/>
      <c r="Z241" s="224"/>
      <c r="AA241"/>
      <c r="AC241" s="224"/>
      <c r="AD241"/>
      <c r="AF241" s="224"/>
      <c r="AG241"/>
      <c r="AI241" s="224"/>
      <c r="AJ241"/>
      <c r="AM241"/>
      <c r="AP241"/>
      <c r="AS241"/>
      <c r="AV241"/>
      <c r="AY241"/>
    </row>
    <row r="242" spans="1:51" x14ac:dyDescent="0.25">
      <c r="A242" s="769"/>
      <c r="B242" s="251" t="s">
        <v>553</v>
      </c>
      <c r="C242" s="231">
        <v>1</v>
      </c>
      <c r="D242" s="128"/>
      <c r="E242" s="251" t="s">
        <v>553</v>
      </c>
      <c r="F242" s="231">
        <v>0</v>
      </c>
      <c r="G242" s="128"/>
      <c r="H242" s="257" t="s">
        <v>553</v>
      </c>
      <c r="I242" s="8">
        <v>0</v>
      </c>
      <c r="J242" s="128"/>
      <c r="K242" s="257" t="s">
        <v>553</v>
      </c>
      <c r="L242" s="8">
        <v>0</v>
      </c>
      <c r="M242" s="128"/>
      <c r="N242" s="257" t="s">
        <v>553</v>
      </c>
      <c r="O242" s="8">
        <v>0</v>
      </c>
      <c r="P242" s="128"/>
      <c r="Q242" s="257" t="s">
        <v>553</v>
      </c>
      <c r="R242" s="8">
        <v>0</v>
      </c>
      <c r="T242" s="66"/>
      <c r="U242"/>
      <c r="W242" s="66"/>
      <c r="X242"/>
      <c r="Z242" s="224"/>
      <c r="AA242"/>
      <c r="AC242" s="224"/>
      <c r="AD242"/>
      <c r="AF242" s="224"/>
      <c r="AG242"/>
      <c r="AI242" s="224"/>
      <c r="AJ242"/>
      <c r="AM242"/>
      <c r="AP242"/>
      <c r="AS242"/>
      <c r="AV242"/>
      <c r="AY242"/>
    </row>
    <row r="243" spans="1:51" ht="15.75" thickBot="1" x14ac:dyDescent="0.3">
      <c r="A243" s="770"/>
      <c r="B243" s="250" t="s">
        <v>552</v>
      </c>
      <c r="C243" s="249">
        <f>C235*((SUM(C236:C242)))</f>
        <v>12</v>
      </c>
      <c r="D243" s="248"/>
      <c r="E243" s="250" t="s">
        <v>552</v>
      </c>
      <c r="F243" s="249">
        <f>F235*((SUM(F236:F242)))</f>
        <v>7</v>
      </c>
      <c r="G243" s="248"/>
      <c r="H243" s="256" t="s">
        <v>552</v>
      </c>
      <c r="I243" s="249">
        <f>I235*((SUM(I236:I242)))</f>
        <v>7</v>
      </c>
      <c r="J243" s="248"/>
      <c r="K243" s="256" t="s">
        <v>552</v>
      </c>
      <c r="L243" s="249">
        <f>L235*((SUM(L236:L242)))</f>
        <v>7</v>
      </c>
      <c r="M243" s="248"/>
      <c r="N243" s="256" t="s">
        <v>552</v>
      </c>
      <c r="O243" s="249">
        <f>O235*((SUM(O236:O242)))</f>
        <v>12</v>
      </c>
      <c r="P243" s="248"/>
      <c r="Q243" s="256" t="s">
        <v>552</v>
      </c>
      <c r="R243" s="249">
        <f>R235*((SUM(R236:R242)))</f>
        <v>11</v>
      </c>
      <c r="T243" s="66"/>
      <c r="U243"/>
      <c r="W243" s="66"/>
      <c r="X243"/>
      <c r="Z243" s="224"/>
      <c r="AA243"/>
      <c r="AC243" s="224"/>
      <c r="AD243"/>
      <c r="AF243" s="224"/>
      <c r="AG243"/>
      <c r="AI243" s="224"/>
      <c r="AJ243"/>
      <c r="AM243"/>
      <c r="AP243"/>
      <c r="AS243"/>
      <c r="AV243"/>
      <c r="AY243"/>
    </row>
    <row r="244" spans="1:51" ht="39" customHeight="1" thickBot="1" x14ac:dyDescent="0.3"/>
    <row r="245" spans="1:51" ht="36.75" customHeight="1" thickBot="1" x14ac:dyDescent="0.3">
      <c r="A245" s="768">
        <v>18</v>
      </c>
      <c r="B245" s="763" t="str">
        <f>'Matriz de identificación'!U4</f>
        <v>Verificación de funcionamiento</v>
      </c>
      <c r="C245" s="763"/>
      <c r="D245" s="763"/>
      <c r="E245" s="763"/>
      <c r="F245" s="763"/>
      <c r="G245" s="263"/>
      <c r="H245" s="263"/>
      <c r="I245" s="264"/>
      <c r="J245" s="263"/>
      <c r="K245" s="263"/>
      <c r="L245" s="264"/>
      <c r="O245" s="224"/>
      <c r="R245" s="224"/>
      <c r="U245" s="224"/>
      <c r="X245" s="224"/>
      <c r="AA245"/>
      <c r="AD245"/>
      <c r="AG245"/>
      <c r="AJ245"/>
      <c r="AM245"/>
      <c r="AP245"/>
      <c r="AS245"/>
      <c r="AV245"/>
      <c r="AY245"/>
    </row>
    <row r="246" spans="1:51" x14ac:dyDescent="0.25">
      <c r="A246" s="756"/>
      <c r="B246" s="255" t="s">
        <v>563</v>
      </c>
      <c r="C246" s="254" t="str">
        <f>'Matriz de identificación'!A29</f>
        <v>ANTROPOSFERICO</v>
      </c>
      <c r="D246" s="128"/>
      <c r="E246" s="255" t="s">
        <v>563</v>
      </c>
      <c r="F246" s="268" t="str">
        <f>C246</f>
        <v>ANTROPOSFERICO</v>
      </c>
      <c r="G246" s="128"/>
      <c r="H246" s="261" t="s">
        <v>563</v>
      </c>
      <c r="I246" s="266" t="str">
        <f>I232</f>
        <v>ANTROPOSFERICO</v>
      </c>
      <c r="J246" s="128"/>
      <c r="K246" s="261" t="s">
        <v>563</v>
      </c>
      <c r="L246" s="266" t="str">
        <f>I246</f>
        <v>ANTROPOSFERICO</v>
      </c>
      <c r="O246" s="224"/>
      <c r="R246" s="224"/>
      <c r="U246" s="224"/>
      <c r="X246" s="224"/>
      <c r="AA246"/>
      <c r="AD246"/>
      <c r="AG246"/>
      <c r="AJ246"/>
      <c r="AM246"/>
      <c r="AP246"/>
      <c r="AS246"/>
      <c r="AV246"/>
      <c r="AY246"/>
    </row>
    <row r="247" spans="1:51" x14ac:dyDescent="0.25">
      <c r="A247" s="756"/>
      <c r="B247" s="253" t="s">
        <v>562</v>
      </c>
      <c r="C247" s="252" t="str">
        <f>'Matriz de identificación'!B29</f>
        <v>SOCIAL</v>
      </c>
      <c r="D247" s="128"/>
      <c r="E247" s="253" t="s">
        <v>562</v>
      </c>
      <c r="F247" s="267" t="str">
        <f>C247</f>
        <v>SOCIAL</v>
      </c>
      <c r="G247" s="128"/>
      <c r="H247" s="259" t="s">
        <v>562</v>
      </c>
      <c r="I247" s="265" t="str">
        <f>F247</f>
        <v>SOCIAL</v>
      </c>
      <c r="J247" s="128"/>
      <c r="K247" s="259" t="s">
        <v>562</v>
      </c>
      <c r="L247" s="265" t="str">
        <f>'Matriz de identificación'!B34</f>
        <v>CULTURAL</v>
      </c>
      <c r="O247" s="224"/>
      <c r="R247" s="224"/>
      <c r="U247" s="224"/>
      <c r="X247" s="224"/>
      <c r="AA247"/>
      <c r="AD247"/>
      <c r="AG247"/>
      <c r="AJ247"/>
      <c r="AM247"/>
      <c r="AP247"/>
      <c r="AS247"/>
      <c r="AV247"/>
      <c r="AY247"/>
    </row>
    <row r="248" spans="1:51" x14ac:dyDescent="0.25">
      <c r="A248" s="756"/>
      <c r="B248" s="251" t="s">
        <v>561</v>
      </c>
      <c r="C248" s="231" t="str">
        <f>'Matriz de identificación'!C30</f>
        <v>Empleo</v>
      </c>
      <c r="D248" s="128"/>
      <c r="E248" s="251" t="s">
        <v>561</v>
      </c>
      <c r="F248" s="231" t="str">
        <f>'Matriz de identificación'!C31</f>
        <v>Organización</v>
      </c>
      <c r="G248" s="128"/>
      <c r="H248" s="257" t="s">
        <v>561</v>
      </c>
      <c r="I248" s="8" t="str">
        <f>'Matriz de identificación'!C33</f>
        <v>Servicios</v>
      </c>
      <c r="J248" s="128"/>
      <c r="K248" s="257" t="s">
        <v>561</v>
      </c>
      <c r="L248" s="8" t="str">
        <f>'Matriz de identificación'!C34</f>
        <v>Cosmovisión</v>
      </c>
      <c r="O248" s="224"/>
      <c r="R248" s="224"/>
      <c r="U248" s="224"/>
      <c r="X248" s="224"/>
      <c r="AA248"/>
      <c r="AD248"/>
      <c r="AG248"/>
      <c r="AJ248"/>
      <c r="AM248"/>
      <c r="AP248"/>
      <c r="AS248"/>
      <c r="AV248"/>
      <c r="AY248"/>
    </row>
    <row r="249" spans="1:51" x14ac:dyDescent="0.25">
      <c r="A249" s="756"/>
      <c r="B249" s="251" t="s">
        <v>560</v>
      </c>
      <c r="C249" s="231">
        <v>1</v>
      </c>
      <c r="D249" s="128"/>
      <c r="E249" s="251" t="s">
        <v>560</v>
      </c>
      <c r="F249" s="231">
        <v>1</v>
      </c>
      <c r="G249" s="128"/>
      <c r="H249" s="257" t="s">
        <v>560</v>
      </c>
      <c r="I249" s="8">
        <v>1</v>
      </c>
      <c r="J249" s="128"/>
      <c r="K249" s="257" t="s">
        <v>560</v>
      </c>
      <c r="L249" s="8">
        <v>1</v>
      </c>
      <c r="O249" s="224"/>
      <c r="R249" s="224"/>
      <c r="U249" s="224"/>
      <c r="X249" s="224"/>
      <c r="AA249"/>
      <c r="AD249"/>
      <c r="AG249"/>
      <c r="AJ249"/>
      <c r="AM249"/>
      <c r="AP249"/>
      <c r="AS249"/>
      <c r="AV249"/>
      <c r="AY249"/>
    </row>
    <row r="250" spans="1:51" x14ac:dyDescent="0.25">
      <c r="A250" s="756"/>
      <c r="B250" s="251" t="s">
        <v>559</v>
      </c>
      <c r="C250" s="231">
        <v>1</v>
      </c>
      <c r="D250" s="128"/>
      <c r="E250" s="251" t="s">
        <v>559</v>
      </c>
      <c r="F250" s="231">
        <v>1</v>
      </c>
      <c r="G250" s="128"/>
      <c r="H250" s="257" t="s">
        <v>559</v>
      </c>
      <c r="I250" s="8">
        <v>1</v>
      </c>
      <c r="J250" s="128"/>
      <c r="K250" s="257" t="s">
        <v>559</v>
      </c>
      <c r="L250" s="8">
        <v>2</v>
      </c>
      <c r="O250" s="224"/>
      <c r="R250" s="224"/>
      <c r="U250" s="224"/>
      <c r="X250" s="224"/>
      <c r="AA250"/>
      <c r="AD250"/>
      <c r="AG250"/>
      <c r="AJ250"/>
      <c r="AM250"/>
      <c r="AP250"/>
      <c r="AS250"/>
      <c r="AV250"/>
      <c r="AY250"/>
    </row>
    <row r="251" spans="1:51" x14ac:dyDescent="0.25">
      <c r="A251" s="756"/>
      <c r="B251" s="251" t="s">
        <v>558</v>
      </c>
      <c r="C251" s="231">
        <v>1</v>
      </c>
      <c r="D251" s="128"/>
      <c r="E251" s="251" t="s">
        <v>558</v>
      </c>
      <c r="F251" s="231">
        <v>1</v>
      </c>
      <c r="G251" s="128"/>
      <c r="H251" s="257" t="s">
        <v>558</v>
      </c>
      <c r="I251" s="8">
        <v>1</v>
      </c>
      <c r="J251" s="128"/>
      <c r="K251" s="257" t="s">
        <v>558</v>
      </c>
      <c r="L251" s="8">
        <v>1</v>
      </c>
      <c r="O251" s="224"/>
      <c r="R251" s="224"/>
      <c r="U251" s="224"/>
      <c r="X251" s="224"/>
      <c r="AA251"/>
      <c r="AD251"/>
      <c r="AG251"/>
      <c r="AJ251"/>
      <c r="AM251"/>
      <c r="AP251"/>
      <c r="AS251"/>
      <c r="AV251"/>
      <c r="AY251"/>
    </row>
    <row r="252" spans="1:51" x14ac:dyDescent="0.25">
      <c r="A252" s="756"/>
      <c r="B252" s="251" t="s">
        <v>557</v>
      </c>
      <c r="C252" s="231">
        <v>2</v>
      </c>
      <c r="D252" s="128"/>
      <c r="E252" s="251" t="s">
        <v>557</v>
      </c>
      <c r="F252" s="231">
        <v>2</v>
      </c>
      <c r="G252" s="128"/>
      <c r="H252" s="257" t="s">
        <v>557</v>
      </c>
      <c r="I252" s="8">
        <v>2</v>
      </c>
      <c r="J252" s="128"/>
      <c r="K252" s="257" t="s">
        <v>557</v>
      </c>
      <c r="L252" s="8">
        <v>3</v>
      </c>
      <c r="O252" s="224"/>
      <c r="R252" s="224"/>
      <c r="U252" s="224"/>
      <c r="X252" s="224"/>
      <c r="AA252"/>
      <c r="AD252"/>
      <c r="AG252"/>
      <c r="AJ252"/>
      <c r="AM252"/>
      <c r="AP252"/>
      <c r="AS252"/>
      <c r="AV252"/>
      <c r="AY252"/>
    </row>
    <row r="253" spans="1:51" x14ac:dyDescent="0.25">
      <c r="A253" s="756"/>
      <c r="B253" s="251" t="s">
        <v>556</v>
      </c>
      <c r="C253" s="231">
        <v>2</v>
      </c>
      <c r="D253" s="128"/>
      <c r="E253" s="251" t="s">
        <v>556</v>
      </c>
      <c r="F253" s="231">
        <v>2</v>
      </c>
      <c r="G253" s="128"/>
      <c r="H253" s="257" t="s">
        <v>556</v>
      </c>
      <c r="I253" s="8">
        <v>2</v>
      </c>
      <c r="J253" s="128"/>
      <c r="K253" s="257" t="s">
        <v>556</v>
      </c>
      <c r="L253" s="8">
        <v>3</v>
      </c>
      <c r="O253" s="224"/>
      <c r="R253" s="224"/>
      <c r="U253" s="224"/>
      <c r="X253" s="224"/>
      <c r="AA253"/>
      <c r="AD253"/>
      <c r="AG253"/>
      <c r="AJ253"/>
      <c r="AM253"/>
      <c r="AP253"/>
      <c r="AS253"/>
      <c r="AV253"/>
      <c r="AY253"/>
    </row>
    <row r="254" spans="1:51" x14ac:dyDescent="0.25">
      <c r="A254" s="756"/>
      <c r="B254" s="251" t="s">
        <v>555</v>
      </c>
      <c r="C254" s="231">
        <v>1</v>
      </c>
      <c r="D254" s="128"/>
      <c r="E254" s="251" t="s">
        <v>555</v>
      </c>
      <c r="F254" s="231">
        <v>1</v>
      </c>
      <c r="G254" s="128"/>
      <c r="H254" s="257" t="s">
        <v>555</v>
      </c>
      <c r="I254" s="8">
        <v>1</v>
      </c>
      <c r="J254" s="128"/>
      <c r="K254" s="257" t="s">
        <v>555</v>
      </c>
      <c r="L254" s="8">
        <v>2</v>
      </c>
      <c r="O254" s="224"/>
      <c r="R254" s="224"/>
      <c r="U254" s="224"/>
      <c r="X254" s="224"/>
      <c r="AA254"/>
      <c r="AD254"/>
      <c r="AG254"/>
      <c r="AJ254"/>
      <c r="AM254"/>
      <c r="AP254"/>
      <c r="AS254"/>
      <c r="AV254"/>
      <c r="AY254"/>
    </row>
    <row r="255" spans="1:51" x14ac:dyDescent="0.25">
      <c r="A255" s="756"/>
      <c r="B255" s="251" t="s">
        <v>554</v>
      </c>
      <c r="C255" s="231">
        <v>0</v>
      </c>
      <c r="D255" s="128"/>
      <c r="E255" s="251" t="s">
        <v>554</v>
      </c>
      <c r="F255" s="231">
        <v>0</v>
      </c>
      <c r="G255" s="128"/>
      <c r="H255" s="257" t="s">
        <v>554</v>
      </c>
      <c r="I255" s="8">
        <v>0</v>
      </c>
      <c r="J255" s="128"/>
      <c r="K255" s="257" t="s">
        <v>554</v>
      </c>
      <c r="L255" s="8">
        <v>0</v>
      </c>
      <c r="O255" s="224"/>
      <c r="R255" s="224"/>
      <c r="U255" s="224"/>
      <c r="X255" s="224"/>
      <c r="AA255"/>
      <c r="AD255"/>
      <c r="AG255"/>
      <c r="AJ255"/>
      <c r="AM255"/>
      <c r="AP255"/>
      <c r="AS255"/>
      <c r="AV255"/>
      <c r="AY255"/>
    </row>
    <row r="256" spans="1:51" x14ac:dyDescent="0.25">
      <c r="A256" s="756"/>
      <c r="B256" s="251" t="s">
        <v>553</v>
      </c>
      <c r="C256" s="231">
        <v>0</v>
      </c>
      <c r="D256" s="128"/>
      <c r="E256" s="251" t="s">
        <v>553</v>
      </c>
      <c r="F256" s="231">
        <v>0</v>
      </c>
      <c r="G256" s="128"/>
      <c r="H256" s="257" t="s">
        <v>553</v>
      </c>
      <c r="I256" s="8">
        <v>0</v>
      </c>
      <c r="J256" s="128"/>
      <c r="K256" s="257" t="s">
        <v>553</v>
      </c>
      <c r="L256" s="8">
        <v>0</v>
      </c>
      <c r="O256" s="224"/>
      <c r="R256" s="224"/>
      <c r="U256" s="224"/>
      <c r="X256" s="224"/>
      <c r="AA256"/>
      <c r="AD256"/>
      <c r="AG256"/>
      <c r="AJ256"/>
      <c r="AM256"/>
      <c r="AP256"/>
      <c r="AS256"/>
      <c r="AV256"/>
      <c r="AY256"/>
    </row>
    <row r="257" spans="1:51" ht="15.75" thickBot="1" x14ac:dyDescent="0.3">
      <c r="A257" s="757"/>
      <c r="B257" s="250" t="s">
        <v>552</v>
      </c>
      <c r="C257" s="249">
        <f>C249*((SUM(C250:C256)))</f>
        <v>7</v>
      </c>
      <c r="D257" s="248"/>
      <c r="E257" s="250" t="s">
        <v>552</v>
      </c>
      <c r="F257" s="249">
        <f>F249*((SUM(F250:F256)))</f>
        <v>7</v>
      </c>
      <c r="G257" s="248"/>
      <c r="H257" s="256" t="s">
        <v>552</v>
      </c>
      <c r="I257" s="249">
        <f>I249*((SUM(I250:I256)))</f>
        <v>7</v>
      </c>
      <c r="J257" s="248"/>
      <c r="K257" s="256" t="s">
        <v>552</v>
      </c>
      <c r="L257" s="249">
        <f>L249*((SUM(L250:L256)))</f>
        <v>11</v>
      </c>
      <c r="O257" s="224"/>
      <c r="R257" s="224"/>
      <c r="U257" s="224"/>
      <c r="X257" s="224"/>
      <c r="AA257"/>
      <c r="AD257"/>
      <c r="AG257"/>
      <c r="AJ257"/>
      <c r="AM257"/>
      <c r="AP257"/>
      <c r="AS257"/>
      <c r="AV257"/>
      <c r="AY257"/>
    </row>
    <row r="258" spans="1:51" ht="36" customHeight="1" thickBot="1" x14ac:dyDescent="0.3"/>
    <row r="259" spans="1:51" ht="36.75" customHeight="1" thickBot="1" x14ac:dyDescent="0.3">
      <c r="A259" s="768">
        <v>19</v>
      </c>
      <c r="B259" s="763" t="str">
        <f>'Matriz de identificación'!V4</f>
        <v>Informe de funcionamiento</v>
      </c>
      <c r="C259" s="763"/>
      <c r="D259" s="763"/>
      <c r="E259" s="763"/>
      <c r="F259" s="763"/>
      <c r="G259" s="263"/>
      <c r="H259" s="263"/>
      <c r="I259" s="264"/>
      <c r="J259" s="263"/>
      <c r="K259" s="263"/>
      <c r="L259" s="264"/>
      <c r="N259" s="66"/>
      <c r="O259"/>
      <c r="Q259" s="66"/>
      <c r="R259"/>
      <c r="T259" s="66"/>
      <c r="U259"/>
      <c r="W259" s="66"/>
      <c r="X259"/>
      <c r="Z259" s="224"/>
      <c r="AA259"/>
      <c r="AC259" s="224"/>
      <c r="AD259"/>
      <c r="AF259" s="224"/>
      <c r="AG259"/>
      <c r="AI259" s="224"/>
      <c r="AJ259"/>
      <c r="AM259"/>
      <c r="AP259"/>
      <c r="AS259"/>
      <c r="AV259"/>
      <c r="AY259"/>
    </row>
    <row r="260" spans="1:51" x14ac:dyDescent="0.25">
      <c r="A260" s="756"/>
      <c r="B260" s="255" t="s">
        <v>563</v>
      </c>
      <c r="C260" s="254" t="str">
        <f>C246</f>
        <v>ANTROPOSFERICO</v>
      </c>
      <c r="D260" s="128"/>
      <c r="E260" s="255" t="s">
        <v>563</v>
      </c>
      <c r="F260" s="268" t="str">
        <f>C260</f>
        <v>ANTROPOSFERICO</v>
      </c>
      <c r="G260" s="128"/>
      <c r="H260" s="261" t="s">
        <v>563</v>
      </c>
      <c r="I260" s="266" t="str">
        <f>I246</f>
        <v>ANTROPOSFERICO</v>
      </c>
      <c r="J260" s="128"/>
      <c r="K260" s="261" t="s">
        <v>563</v>
      </c>
      <c r="L260" s="266" t="str">
        <f>I260</f>
        <v>ANTROPOSFERICO</v>
      </c>
      <c r="N260" s="66"/>
      <c r="O260"/>
      <c r="Q260" s="66"/>
      <c r="R260"/>
      <c r="T260" s="66"/>
      <c r="U260"/>
      <c r="W260" s="66"/>
      <c r="X260"/>
      <c r="Z260" s="224"/>
      <c r="AA260"/>
      <c r="AC260" s="224"/>
      <c r="AD260"/>
      <c r="AF260" s="224"/>
      <c r="AG260"/>
      <c r="AI260" s="224"/>
      <c r="AJ260"/>
      <c r="AM260"/>
      <c r="AP260"/>
      <c r="AS260"/>
      <c r="AV260"/>
      <c r="AY260"/>
    </row>
    <row r="261" spans="1:51" x14ac:dyDescent="0.25">
      <c r="A261" s="756"/>
      <c r="B261" s="253" t="s">
        <v>562</v>
      </c>
      <c r="C261" s="252" t="str">
        <f>C247</f>
        <v>SOCIAL</v>
      </c>
      <c r="D261" s="128"/>
      <c r="E261" s="253" t="s">
        <v>562</v>
      </c>
      <c r="F261" s="267" t="str">
        <f>C261</f>
        <v>SOCIAL</v>
      </c>
      <c r="G261" s="128"/>
      <c r="H261" s="259" t="s">
        <v>562</v>
      </c>
      <c r="I261" s="265" t="str">
        <f>F261</f>
        <v>SOCIAL</v>
      </c>
      <c r="J261" s="128"/>
      <c r="K261" s="259" t="s">
        <v>562</v>
      </c>
      <c r="L261" s="265" t="str">
        <f>L247</f>
        <v>CULTURAL</v>
      </c>
      <c r="N261" s="66"/>
      <c r="O261"/>
      <c r="Q261" s="66"/>
      <c r="R261"/>
      <c r="T261" s="66"/>
      <c r="U261"/>
      <c r="W261" s="66"/>
      <c r="X261"/>
      <c r="Z261" s="224"/>
      <c r="AA261"/>
      <c r="AC261" s="224"/>
      <c r="AD261"/>
      <c r="AF261" s="224"/>
      <c r="AG261"/>
      <c r="AI261" s="224"/>
      <c r="AJ261"/>
      <c r="AM261"/>
      <c r="AP261"/>
      <c r="AS261"/>
      <c r="AV261"/>
      <c r="AY261"/>
    </row>
    <row r="262" spans="1:51" x14ac:dyDescent="0.25">
      <c r="A262" s="756"/>
      <c r="B262" s="251" t="s">
        <v>561</v>
      </c>
      <c r="C262" s="231" t="str">
        <f>C248</f>
        <v>Empleo</v>
      </c>
      <c r="D262" s="128"/>
      <c r="E262" s="251" t="s">
        <v>561</v>
      </c>
      <c r="F262" s="231" t="str">
        <f>F248</f>
        <v>Organización</v>
      </c>
      <c r="G262" s="128"/>
      <c r="H262" s="257" t="s">
        <v>561</v>
      </c>
      <c r="I262" s="8" t="str">
        <f>I248</f>
        <v>Servicios</v>
      </c>
      <c r="J262" s="128"/>
      <c r="K262" s="257" t="s">
        <v>561</v>
      </c>
      <c r="L262" s="8" t="str">
        <f>L248</f>
        <v>Cosmovisión</v>
      </c>
      <c r="N262" s="66"/>
      <c r="O262"/>
      <c r="Q262" s="66"/>
      <c r="R262"/>
      <c r="T262" s="66"/>
      <c r="U262"/>
      <c r="W262" s="66"/>
      <c r="X262"/>
      <c r="Z262" s="224"/>
      <c r="AA262"/>
      <c r="AC262" s="224"/>
      <c r="AD262"/>
      <c r="AF262" s="224"/>
      <c r="AG262"/>
      <c r="AI262" s="224"/>
      <c r="AJ262"/>
      <c r="AM262"/>
      <c r="AP262"/>
      <c r="AS262"/>
      <c r="AV262"/>
      <c r="AY262"/>
    </row>
    <row r="263" spans="1:51" x14ac:dyDescent="0.25">
      <c r="A263" s="756"/>
      <c r="B263" s="251" t="s">
        <v>560</v>
      </c>
      <c r="C263" s="231">
        <v>1</v>
      </c>
      <c r="D263" s="128"/>
      <c r="E263" s="251" t="s">
        <v>560</v>
      </c>
      <c r="F263" s="231">
        <v>1</v>
      </c>
      <c r="G263" s="128"/>
      <c r="H263" s="257" t="s">
        <v>560</v>
      </c>
      <c r="I263" s="8">
        <v>1</v>
      </c>
      <c r="J263" s="128"/>
      <c r="K263" s="257" t="s">
        <v>560</v>
      </c>
      <c r="L263" s="8">
        <v>1</v>
      </c>
      <c r="N263" s="66"/>
      <c r="O263"/>
      <c r="Q263" s="66"/>
      <c r="R263"/>
      <c r="T263" s="66"/>
      <c r="U263"/>
      <c r="W263" s="66"/>
      <c r="X263"/>
      <c r="Z263" s="224"/>
      <c r="AA263"/>
      <c r="AC263" s="224"/>
      <c r="AD263"/>
      <c r="AF263" s="224"/>
      <c r="AG263"/>
      <c r="AI263" s="224"/>
      <c r="AJ263"/>
      <c r="AM263"/>
      <c r="AP263"/>
      <c r="AS263"/>
      <c r="AV263"/>
      <c r="AY263"/>
    </row>
    <row r="264" spans="1:51" x14ac:dyDescent="0.25">
      <c r="A264" s="756"/>
      <c r="B264" s="251" t="s">
        <v>559</v>
      </c>
      <c r="C264" s="231">
        <v>2</v>
      </c>
      <c r="D264" s="128"/>
      <c r="E264" s="251" t="s">
        <v>559</v>
      </c>
      <c r="F264" s="231">
        <v>2</v>
      </c>
      <c r="G264" s="128"/>
      <c r="H264" s="257" t="s">
        <v>559</v>
      </c>
      <c r="I264" s="8">
        <v>2</v>
      </c>
      <c r="J264" s="128"/>
      <c r="K264" s="257" t="s">
        <v>559</v>
      </c>
      <c r="L264" s="8">
        <v>2</v>
      </c>
      <c r="N264" s="66"/>
      <c r="O264"/>
      <c r="Q264" s="66"/>
      <c r="R264"/>
      <c r="T264" s="66"/>
      <c r="U264"/>
      <c r="W264" s="66"/>
      <c r="X264"/>
      <c r="Z264" s="224"/>
      <c r="AA264"/>
      <c r="AC264" s="224"/>
      <c r="AD264"/>
      <c r="AF264" s="224"/>
      <c r="AG264"/>
      <c r="AI264" s="224"/>
      <c r="AJ264"/>
      <c r="AM264"/>
      <c r="AP264"/>
      <c r="AS264"/>
      <c r="AV264"/>
      <c r="AY264"/>
    </row>
    <row r="265" spans="1:51" x14ac:dyDescent="0.25">
      <c r="A265" s="756"/>
      <c r="B265" s="251" t="s">
        <v>558</v>
      </c>
      <c r="C265" s="231">
        <v>1</v>
      </c>
      <c r="D265" s="128"/>
      <c r="E265" s="251" t="s">
        <v>558</v>
      </c>
      <c r="F265" s="231">
        <v>1</v>
      </c>
      <c r="G265" s="128"/>
      <c r="H265" s="257" t="s">
        <v>558</v>
      </c>
      <c r="I265" s="8">
        <v>1</v>
      </c>
      <c r="J265" s="128"/>
      <c r="K265" s="257" t="s">
        <v>558</v>
      </c>
      <c r="L265" s="8">
        <v>1</v>
      </c>
      <c r="N265" s="66"/>
      <c r="O265"/>
      <c r="Q265" s="66"/>
      <c r="R265"/>
      <c r="T265" s="66"/>
      <c r="U265"/>
      <c r="W265" s="66"/>
      <c r="X265"/>
      <c r="Z265" s="224"/>
      <c r="AA265"/>
      <c r="AC265" s="224"/>
      <c r="AD265"/>
      <c r="AF265" s="224"/>
      <c r="AG265"/>
      <c r="AI265" s="224"/>
      <c r="AJ265"/>
      <c r="AM265"/>
      <c r="AP265"/>
      <c r="AS265"/>
      <c r="AV265"/>
      <c r="AY265"/>
    </row>
    <row r="266" spans="1:51" x14ac:dyDescent="0.25">
      <c r="A266" s="756"/>
      <c r="B266" s="251" t="s">
        <v>557</v>
      </c>
      <c r="C266" s="231">
        <v>2</v>
      </c>
      <c r="D266" s="128"/>
      <c r="E266" s="251" t="s">
        <v>557</v>
      </c>
      <c r="F266" s="231">
        <v>3</v>
      </c>
      <c r="G266" s="128"/>
      <c r="H266" s="257" t="s">
        <v>557</v>
      </c>
      <c r="I266" s="8">
        <v>3</v>
      </c>
      <c r="J266" s="128"/>
      <c r="K266" s="257" t="s">
        <v>557</v>
      </c>
      <c r="L266" s="8">
        <v>3</v>
      </c>
      <c r="N266" s="66"/>
      <c r="O266"/>
      <c r="Q266" s="66"/>
      <c r="R266"/>
      <c r="T266" s="66"/>
      <c r="U266"/>
      <c r="W266" s="66"/>
      <c r="X266"/>
      <c r="Z266" s="224"/>
      <c r="AA266"/>
      <c r="AC266" s="224"/>
      <c r="AD266"/>
      <c r="AF266" s="224"/>
      <c r="AG266"/>
      <c r="AI266" s="224"/>
      <c r="AJ266"/>
      <c r="AM266"/>
      <c r="AP266"/>
      <c r="AS266"/>
      <c r="AV266"/>
      <c r="AY266"/>
    </row>
    <row r="267" spans="1:51" x14ac:dyDescent="0.25">
      <c r="A267" s="756"/>
      <c r="B267" s="251" t="s">
        <v>556</v>
      </c>
      <c r="C267" s="231">
        <v>2</v>
      </c>
      <c r="D267" s="128"/>
      <c r="E267" s="251" t="s">
        <v>556</v>
      </c>
      <c r="F267" s="231">
        <v>3</v>
      </c>
      <c r="G267" s="128"/>
      <c r="H267" s="257" t="s">
        <v>556</v>
      </c>
      <c r="I267" s="8">
        <v>3</v>
      </c>
      <c r="J267" s="128"/>
      <c r="K267" s="257" t="s">
        <v>556</v>
      </c>
      <c r="L267" s="8">
        <v>3</v>
      </c>
      <c r="N267" s="66"/>
      <c r="O267"/>
      <c r="Q267" s="66"/>
      <c r="R267"/>
      <c r="T267" s="66"/>
      <c r="U267"/>
      <c r="W267" s="66"/>
      <c r="X267"/>
      <c r="Z267" s="224"/>
      <c r="AA267"/>
      <c r="AC267" s="224"/>
      <c r="AD267"/>
      <c r="AF267" s="224"/>
      <c r="AG267"/>
      <c r="AI267" s="224"/>
      <c r="AJ267"/>
      <c r="AM267"/>
      <c r="AP267"/>
      <c r="AS267"/>
      <c r="AV267"/>
      <c r="AY267"/>
    </row>
    <row r="268" spans="1:51" x14ac:dyDescent="0.25">
      <c r="A268" s="756"/>
      <c r="B268" s="251" t="s">
        <v>555</v>
      </c>
      <c r="C268" s="231">
        <v>2</v>
      </c>
      <c r="D268" s="128"/>
      <c r="E268" s="251" t="s">
        <v>555</v>
      </c>
      <c r="F268" s="231">
        <v>2</v>
      </c>
      <c r="G268" s="128"/>
      <c r="H268" s="257" t="s">
        <v>555</v>
      </c>
      <c r="I268" s="8">
        <v>2</v>
      </c>
      <c r="J268" s="128"/>
      <c r="K268" s="257" t="s">
        <v>555</v>
      </c>
      <c r="L268" s="8">
        <v>3</v>
      </c>
      <c r="N268" s="66"/>
      <c r="O268"/>
      <c r="Q268" s="66"/>
      <c r="R268"/>
      <c r="T268" s="66"/>
      <c r="U268"/>
      <c r="W268" s="66"/>
      <c r="X268"/>
      <c r="Z268" s="224"/>
      <c r="AA268"/>
      <c r="AC268" s="224"/>
      <c r="AD268"/>
      <c r="AF268" s="224"/>
      <c r="AG268"/>
      <c r="AI268" s="224"/>
      <c r="AJ268"/>
      <c r="AM268"/>
      <c r="AP268"/>
      <c r="AS268"/>
      <c r="AV268"/>
      <c r="AY268"/>
    </row>
    <row r="269" spans="1:51" x14ac:dyDescent="0.25">
      <c r="A269" s="756"/>
      <c r="B269" s="251" t="s">
        <v>554</v>
      </c>
      <c r="C269" s="231">
        <v>1</v>
      </c>
      <c r="D269" s="128"/>
      <c r="E269" s="251" t="s">
        <v>554</v>
      </c>
      <c r="F269" s="231">
        <v>1</v>
      </c>
      <c r="G269" s="128"/>
      <c r="H269" s="257" t="s">
        <v>554</v>
      </c>
      <c r="I269" s="8">
        <v>1</v>
      </c>
      <c r="J269" s="128"/>
      <c r="K269" s="257" t="s">
        <v>554</v>
      </c>
      <c r="L269" s="8">
        <v>2</v>
      </c>
      <c r="N269" s="66"/>
      <c r="O269"/>
      <c r="Q269" s="66"/>
      <c r="R269"/>
      <c r="T269" s="66"/>
      <c r="U269"/>
      <c r="W269" s="66"/>
      <c r="X269"/>
      <c r="Z269" s="224"/>
      <c r="AA269"/>
      <c r="AC269" s="224"/>
      <c r="AD269"/>
      <c r="AF269" s="224"/>
      <c r="AG269"/>
      <c r="AI269" s="224"/>
      <c r="AJ269"/>
      <c r="AM269"/>
      <c r="AP269"/>
      <c r="AS269"/>
      <c r="AV269"/>
      <c r="AY269"/>
    </row>
    <row r="270" spans="1:51" x14ac:dyDescent="0.25">
      <c r="A270" s="756"/>
      <c r="B270" s="251" t="s">
        <v>553</v>
      </c>
      <c r="C270" s="231">
        <v>0</v>
      </c>
      <c r="D270" s="128"/>
      <c r="E270" s="251" t="s">
        <v>553</v>
      </c>
      <c r="F270" s="231">
        <v>0</v>
      </c>
      <c r="G270" s="128"/>
      <c r="H270" s="257" t="s">
        <v>553</v>
      </c>
      <c r="I270" s="8">
        <v>0</v>
      </c>
      <c r="J270" s="128"/>
      <c r="K270" s="257" t="s">
        <v>553</v>
      </c>
      <c r="L270" s="8">
        <v>0</v>
      </c>
      <c r="N270" s="66"/>
      <c r="O270"/>
      <c r="Q270" s="66"/>
      <c r="R270"/>
      <c r="T270" s="66"/>
      <c r="U270"/>
      <c r="W270" s="66"/>
      <c r="X270"/>
      <c r="Z270" s="224"/>
      <c r="AA270"/>
      <c r="AC270" s="224"/>
      <c r="AD270"/>
      <c r="AF270" s="224"/>
      <c r="AG270"/>
      <c r="AI270" s="224"/>
      <c r="AJ270"/>
      <c r="AM270"/>
      <c r="AP270"/>
      <c r="AS270"/>
      <c r="AV270"/>
      <c r="AY270"/>
    </row>
    <row r="271" spans="1:51" ht="15.75" thickBot="1" x14ac:dyDescent="0.3">
      <c r="A271" s="757"/>
      <c r="B271" s="250" t="s">
        <v>552</v>
      </c>
      <c r="C271" s="249">
        <f>C263*((SUM(C264:C270)))</f>
        <v>10</v>
      </c>
      <c r="D271" s="248"/>
      <c r="E271" s="250" t="s">
        <v>552</v>
      </c>
      <c r="F271" s="249">
        <f>F263*((SUM(F264:F270)))</f>
        <v>12</v>
      </c>
      <c r="G271" s="248"/>
      <c r="H271" s="256" t="s">
        <v>552</v>
      </c>
      <c r="I271" s="249">
        <f>I263*((SUM(I264:I270)))</f>
        <v>12</v>
      </c>
      <c r="J271" s="248"/>
      <c r="K271" s="256" t="s">
        <v>552</v>
      </c>
      <c r="L271" s="249">
        <f>L263*((SUM(L264:L270)))</f>
        <v>14</v>
      </c>
      <c r="N271" s="66"/>
      <c r="O271"/>
      <c r="Q271" s="66"/>
      <c r="R271"/>
      <c r="T271" s="66"/>
      <c r="U271"/>
      <c r="W271" s="66"/>
      <c r="X271"/>
      <c r="Z271" s="224"/>
      <c r="AA271"/>
      <c r="AC271" s="224"/>
      <c r="AD271"/>
      <c r="AF271" s="224"/>
      <c r="AG271"/>
      <c r="AI271" s="224"/>
      <c r="AJ271"/>
      <c r="AM271"/>
      <c r="AP271"/>
      <c r="AS271"/>
      <c r="AV271"/>
      <c r="AY271"/>
    </row>
    <row r="272" spans="1:51" ht="36" customHeight="1" thickBot="1" x14ac:dyDescent="0.3"/>
    <row r="273" spans="1:51" ht="34.5" customHeight="1" thickBot="1" x14ac:dyDescent="0.3">
      <c r="A273" s="768">
        <v>20</v>
      </c>
      <c r="B273" s="763" t="str">
        <f>'Matriz de identificación'!W4</f>
        <v>Generación de energía eléctrica</v>
      </c>
      <c r="C273" s="763"/>
      <c r="D273" s="763"/>
      <c r="E273" s="763"/>
      <c r="F273" s="763"/>
      <c r="G273" s="263"/>
      <c r="H273" s="263"/>
      <c r="I273" s="264"/>
      <c r="J273" s="263"/>
      <c r="K273" s="263"/>
      <c r="L273" s="264"/>
      <c r="M273" s="263"/>
      <c r="N273" s="263"/>
      <c r="O273" s="264"/>
      <c r="P273" s="263"/>
      <c r="Q273" s="263"/>
      <c r="R273" s="264"/>
      <c r="S273" s="263"/>
      <c r="T273" s="263"/>
      <c r="U273" s="264"/>
      <c r="V273" s="263"/>
      <c r="W273" s="263"/>
      <c r="X273" s="262"/>
    </row>
    <row r="274" spans="1:51" x14ac:dyDescent="0.25">
      <c r="A274" s="756"/>
      <c r="B274" s="255" t="s">
        <v>563</v>
      </c>
      <c r="C274" s="268" t="str">
        <f>'Matriz de identificación'!A5</f>
        <v>ATMOSFÉRICO</v>
      </c>
      <c r="D274" s="128"/>
      <c r="E274" s="261" t="s">
        <v>563</v>
      </c>
      <c r="F274" s="266" t="str">
        <f>C274</f>
        <v>ATMOSFÉRICO</v>
      </c>
      <c r="G274" s="128"/>
      <c r="H274" s="261" t="s">
        <v>563</v>
      </c>
      <c r="I274" s="266" t="str">
        <f>'Matriz de identificación'!A29</f>
        <v>ANTROPOSFERICO</v>
      </c>
      <c r="J274" s="128"/>
      <c r="K274" s="261" t="s">
        <v>563</v>
      </c>
      <c r="L274" s="266" t="str">
        <f>I274</f>
        <v>ANTROPOSFERICO</v>
      </c>
      <c r="M274" s="128"/>
      <c r="N274" s="261" t="s">
        <v>563</v>
      </c>
      <c r="O274" s="260" t="str">
        <f>L274</f>
        <v>ANTROPOSFERICO</v>
      </c>
      <c r="P274" s="128"/>
      <c r="Q274" s="261" t="s">
        <v>563</v>
      </c>
      <c r="R274" s="254" t="str">
        <f>O274</f>
        <v>ANTROPOSFERICO</v>
      </c>
      <c r="S274" s="128"/>
      <c r="T274" s="261" t="s">
        <v>563</v>
      </c>
      <c r="U274" s="260" t="str">
        <f>'Matriz de calificación'!$A$36</f>
        <v>PAISAJISTICO</v>
      </c>
      <c r="W274" s="261" t="s">
        <v>563</v>
      </c>
      <c r="X274" s="260" t="str">
        <f>U274</f>
        <v>PAISAJISTICO</v>
      </c>
      <c r="Z274" s="261" t="s">
        <v>563</v>
      </c>
      <c r="AA274" s="260" t="str">
        <f>'Matriz de identificación'!A29</f>
        <v>ANTROPOSFERICO</v>
      </c>
      <c r="AC274" s="255" t="s">
        <v>563</v>
      </c>
      <c r="AD274" s="268" t="str">
        <f>'Matriz de identificación'!A16</f>
        <v>HIDROSFÉRICO</v>
      </c>
    </row>
    <row r="275" spans="1:51" x14ac:dyDescent="0.25">
      <c r="A275" s="756"/>
      <c r="B275" s="253" t="s">
        <v>562</v>
      </c>
      <c r="C275" s="267" t="str">
        <f>'Matriz de identificación'!B5</f>
        <v>CALIDAD DEL AIRE</v>
      </c>
      <c r="D275" s="128"/>
      <c r="E275" s="259" t="s">
        <v>562</v>
      </c>
      <c r="F275" s="265" t="str">
        <f>C275</f>
        <v>CALIDAD DEL AIRE</v>
      </c>
      <c r="G275" s="128"/>
      <c r="H275" s="259" t="s">
        <v>562</v>
      </c>
      <c r="I275" s="265" t="str">
        <f>'Matriz de identificación'!B29</f>
        <v>SOCIAL</v>
      </c>
      <c r="J275" s="128"/>
      <c r="K275" s="259" t="s">
        <v>562</v>
      </c>
      <c r="L275" s="265" t="str">
        <f>I275</f>
        <v>SOCIAL</v>
      </c>
      <c r="M275" s="128"/>
      <c r="N275" s="259" t="s">
        <v>562</v>
      </c>
      <c r="O275" s="258" t="str">
        <f>L275</f>
        <v>SOCIAL</v>
      </c>
      <c r="P275" s="128"/>
      <c r="Q275" s="259" t="s">
        <v>562</v>
      </c>
      <c r="R275" s="252" t="str">
        <f>O275</f>
        <v>SOCIAL</v>
      </c>
      <c r="S275" s="128"/>
      <c r="T275" s="259" t="s">
        <v>562</v>
      </c>
      <c r="U275" s="258" t="str">
        <f>'Matriz de identificación'!B34</f>
        <v>CULTURAL</v>
      </c>
      <c r="W275" s="259" t="s">
        <v>562</v>
      </c>
      <c r="X275" s="258" t="str">
        <f>'Matriz de identificación'!B35</f>
        <v>ECONÓMICO</v>
      </c>
      <c r="Z275" s="259" t="s">
        <v>562</v>
      </c>
      <c r="AA275" s="258" t="str">
        <f>'Matriz de identificación'!B29</f>
        <v>SOCIAL</v>
      </c>
      <c r="AC275" s="253" t="s">
        <v>562</v>
      </c>
      <c r="AD275" s="267" t="str">
        <f>'Matriz de identificación'!B22</f>
        <v>RECURSOS</v>
      </c>
    </row>
    <row r="276" spans="1:51" x14ac:dyDescent="0.25">
      <c r="A276" s="756"/>
      <c r="B276" s="251" t="s">
        <v>561</v>
      </c>
      <c r="C276" s="231" t="str">
        <f>'Matriz de identificación'!C5</f>
        <v>Emisiones de ruido</v>
      </c>
      <c r="D276" s="128"/>
      <c r="E276" s="257" t="s">
        <v>561</v>
      </c>
      <c r="F276" s="8" t="str">
        <f>'Matriz de identificación'!C6</f>
        <v>Emisiones de gases</v>
      </c>
      <c r="G276" s="128"/>
      <c r="H276" s="257" t="s">
        <v>561</v>
      </c>
      <c r="I276" s="8" t="str">
        <f>'Matriz de identificación'!C29</f>
        <v>Calidad de vida</v>
      </c>
      <c r="J276" s="128"/>
      <c r="K276" s="257" t="s">
        <v>561</v>
      </c>
      <c r="L276" s="8" t="str">
        <f>'Matriz de identificación'!C30</f>
        <v>Empleo</v>
      </c>
      <c r="M276" s="128"/>
      <c r="N276" s="257" t="s">
        <v>561</v>
      </c>
      <c r="O276" s="8" t="str">
        <f>'Matriz de identificación'!C31</f>
        <v>Organización</v>
      </c>
      <c r="P276" s="128"/>
      <c r="Q276" s="257" t="s">
        <v>561</v>
      </c>
      <c r="R276" s="231" t="str">
        <f>'Matriz de identificación'!C33</f>
        <v>Servicios</v>
      </c>
      <c r="S276" s="128"/>
      <c r="T276" s="257" t="s">
        <v>561</v>
      </c>
      <c r="U276" s="8" t="str">
        <f>'Matriz de identificación'!C34</f>
        <v>Cosmovisión</v>
      </c>
      <c r="W276" s="257" t="s">
        <v>561</v>
      </c>
      <c r="X276" s="8" t="str">
        <f>'Matriz de identificación'!C35</f>
        <v>Estructura comercial</v>
      </c>
      <c r="Z276" s="257" t="s">
        <v>561</v>
      </c>
      <c r="AA276" s="8" t="str">
        <f>'Matriz de identificación'!C32</f>
        <v>Presencia del Estado</v>
      </c>
      <c r="AC276" s="251" t="s">
        <v>561</v>
      </c>
      <c r="AD276" s="231" t="str">
        <f>'Matriz de identificación'!C22</f>
        <v>Disponibilidad</v>
      </c>
    </row>
    <row r="277" spans="1:51" x14ac:dyDescent="0.25">
      <c r="A277" s="756"/>
      <c r="B277" s="251" t="s">
        <v>560</v>
      </c>
      <c r="C277" s="231">
        <v>-1</v>
      </c>
      <c r="D277" s="128"/>
      <c r="E277" s="257" t="s">
        <v>560</v>
      </c>
      <c r="F277" s="8">
        <v>-1</v>
      </c>
      <c r="G277" s="128"/>
      <c r="H277" s="257" t="s">
        <v>560</v>
      </c>
      <c r="I277" s="8">
        <v>1</v>
      </c>
      <c r="J277" s="128"/>
      <c r="K277" s="257" t="s">
        <v>560</v>
      </c>
      <c r="L277" s="8">
        <v>1</v>
      </c>
      <c r="M277" s="128"/>
      <c r="N277" s="257" t="s">
        <v>560</v>
      </c>
      <c r="O277" s="8">
        <v>1</v>
      </c>
      <c r="P277" s="128"/>
      <c r="Q277" s="257" t="s">
        <v>560</v>
      </c>
      <c r="R277" s="8">
        <v>1</v>
      </c>
      <c r="S277" s="128"/>
      <c r="T277" s="257" t="s">
        <v>560</v>
      </c>
      <c r="U277" s="8">
        <v>1</v>
      </c>
      <c r="W277" s="251" t="s">
        <v>560</v>
      </c>
      <c r="X277" s="231">
        <v>-1</v>
      </c>
      <c r="Z277" s="251" t="s">
        <v>560</v>
      </c>
      <c r="AA277" s="231">
        <v>1</v>
      </c>
      <c r="AC277" s="251" t="s">
        <v>560</v>
      </c>
      <c r="AD277" s="231">
        <v>-1</v>
      </c>
    </row>
    <row r="278" spans="1:51" x14ac:dyDescent="0.25">
      <c r="A278" s="756"/>
      <c r="B278" s="251" t="s">
        <v>559</v>
      </c>
      <c r="C278" s="231">
        <v>1</v>
      </c>
      <c r="D278" s="128"/>
      <c r="E278" s="257" t="s">
        <v>559</v>
      </c>
      <c r="F278" s="8">
        <v>1</v>
      </c>
      <c r="G278" s="128"/>
      <c r="H278" s="257" t="s">
        <v>559</v>
      </c>
      <c r="I278" s="8">
        <v>3</v>
      </c>
      <c r="J278" s="128"/>
      <c r="K278" s="257" t="s">
        <v>559</v>
      </c>
      <c r="L278" s="8">
        <v>1</v>
      </c>
      <c r="M278" s="128"/>
      <c r="N278" s="257" t="s">
        <v>559</v>
      </c>
      <c r="O278" s="8">
        <v>1</v>
      </c>
      <c r="P278" s="128"/>
      <c r="Q278" s="257" t="s">
        <v>559</v>
      </c>
      <c r="R278" s="8">
        <v>1</v>
      </c>
      <c r="S278" s="128"/>
      <c r="T278" s="257" t="s">
        <v>559</v>
      </c>
      <c r="U278" s="8">
        <v>3</v>
      </c>
      <c r="W278" s="251" t="s">
        <v>559</v>
      </c>
      <c r="X278" s="231">
        <v>1</v>
      </c>
      <c r="Z278" s="251" t="s">
        <v>559</v>
      </c>
      <c r="AA278" s="231">
        <v>2</v>
      </c>
      <c r="AC278" s="251" t="s">
        <v>559</v>
      </c>
      <c r="AD278" s="231">
        <v>1</v>
      </c>
    </row>
    <row r="279" spans="1:51" x14ac:dyDescent="0.25">
      <c r="A279" s="756"/>
      <c r="B279" s="251" t="s">
        <v>558</v>
      </c>
      <c r="C279" s="231">
        <v>1</v>
      </c>
      <c r="D279" s="128"/>
      <c r="E279" s="257" t="s">
        <v>558</v>
      </c>
      <c r="F279" s="8">
        <v>1</v>
      </c>
      <c r="G279" s="128"/>
      <c r="H279" s="257" t="s">
        <v>558</v>
      </c>
      <c r="I279" s="8">
        <v>1</v>
      </c>
      <c r="J279" s="128"/>
      <c r="K279" s="257" t="s">
        <v>558</v>
      </c>
      <c r="L279" s="8">
        <v>1</v>
      </c>
      <c r="M279" s="128"/>
      <c r="N279" s="257" t="s">
        <v>558</v>
      </c>
      <c r="O279" s="8">
        <v>1</v>
      </c>
      <c r="P279" s="128"/>
      <c r="Q279" s="257" t="s">
        <v>558</v>
      </c>
      <c r="R279" s="8">
        <v>1</v>
      </c>
      <c r="S279" s="128"/>
      <c r="T279" s="257" t="s">
        <v>558</v>
      </c>
      <c r="U279" s="8">
        <v>1</v>
      </c>
      <c r="W279" s="251" t="s">
        <v>558</v>
      </c>
      <c r="X279" s="231">
        <v>1</v>
      </c>
      <c r="Z279" s="251" t="s">
        <v>558</v>
      </c>
      <c r="AA279" s="231">
        <v>1</v>
      </c>
      <c r="AC279" s="251" t="s">
        <v>558</v>
      </c>
      <c r="AD279" s="231">
        <v>3</v>
      </c>
    </row>
    <row r="280" spans="1:51" x14ac:dyDescent="0.25">
      <c r="A280" s="756"/>
      <c r="B280" s="251" t="s">
        <v>557</v>
      </c>
      <c r="C280" s="231">
        <v>1</v>
      </c>
      <c r="D280" s="128"/>
      <c r="E280" s="257" t="s">
        <v>557</v>
      </c>
      <c r="F280" s="8">
        <v>1</v>
      </c>
      <c r="G280" s="128"/>
      <c r="H280" s="257" t="s">
        <v>557</v>
      </c>
      <c r="I280" s="8">
        <v>3</v>
      </c>
      <c r="J280" s="128"/>
      <c r="K280" s="257" t="s">
        <v>557</v>
      </c>
      <c r="L280" s="8">
        <v>3</v>
      </c>
      <c r="M280" s="128"/>
      <c r="N280" s="257" t="s">
        <v>557</v>
      </c>
      <c r="O280" s="8">
        <v>3</v>
      </c>
      <c r="P280" s="128"/>
      <c r="Q280" s="257" t="s">
        <v>557</v>
      </c>
      <c r="R280" s="8">
        <v>3</v>
      </c>
      <c r="S280" s="128"/>
      <c r="T280" s="257" t="s">
        <v>557</v>
      </c>
      <c r="U280" s="8">
        <v>3</v>
      </c>
      <c r="W280" s="251" t="s">
        <v>557</v>
      </c>
      <c r="X280" s="231">
        <v>2</v>
      </c>
      <c r="Z280" s="251" t="s">
        <v>557</v>
      </c>
      <c r="AA280" s="231">
        <v>3</v>
      </c>
      <c r="AC280" s="251" t="s">
        <v>557</v>
      </c>
      <c r="AD280" s="231">
        <v>1</v>
      </c>
    </row>
    <row r="281" spans="1:51" x14ac:dyDescent="0.25">
      <c r="A281" s="756"/>
      <c r="B281" s="251" t="s">
        <v>556</v>
      </c>
      <c r="C281" s="231">
        <v>1</v>
      </c>
      <c r="D281" s="128"/>
      <c r="E281" s="257" t="s">
        <v>556</v>
      </c>
      <c r="F281" s="8">
        <v>1</v>
      </c>
      <c r="G281" s="128"/>
      <c r="H281" s="257" t="s">
        <v>556</v>
      </c>
      <c r="I281" s="8">
        <v>3</v>
      </c>
      <c r="J281" s="128"/>
      <c r="K281" s="257" t="s">
        <v>556</v>
      </c>
      <c r="L281" s="8">
        <v>3</v>
      </c>
      <c r="M281" s="128"/>
      <c r="N281" s="257" t="s">
        <v>556</v>
      </c>
      <c r="O281" s="8">
        <v>3</v>
      </c>
      <c r="P281" s="128"/>
      <c r="Q281" s="257" t="s">
        <v>556</v>
      </c>
      <c r="R281" s="8">
        <v>3</v>
      </c>
      <c r="S281" s="128"/>
      <c r="T281" s="257" t="s">
        <v>556</v>
      </c>
      <c r="U281" s="8">
        <v>3</v>
      </c>
      <c r="W281" s="251" t="s">
        <v>556</v>
      </c>
      <c r="X281" s="231">
        <v>2</v>
      </c>
      <c r="Z281" s="251" t="s">
        <v>556</v>
      </c>
      <c r="AA281" s="231">
        <v>2</v>
      </c>
      <c r="AC281" s="251" t="s">
        <v>556</v>
      </c>
      <c r="AD281" s="231">
        <v>2</v>
      </c>
    </row>
    <row r="282" spans="1:51" x14ac:dyDescent="0.25">
      <c r="A282" s="756"/>
      <c r="B282" s="251" t="s">
        <v>555</v>
      </c>
      <c r="C282" s="231">
        <v>1</v>
      </c>
      <c r="D282" s="128"/>
      <c r="E282" s="257" t="s">
        <v>555</v>
      </c>
      <c r="F282" s="8">
        <v>0</v>
      </c>
      <c r="G282" s="128"/>
      <c r="H282" s="257" t="s">
        <v>555</v>
      </c>
      <c r="I282" s="8">
        <v>2</v>
      </c>
      <c r="J282" s="128"/>
      <c r="K282" s="257" t="s">
        <v>555</v>
      </c>
      <c r="L282" s="8">
        <v>1</v>
      </c>
      <c r="M282" s="128"/>
      <c r="N282" s="257" t="s">
        <v>555</v>
      </c>
      <c r="O282" s="8">
        <v>1</v>
      </c>
      <c r="P282" s="128"/>
      <c r="Q282" s="257" t="s">
        <v>555</v>
      </c>
      <c r="R282" s="8">
        <v>1</v>
      </c>
      <c r="S282" s="128"/>
      <c r="T282" s="257" t="s">
        <v>555</v>
      </c>
      <c r="U282" s="8">
        <v>2</v>
      </c>
      <c r="W282" s="251" t="s">
        <v>555</v>
      </c>
      <c r="X282" s="231">
        <v>2</v>
      </c>
      <c r="Z282" s="251" t="s">
        <v>555</v>
      </c>
      <c r="AA282" s="231">
        <v>2</v>
      </c>
      <c r="AC282" s="251" t="s">
        <v>555</v>
      </c>
      <c r="AD282" s="231">
        <v>2</v>
      </c>
    </row>
    <row r="283" spans="1:51" x14ac:dyDescent="0.25">
      <c r="A283" s="756"/>
      <c r="B283" s="251" t="s">
        <v>554</v>
      </c>
      <c r="C283" s="231">
        <v>1</v>
      </c>
      <c r="D283" s="128"/>
      <c r="E283" s="257" t="s">
        <v>554</v>
      </c>
      <c r="F283" s="8">
        <v>0</v>
      </c>
      <c r="G283" s="128"/>
      <c r="H283" s="257" t="s">
        <v>554</v>
      </c>
      <c r="I283" s="8">
        <v>0</v>
      </c>
      <c r="J283" s="128"/>
      <c r="K283" s="257" t="s">
        <v>554</v>
      </c>
      <c r="L283" s="8">
        <v>0</v>
      </c>
      <c r="M283" s="128"/>
      <c r="N283" s="257" t="s">
        <v>554</v>
      </c>
      <c r="O283" s="8">
        <v>0</v>
      </c>
      <c r="P283" s="128"/>
      <c r="Q283" s="257" t="s">
        <v>554</v>
      </c>
      <c r="R283" s="8">
        <v>0</v>
      </c>
      <c r="S283" s="128"/>
      <c r="T283" s="257" t="s">
        <v>554</v>
      </c>
      <c r="U283" s="8">
        <v>2</v>
      </c>
      <c r="W283" s="251" t="s">
        <v>554</v>
      </c>
      <c r="X283" s="231">
        <v>3</v>
      </c>
      <c r="Z283" s="251" t="s">
        <v>554</v>
      </c>
      <c r="AA283" s="231">
        <v>1</v>
      </c>
      <c r="AC283" s="251" t="s">
        <v>554</v>
      </c>
      <c r="AD283" s="231">
        <v>1</v>
      </c>
    </row>
    <row r="284" spans="1:51" x14ac:dyDescent="0.25">
      <c r="A284" s="756"/>
      <c r="B284" s="251" t="s">
        <v>553</v>
      </c>
      <c r="C284" s="231">
        <v>1</v>
      </c>
      <c r="D284" s="128"/>
      <c r="E284" s="257" t="s">
        <v>553</v>
      </c>
      <c r="F284" s="8">
        <v>1</v>
      </c>
      <c r="G284" s="128"/>
      <c r="H284" s="257" t="s">
        <v>553</v>
      </c>
      <c r="I284" s="8">
        <v>0</v>
      </c>
      <c r="J284" s="128"/>
      <c r="K284" s="257" t="s">
        <v>553</v>
      </c>
      <c r="L284" s="8">
        <v>0</v>
      </c>
      <c r="M284" s="128"/>
      <c r="N284" s="257" t="s">
        <v>553</v>
      </c>
      <c r="O284" s="8">
        <v>0</v>
      </c>
      <c r="P284" s="128"/>
      <c r="Q284" s="257" t="s">
        <v>553</v>
      </c>
      <c r="R284" s="8">
        <v>0</v>
      </c>
      <c r="S284" s="128"/>
      <c r="T284" s="257" t="s">
        <v>553</v>
      </c>
      <c r="U284" s="8">
        <v>0</v>
      </c>
      <c r="W284" s="251" t="s">
        <v>553</v>
      </c>
      <c r="X284" s="231">
        <v>2</v>
      </c>
      <c r="Z284" s="251" t="s">
        <v>553</v>
      </c>
      <c r="AA284" s="231">
        <v>1</v>
      </c>
      <c r="AC284" s="251" t="s">
        <v>553</v>
      </c>
      <c r="AD284" s="231">
        <v>1</v>
      </c>
    </row>
    <row r="285" spans="1:51" ht="15.75" thickBot="1" x14ac:dyDescent="0.3">
      <c r="A285" s="757"/>
      <c r="B285" s="250" t="s">
        <v>552</v>
      </c>
      <c r="C285" s="249">
        <f>C277*((SUM(C278:C284)))</f>
        <v>-7</v>
      </c>
      <c r="D285" s="248"/>
      <c r="E285" s="256" t="s">
        <v>552</v>
      </c>
      <c r="F285" s="249">
        <f>F277*((SUM(F278:F284)))</f>
        <v>-5</v>
      </c>
      <c r="G285" s="248"/>
      <c r="H285" s="256" t="s">
        <v>552</v>
      </c>
      <c r="I285" s="249">
        <f>I277*((SUM(I278:I284)))</f>
        <v>12</v>
      </c>
      <c r="J285" s="248"/>
      <c r="K285" s="256" t="s">
        <v>552</v>
      </c>
      <c r="L285" s="249">
        <f>L277*((SUM(L278:L284)))</f>
        <v>9</v>
      </c>
      <c r="M285" s="248"/>
      <c r="N285" s="256" t="s">
        <v>552</v>
      </c>
      <c r="O285" s="249">
        <f>O277*((SUM(O278:O284)))</f>
        <v>9</v>
      </c>
      <c r="P285" s="248"/>
      <c r="Q285" s="256" t="s">
        <v>552</v>
      </c>
      <c r="R285" s="249">
        <f>R277*((SUM(R278:R284)))</f>
        <v>9</v>
      </c>
      <c r="S285" s="248"/>
      <c r="T285" s="256" t="s">
        <v>552</v>
      </c>
      <c r="U285" s="249">
        <f>U277*((SUM(U278:U284)))</f>
        <v>14</v>
      </c>
      <c r="W285" s="256" t="s">
        <v>552</v>
      </c>
      <c r="X285" s="249">
        <f>X277*((SUM(X278:X284)))</f>
        <v>-13</v>
      </c>
      <c r="Z285" s="256" t="s">
        <v>552</v>
      </c>
      <c r="AA285" s="249">
        <f>AA277*((SUM(AA278:AA284)))</f>
        <v>12</v>
      </c>
      <c r="AC285" s="250" t="s">
        <v>552</v>
      </c>
      <c r="AD285" s="249">
        <f>AD277*((SUM(AD278:AD284)))</f>
        <v>-11</v>
      </c>
    </row>
    <row r="286" spans="1:51" ht="36.75" customHeight="1" thickBot="1" x14ac:dyDescent="0.3"/>
    <row r="287" spans="1:51" ht="36.75" customHeight="1" thickBot="1" x14ac:dyDescent="0.3">
      <c r="A287" s="768">
        <v>21</v>
      </c>
      <c r="B287" s="763" t="str">
        <f>'Matriz de identificación'!X4</f>
        <v>Mantenimiento</v>
      </c>
      <c r="C287" s="763"/>
      <c r="D287" s="763"/>
      <c r="E287" s="763"/>
      <c r="F287" s="763"/>
      <c r="G287" s="263"/>
      <c r="H287" s="263"/>
      <c r="I287" s="264"/>
      <c r="J287" s="263"/>
      <c r="K287" s="263"/>
      <c r="L287" s="264"/>
      <c r="M287" s="224"/>
      <c r="O287"/>
      <c r="P287" s="224"/>
      <c r="R287"/>
      <c r="S287" s="224"/>
      <c r="U287"/>
      <c r="X287"/>
      <c r="AA287"/>
      <c r="AD287"/>
      <c r="AG287"/>
      <c r="AJ287"/>
      <c r="AM287"/>
      <c r="AP287"/>
      <c r="AS287"/>
      <c r="AV287"/>
      <c r="AY287"/>
    </row>
    <row r="288" spans="1:51" x14ac:dyDescent="0.25">
      <c r="A288" s="756"/>
      <c r="B288" s="255" t="s">
        <v>563</v>
      </c>
      <c r="C288" s="254" t="str">
        <f>'Matriz de identificación'!A29</f>
        <v>ANTROPOSFERICO</v>
      </c>
      <c r="D288" s="128"/>
      <c r="E288" s="255" t="s">
        <v>563</v>
      </c>
      <c r="F288" s="268" t="str">
        <f>C288</f>
        <v>ANTROPOSFERICO</v>
      </c>
      <c r="G288" s="128"/>
      <c r="H288" s="261" t="s">
        <v>563</v>
      </c>
      <c r="I288" s="266" t="str">
        <f>F288</f>
        <v>ANTROPOSFERICO</v>
      </c>
      <c r="J288" s="128"/>
      <c r="K288" s="261" t="s">
        <v>563</v>
      </c>
      <c r="L288" s="266" t="str">
        <f>I288</f>
        <v>ANTROPOSFERICO</v>
      </c>
      <c r="M288" s="224"/>
      <c r="N288" s="261" t="s">
        <v>563</v>
      </c>
      <c r="O288" s="266" t="str">
        <f>'Matriz de identificación'!A8</f>
        <v>GEOSFERICO</v>
      </c>
      <c r="P288" s="224"/>
      <c r="R288"/>
      <c r="S288" s="224"/>
      <c r="U288"/>
      <c r="X288"/>
      <c r="AA288"/>
      <c r="AD288"/>
      <c r="AG288"/>
      <c r="AJ288"/>
      <c r="AM288"/>
      <c r="AP288"/>
      <c r="AS288"/>
      <c r="AV288"/>
      <c r="AY288"/>
    </row>
    <row r="289" spans="1:51" x14ac:dyDescent="0.25">
      <c r="A289" s="756"/>
      <c r="B289" s="253" t="s">
        <v>562</v>
      </c>
      <c r="C289" s="252" t="str">
        <f>'Matriz de identificación'!B29</f>
        <v>SOCIAL</v>
      </c>
      <c r="D289" s="128"/>
      <c r="E289" s="253" t="s">
        <v>562</v>
      </c>
      <c r="F289" s="267" t="str">
        <f>C289</f>
        <v>SOCIAL</v>
      </c>
      <c r="G289" s="128"/>
      <c r="H289" s="259" t="s">
        <v>562</v>
      </c>
      <c r="I289" s="265" t="str">
        <f>F289</f>
        <v>SOCIAL</v>
      </c>
      <c r="J289" s="128"/>
      <c r="K289" s="259" t="s">
        <v>562</v>
      </c>
      <c r="L289" s="265" t="str">
        <f>'Matriz de identificación'!B35</f>
        <v>ECONÓMICO</v>
      </c>
      <c r="M289" s="224"/>
      <c r="N289" s="259" t="s">
        <v>562</v>
      </c>
      <c r="O289" s="265" t="str">
        <f>'Matriz de identificación'!B11</f>
        <v>EDAFOLOGÍA</v>
      </c>
      <c r="P289" s="224"/>
      <c r="R289"/>
      <c r="S289" s="224"/>
      <c r="U289"/>
      <c r="X289"/>
      <c r="AA289"/>
      <c r="AD289"/>
      <c r="AG289"/>
      <c r="AJ289"/>
      <c r="AM289"/>
      <c r="AP289"/>
      <c r="AS289"/>
      <c r="AV289"/>
      <c r="AY289"/>
    </row>
    <row r="290" spans="1:51" x14ac:dyDescent="0.25">
      <c r="A290" s="756"/>
      <c r="B290" s="251" t="s">
        <v>561</v>
      </c>
      <c r="C290" s="231" t="str">
        <f>'Matriz de identificación'!C30</f>
        <v>Empleo</v>
      </c>
      <c r="D290" s="128"/>
      <c r="E290" s="251" t="s">
        <v>561</v>
      </c>
      <c r="F290" s="231" t="str">
        <f>'Matriz de identificación'!C31</f>
        <v>Organización</v>
      </c>
      <c r="G290" s="128"/>
      <c r="H290" s="257" t="s">
        <v>561</v>
      </c>
      <c r="I290" s="8" t="str">
        <f>'Matriz de identificación'!C33</f>
        <v>Servicios</v>
      </c>
      <c r="J290" s="128"/>
      <c r="K290" s="257" t="s">
        <v>561</v>
      </c>
      <c r="L290" s="8" t="str">
        <f>'Matriz de identificación'!C35</f>
        <v>Estructura comercial</v>
      </c>
      <c r="M290" s="224"/>
      <c r="N290" s="257" t="s">
        <v>561</v>
      </c>
      <c r="O290" s="8" t="str">
        <f>'Matriz de identificación'!C13</f>
        <v>Usos</v>
      </c>
      <c r="P290" s="224"/>
      <c r="R290"/>
      <c r="S290" s="224"/>
      <c r="U290"/>
      <c r="X290"/>
      <c r="AA290"/>
      <c r="AD290"/>
      <c r="AG290"/>
      <c r="AJ290"/>
      <c r="AM290"/>
      <c r="AP290"/>
      <c r="AS290"/>
      <c r="AV290"/>
      <c r="AY290"/>
    </row>
    <row r="291" spans="1:51" x14ac:dyDescent="0.25">
      <c r="A291" s="756"/>
      <c r="B291" s="251" t="s">
        <v>560</v>
      </c>
      <c r="C291" s="231">
        <v>1</v>
      </c>
      <c r="D291" s="128"/>
      <c r="E291" s="251" t="s">
        <v>560</v>
      </c>
      <c r="F291" s="231">
        <v>1</v>
      </c>
      <c r="G291" s="128"/>
      <c r="H291" s="257" t="s">
        <v>560</v>
      </c>
      <c r="I291" s="8">
        <v>1</v>
      </c>
      <c r="J291" s="128"/>
      <c r="K291" s="257" t="s">
        <v>560</v>
      </c>
      <c r="L291" s="8">
        <v>1</v>
      </c>
      <c r="M291" s="224"/>
      <c r="N291" s="257" t="s">
        <v>560</v>
      </c>
      <c r="O291" s="8">
        <v>-1</v>
      </c>
      <c r="P291" s="224"/>
      <c r="R291"/>
      <c r="S291" s="224"/>
      <c r="U291"/>
      <c r="X291"/>
      <c r="AA291"/>
      <c r="AD291"/>
      <c r="AG291"/>
      <c r="AJ291"/>
      <c r="AM291"/>
      <c r="AP291"/>
      <c r="AS291"/>
      <c r="AV291"/>
      <c r="AY291"/>
    </row>
    <row r="292" spans="1:51" x14ac:dyDescent="0.25">
      <c r="A292" s="756"/>
      <c r="B292" s="251" t="s">
        <v>559</v>
      </c>
      <c r="C292" s="231">
        <v>1</v>
      </c>
      <c r="D292" s="128"/>
      <c r="E292" s="251" t="s">
        <v>559</v>
      </c>
      <c r="F292" s="231">
        <v>1</v>
      </c>
      <c r="G292" s="128"/>
      <c r="H292" s="257" t="s">
        <v>559</v>
      </c>
      <c r="I292" s="8">
        <v>1</v>
      </c>
      <c r="J292" s="128"/>
      <c r="K292" s="257" t="s">
        <v>559</v>
      </c>
      <c r="L292" s="8">
        <v>2</v>
      </c>
      <c r="M292" s="224"/>
      <c r="N292" s="257" t="s">
        <v>559</v>
      </c>
      <c r="O292" s="8">
        <v>2</v>
      </c>
      <c r="P292" s="224"/>
      <c r="R292"/>
      <c r="S292" s="224"/>
      <c r="U292"/>
      <c r="X292"/>
      <c r="AA292"/>
      <c r="AD292"/>
      <c r="AG292"/>
      <c r="AJ292"/>
      <c r="AM292"/>
      <c r="AP292"/>
      <c r="AS292"/>
      <c r="AV292"/>
      <c r="AY292"/>
    </row>
    <row r="293" spans="1:51" x14ac:dyDescent="0.25">
      <c r="A293" s="756"/>
      <c r="B293" s="251" t="s">
        <v>558</v>
      </c>
      <c r="C293" s="231">
        <v>1</v>
      </c>
      <c r="D293" s="128"/>
      <c r="E293" s="251" t="s">
        <v>558</v>
      </c>
      <c r="F293" s="231">
        <v>1</v>
      </c>
      <c r="G293" s="128"/>
      <c r="H293" s="257" t="s">
        <v>558</v>
      </c>
      <c r="I293" s="8">
        <v>1</v>
      </c>
      <c r="J293" s="128"/>
      <c r="K293" s="257" t="s">
        <v>558</v>
      </c>
      <c r="L293" s="8">
        <v>1</v>
      </c>
      <c r="M293" s="224"/>
      <c r="N293" s="257" t="s">
        <v>558</v>
      </c>
      <c r="O293" s="8">
        <v>3</v>
      </c>
      <c r="P293" s="224"/>
      <c r="R293"/>
      <c r="S293" s="224"/>
      <c r="U293"/>
      <c r="X293"/>
      <c r="AA293"/>
      <c r="AD293"/>
      <c r="AG293"/>
      <c r="AJ293"/>
      <c r="AM293"/>
      <c r="AP293"/>
      <c r="AS293"/>
      <c r="AV293"/>
      <c r="AY293"/>
    </row>
    <row r="294" spans="1:51" x14ac:dyDescent="0.25">
      <c r="A294" s="756"/>
      <c r="B294" s="251" t="s">
        <v>557</v>
      </c>
      <c r="C294" s="231">
        <v>1</v>
      </c>
      <c r="D294" s="128"/>
      <c r="E294" s="251" t="s">
        <v>557</v>
      </c>
      <c r="F294" s="231">
        <v>1</v>
      </c>
      <c r="G294" s="128"/>
      <c r="H294" s="257" t="s">
        <v>557</v>
      </c>
      <c r="I294" s="8">
        <v>1</v>
      </c>
      <c r="J294" s="128"/>
      <c r="K294" s="257" t="s">
        <v>557</v>
      </c>
      <c r="L294" s="8">
        <v>1</v>
      </c>
      <c r="M294" s="224"/>
      <c r="N294" s="257" t="s">
        <v>557</v>
      </c>
      <c r="O294" s="8">
        <v>1</v>
      </c>
      <c r="P294" s="224"/>
      <c r="R294"/>
      <c r="S294" s="224"/>
      <c r="U294"/>
      <c r="X294"/>
      <c r="AA294"/>
      <c r="AD294"/>
      <c r="AG294"/>
      <c r="AJ294"/>
      <c r="AM294"/>
      <c r="AP294"/>
      <c r="AS294"/>
      <c r="AV294"/>
      <c r="AY294"/>
    </row>
    <row r="295" spans="1:51" x14ac:dyDescent="0.25">
      <c r="A295" s="756"/>
      <c r="B295" s="251" t="s">
        <v>556</v>
      </c>
      <c r="C295" s="231">
        <v>2</v>
      </c>
      <c r="D295" s="128"/>
      <c r="E295" s="251" t="s">
        <v>556</v>
      </c>
      <c r="F295" s="231">
        <v>2</v>
      </c>
      <c r="G295" s="128"/>
      <c r="H295" s="257" t="s">
        <v>556</v>
      </c>
      <c r="I295" s="8">
        <v>2</v>
      </c>
      <c r="J295" s="128"/>
      <c r="K295" s="257" t="s">
        <v>556</v>
      </c>
      <c r="L295" s="8">
        <v>2</v>
      </c>
      <c r="M295" s="224"/>
      <c r="N295" s="257" t="s">
        <v>556</v>
      </c>
      <c r="O295" s="8">
        <v>3</v>
      </c>
      <c r="P295" s="224"/>
      <c r="R295"/>
      <c r="S295" s="224"/>
      <c r="U295"/>
      <c r="X295"/>
      <c r="AA295"/>
      <c r="AD295"/>
      <c r="AG295"/>
      <c r="AJ295"/>
      <c r="AM295"/>
      <c r="AP295"/>
      <c r="AS295"/>
      <c r="AV295"/>
      <c r="AY295"/>
    </row>
    <row r="296" spans="1:51" x14ac:dyDescent="0.25">
      <c r="A296" s="756"/>
      <c r="B296" s="251" t="s">
        <v>555</v>
      </c>
      <c r="C296" s="231">
        <v>1</v>
      </c>
      <c r="D296" s="128"/>
      <c r="E296" s="251" t="s">
        <v>555</v>
      </c>
      <c r="F296" s="231">
        <v>1</v>
      </c>
      <c r="G296" s="128"/>
      <c r="H296" s="257" t="s">
        <v>555</v>
      </c>
      <c r="I296" s="8">
        <v>2</v>
      </c>
      <c r="J296" s="128"/>
      <c r="K296" s="257" t="s">
        <v>555</v>
      </c>
      <c r="L296" s="8">
        <v>1</v>
      </c>
      <c r="M296" s="224"/>
      <c r="N296" s="257" t="s">
        <v>555</v>
      </c>
      <c r="O296" s="8">
        <v>1</v>
      </c>
      <c r="P296" s="224"/>
      <c r="R296"/>
      <c r="S296" s="224"/>
      <c r="U296"/>
      <c r="X296"/>
      <c r="AA296"/>
      <c r="AD296"/>
      <c r="AG296"/>
      <c r="AJ296"/>
      <c r="AM296"/>
      <c r="AP296"/>
      <c r="AS296"/>
      <c r="AV296"/>
      <c r="AY296"/>
    </row>
    <row r="297" spans="1:51" x14ac:dyDescent="0.25">
      <c r="A297" s="756"/>
      <c r="B297" s="251" t="s">
        <v>554</v>
      </c>
      <c r="C297" s="231">
        <v>1</v>
      </c>
      <c r="D297" s="128"/>
      <c r="E297" s="251" t="s">
        <v>554</v>
      </c>
      <c r="F297" s="231">
        <v>1</v>
      </c>
      <c r="G297" s="128"/>
      <c r="H297" s="257" t="s">
        <v>554</v>
      </c>
      <c r="I297" s="8">
        <v>1</v>
      </c>
      <c r="J297" s="128"/>
      <c r="K297" s="257" t="s">
        <v>554</v>
      </c>
      <c r="L297" s="8">
        <v>0</v>
      </c>
      <c r="M297" s="224"/>
      <c r="N297" s="257" t="s">
        <v>554</v>
      </c>
      <c r="O297" s="8">
        <v>2</v>
      </c>
      <c r="P297" s="224"/>
      <c r="R297"/>
      <c r="S297" s="224"/>
      <c r="U297"/>
      <c r="X297"/>
      <c r="AA297"/>
      <c r="AD297"/>
      <c r="AG297"/>
      <c r="AJ297"/>
      <c r="AM297"/>
      <c r="AP297"/>
      <c r="AS297"/>
      <c r="AV297"/>
      <c r="AY297"/>
    </row>
    <row r="298" spans="1:51" x14ac:dyDescent="0.25">
      <c r="A298" s="756"/>
      <c r="B298" s="251" t="s">
        <v>553</v>
      </c>
      <c r="C298" s="231">
        <v>0</v>
      </c>
      <c r="D298" s="128"/>
      <c r="E298" s="251" t="s">
        <v>553</v>
      </c>
      <c r="F298" s="231">
        <v>0</v>
      </c>
      <c r="G298" s="128"/>
      <c r="H298" s="257" t="s">
        <v>553</v>
      </c>
      <c r="I298" s="8">
        <v>0</v>
      </c>
      <c r="J298" s="128"/>
      <c r="K298" s="257" t="s">
        <v>553</v>
      </c>
      <c r="L298" s="8">
        <v>0</v>
      </c>
      <c r="M298" s="224"/>
      <c r="N298" s="257" t="s">
        <v>553</v>
      </c>
      <c r="O298" s="8">
        <v>2</v>
      </c>
      <c r="P298" s="224"/>
      <c r="R298"/>
      <c r="S298" s="224"/>
      <c r="U298"/>
      <c r="X298"/>
      <c r="AA298"/>
      <c r="AD298"/>
      <c r="AG298"/>
      <c r="AJ298"/>
      <c r="AM298"/>
      <c r="AP298"/>
      <c r="AS298"/>
      <c r="AV298"/>
      <c r="AY298"/>
    </row>
    <row r="299" spans="1:51" ht="15.75" thickBot="1" x14ac:dyDescent="0.3">
      <c r="A299" s="757"/>
      <c r="B299" s="250" t="s">
        <v>552</v>
      </c>
      <c r="C299" s="249">
        <f>C291*((SUM(C292:C298)))</f>
        <v>7</v>
      </c>
      <c r="D299" s="248"/>
      <c r="E299" s="250" t="s">
        <v>552</v>
      </c>
      <c r="F299" s="249">
        <f>F291*((SUM(F292:F298)))</f>
        <v>7</v>
      </c>
      <c r="G299" s="248"/>
      <c r="H299" s="256" t="s">
        <v>552</v>
      </c>
      <c r="I299" s="249">
        <f>I291*((SUM(I292:I298)))</f>
        <v>8</v>
      </c>
      <c r="J299" s="248"/>
      <c r="K299" s="256" t="s">
        <v>552</v>
      </c>
      <c r="L299" s="249">
        <f>L291*((SUM(L292:L298)))</f>
        <v>7</v>
      </c>
      <c r="M299" s="224"/>
      <c r="N299" s="256" t="s">
        <v>552</v>
      </c>
      <c r="O299" s="249">
        <f>O291*((SUM(O292:O298)))</f>
        <v>-14</v>
      </c>
      <c r="P299" s="224"/>
      <c r="R299"/>
      <c r="S299" s="224"/>
      <c r="U299"/>
      <c r="X299"/>
      <c r="AA299"/>
      <c r="AD299"/>
      <c r="AG299"/>
      <c r="AJ299"/>
      <c r="AM299"/>
      <c r="AP299"/>
      <c r="AS299"/>
      <c r="AV299"/>
      <c r="AY299"/>
    </row>
    <row r="300" spans="1:51" ht="34.5" customHeight="1" thickBot="1" x14ac:dyDescent="0.3"/>
    <row r="301" spans="1:51" ht="39" customHeight="1" thickBot="1" x14ac:dyDescent="0.3">
      <c r="A301" s="768">
        <v>22</v>
      </c>
      <c r="B301" s="771" t="str">
        <f>'Matriz de calificación'!Y4</f>
        <v>Desmonte del sistema</v>
      </c>
      <c r="C301" s="763"/>
      <c r="D301" s="763"/>
      <c r="E301" s="763"/>
      <c r="F301" s="764"/>
    </row>
    <row r="302" spans="1:51" x14ac:dyDescent="0.25">
      <c r="A302" s="769"/>
      <c r="B302" s="255" t="s">
        <v>563</v>
      </c>
      <c r="C302" s="268" t="str">
        <f>'Matriz de identificación'!A5</f>
        <v>ATMOSFÉRICO</v>
      </c>
      <c r="D302" s="128"/>
      <c r="E302" s="261" t="s">
        <v>563</v>
      </c>
      <c r="F302" s="266" t="str">
        <f>C302</f>
        <v>ATMOSFÉRICO</v>
      </c>
      <c r="G302" s="128"/>
      <c r="H302" s="261" t="s">
        <v>563</v>
      </c>
      <c r="I302" s="266" t="str">
        <f>'Matriz de identificación'!A29</f>
        <v>ANTROPOSFERICO</v>
      </c>
      <c r="J302" s="128"/>
      <c r="K302" s="261" t="s">
        <v>563</v>
      </c>
      <c r="L302" s="266" t="str">
        <f>I302</f>
        <v>ANTROPOSFERICO</v>
      </c>
      <c r="M302" s="128"/>
      <c r="N302" s="261" t="s">
        <v>563</v>
      </c>
      <c r="O302" s="260" t="str">
        <f>L302</f>
        <v>ANTROPOSFERICO</v>
      </c>
      <c r="P302" s="128"/>
      <c r="Q302" s="261" t="s">
        <v>563</v>
      </c>
      <c r="R302" s="254" t="str">
        <f>O302</f>
        <v>ANTROPOSFERICO</v>
      </c>
      <c r="S302" s="128"/>
      <c r="T302" s="261" t="s">
        <v>563</v>
      </c>
      <c r="U302" s="260" t="str">
        <f>R302</f>
        <v>ANTROPOSFERICO</v>
      </c>
    </row>
    <row r="303" spans="1:51" x14ac:dyDescent="0.25">
      <c r="A303" s="769"/>
      <c r="B303" s="253" t="s">
        <v>562</v>
      </c>
      <c r="C303" s="267" t="str">
        <f>'Matriz de identificación'!B5</f>
        <v>CALIDAD DEL AIRE</v>
      </c>
      <c r="D303" s="128"/>
      <c r="E303" s="259" t="s">
        <v>562</v>
      </c>
      <c r="F303" s="265" t="str">
        <f>C303</f>
        <v>CALIDAD DEL AIRE</v>
      </c>
      <c r="G303" s="128"/>
      <c r="H303" s="259" t="s">
        <v>562</v>
      </c>
      <c r="I303" s="265" t="str">
        <f>'Matriz de identificación'!B29</f>
        <v>SOCIAL</v>
      </c>
      <c r="J303" s="128"/>
      <c r="K303" s="259" t="s">
        <v>562</v>
      </c>
      <c r="L303" s="265" t="str">
        <f>I303</f>
        <v>SOCIAL</v>
      </c>
      <c r="M303" s="128"/>
      <c r="N303" s="259" t="s">
        <v>562</v>
      </c>
      <c r="O303" s="258" t="str">
        <f>L303</f>
        <v>SOCIAL</v>
      </c>
      <c r="P303" s="128"/>
      <c r="Q303" s="259" t="s">
        <v>562</v>
      </c>
      <c r="R303" s="252" t="str">
        <f>O303</f>
        <v>SOCIAL</v>
      </c>
      <c r="S303" s="128"/>
      <c r="T303" s="259" t="s">
        <v>562</v>
      </c>
      <c r="U303" s="258" t="str">
        <f>'Matriz de identificación'!B34</f>
        <v>CULTURAL</v>
      </c>
    </row>
    <row r="304" spans="1:51" x14ac:dyDescent="0.25">
      <c r="A304" s="769"/>
      <c r="B304" s="251" t="s">
        <v>561</v>
      </c>
      <c r="C304" s="231" t="str">
        <f>'Matriz de identificación'!C5</f>
        <v>Emisiones de ruido</v>
      </c>
      <c r="D304" s="128"/>
      <c r="E304" s="257" t="s">
        <v>561</v>
      </c>
      <c r="F304" s="8" t="str">
        <f>'Matriz de identificación'!C6</f>
        <v>Emisiones de gases</v>
      </c>
      <c r="G304" s="128"/>
      <c r="H304" s="257" t="s">
        <v>561</v>
      </c>
      <c r="I304" s="8" t="str">
        <f>'Matriz de identificación'!C29</f>
        <v>Calidad de vida</v>
      </c>
      <c r="J304" s="128"/>
      <c r="K304" s="257" t="s">
        <v>561</v>
      </c>
      <c r="L304" s="8" t="str">
        <f>'Matriz de identificación'!C30</f>
        <v>Empleo</v>
      </c>
      <c r="M304" s="128"/>
      <c r="N304" s="257" t="s">
        <v>561</v>
      </c>
      <c r="O304" s="8" t="str">
        <f>'Matriz de identificación'!C31</f>
        <v>Organización</v>
      </c>
      <c r="P304" s="128"/>
      <c r="Q304" s="257" t="s">
        <v>561</v>
      </c>
      <c r="R304" s="231" t="str">
        <f>'Matriz de identificación'!C33</f>
        <v>Servicios</v>
      </c>
      <c r="S304" s="128"/>
      <c r="T304" s="257" t="s">
        <v>561</v>
      </c>
      <c r="U304" s="8" t="str">
        <f>'Matriz de identificación'!C34</f>
        <v>Cosmovisión</v>
      </c>
    </row>
    <row r="305" spans="1:21" x14ac:dyDescent="0.25">
      <c r="A305" s="769"/>
      <c r="B305" s="251" t="s">
        <v>560</v>
      </c>
      <c r="C305" s="231">
        <v>-1</v>
      </c>
      <c r="D305" s="128"/>
      <c r="E305" s="257" t="s">
        <v>560</v>
      </c>
      <c r="F305" s="8">
        <v>-1</v>
      </c>
      <c r="G305" s="128"/>
      <c r="H305" s="257" t="s">
        <v>560</v>
      </c>
      <c r="I305" s="8">
        <v>-1</v>
      </c>
      <c r="J305" s="128"/>
      <c r="K305" s="257" t="s">
        <v>560</v>
      </c>
      <c r="L305" s="8">
        <v>1</v>
      </c>
      <c r="M305" s="128"/>
      <c r="N305" s="257" t="s">
        <v>560</v>
      </c>
      <c r="O305" s="8">
        <v>1</v>
      </c>
      <c r="P305" s="128"/>
      <c r="Q305" s="257" t="s">
        <v>560</v>
      </c>
      <c r="R305" s="8">
        <v>1</v>
      </c>
      <c r="S305" s="128"/>
      <c r="T305" s="257" t="s">
        <v>560</v>
      </c>
      <c r="U305" s="8">
        <v>-1</v>
      </c>
    </row>
    <row r="306" spans="1:21" x14ac:dyDescent="0.25">
      <c r="A306" s="769"/>
      <c r="B306" s="251" t="s">
        <v>559</v>
      </c>
      <c r="C306" s="231">
        <v>1</v>
      </c>
      <c r="D306" s="128"/>
      <c r="E306" s="257" t="s">
        <v>559</v>
      </c>
      <c r="F306" s="8">
        <v>1</v>
      </c>
      <c r="G306" s="128"/>
      <c r="H306" s="257" t="s">
        <v>559</v>
      </c>
      <c r="I306" s="8">
        <v>1</v>
      </c>
      <c r="J306" s="128"/>
      <c r="K306" s="257" t="s">
        <v>559</v>
      </c>
      <c r="L306" s="8">
        <v>1</v>
      </c>
      <c r="M306" s="128"/>
      <c r="N306" s="257" t="s">
        <v>559</v>
      </c>
      <c r="O306" s="8">
        <v>1</v>
      </c>
      <c r="P306" s="128"/>
      <c r="Q306" s="257" t="s">
        <v>559</v>
      </c>
      <c r="R306" s="8">
        <v>1</v>
      </c>
      <c r="S306" s="128"/>
      <c r="T306" s="257" t="s">
        <v>559</v>
      </c>
      <c r="U306" s="8">
        <v>2</v>
      </c>
    </row>
    <row r="307" spans="1:21" x14ac:dyDescent="0.25">
      <c r="A307" s="769"/>
      <c r="B307" s="251" t="s">
        <v>558</v>
      </c>
      <c r="C307" s="231">
        <v>1</v>
      </c>
      <c r="D307" s="128"/>
      <c r="E307" s="257" t="s">
        <v>558</v>
      </c>
      <c r="F307" s="8">
        <v>1</v>
      </c>
      <c r="G307" s="128"/>
      <c r="H307" s="257" t="s">
        <v>558</v>
      </c>
      <c r="I307" s="8">
        <v>3</v>
      </c>
      <c r="J307" s="128"/>
      <c r="K307" s="257" t="s">
        <v>558</v>
      </c>
      <c r="L307" s="8">
        <v>1</v>
      </c>
      <c r="M307" s="128"/>
      <c r="N307" s="257" t="s">
        <v>558</v>
      </c>
      <c r="O307" s="8">
        <v>1</v>
      </c>
      <c r="P307" s="128"/>
      <c r="Q307" s="257" t="s">
        <v>558</v>
      </c>
      <c r="R307" s="8">
        <v>1</v>
      </c>
      <c r="S307" s="128"/>
      <c r="T307" s="257" t="s">
        <v>558</v>
      </c>
      <c r="U307" s="8">
        <v>1</v>
      </c>
    </row>
    <row r="308" spans="1:21" x14ac:dyDescent="0.25">
      <c r="A308" s="769"/>
      <c r="B308" s="251" t="s">
        <v>557</v>
      </c>
      <c r="C308" s="231">
        <v>1</v>
      </c>
      <c r="D308" s="128"/>
      <c r="E308" s="257" t="s">
        <v>557</v>
      </c>
      <c r="F308" s="8">
        <v>1</v>
      </c>
      <c r="G308" s="128"/>
      <c r="H308" s="257" t="s">
        <v>557</v>
      </c>
      <c r="I308" s="8">
        <v>2</v>
      </c>
      <c r="J308" s="128"/>
      <c r="K308" s="257" t="s">
        <v>557</v>
      </c>
      <c r="L308" s="8">
        <v>1</v>
      </c>
      <c r="M308" s="128"/>
      <c r="N308" s="257" t="s">
        <v>557</v>
      </c>
      <c r="O308" s="8">
        <v>2</v>
      </c>
      <c r="P308" s="128"/>
      <c r="Q308" s="257" t="s">
        <v>557</v>
      </c>
      <c r="R308" s="8">
        <v>2</v>
      </c>
      <c r="S308" s="128"/>
      <c r="T308" s="257" t="s">
        <v>557</v>
      </c>
      <c r="U308" s="8">
        <v>2</v>
      </c>
    </row>
    <row r="309" spans="1:21" x14ac:dyDescent="0.25">
      <c r="A309" s="769"/>
      <c r="B309" s="251" t="s">
        <v>556</v>
      </c>
      <c r="C309" s="231">
        <v>1</v>
      </c>
      <c r="D309" s="128"/>
      <c r="E309" s="257" t="s">
        <v>556</v>
      </c>
      <c r="F309" s="8">
        <v>1</v>
      </c>
      <c r="G309" s="128"/>
      <c r="H309" s="257" t="s">
        <v>556</v>
      </c>
      <c r="I309" s="8">
        <v>2</v>
      </c>
      <c r="J309" s="128"/>
      <c r="K309" s="257" t="s">
        <v>556</v>
      </c>
      <c r="L309" s="8">
        <v>1</v>
      </c>
      <c r="M309" s="128"/>
      <c r="N309" s="257" t="s">
        <v>556</v>
      </c>
      <c r="O309" s="8">
        <v>1</v>
      </c>
      <c r="P309" s="128"/>
      <c r="Q309" s="257" t="s">
        <v>556</v>
      </c>
      <c r="R309" s="8">
        <v>1</v>
      </c>
      <c r="S309" s="128"/>
      <c r="T309" s="257" t="s">
        <v>556</v>
      </c>
      <c r="U309" s="8">
        <v>3</v>
      </c>
    </row>
    <row r="310" spans="1:21" x14ac:dyDescent="0.25">
      <c r="A310" s="769"/>
      <c r="B310" s="251" t="s">
        <v>555</v>
      </c>
      <c r="C310" s="231">
        <v>1</v>
      </c>
      <c r="D310" s="128"/>
      <c r="E310" s="257" t="s">
        <v>555</v>
      </c>
      <c r="F310" s="8">
        <v>1</v>
      </c>
      <c r="G310" s="128"/>
      <c r="H310" s="257" t="s">
        <v>555</v>
      </c>
      <c r="I310" s="8">
        <v>2</v>
      </c>
      <c r="J310" s="128"/>
      <c r="K310" s="257" t="s">
        <v>555</v>
      </c>
      <c r="L310" s="8">
        <v>1</v>
      </c>
      <c r="M310" s="128"/>
      <c r="N310" s="257" t="s">
        <v>555</v>
      </c>
      <c r="O310" s="8">
        <v>1</v>
      </c>
      <c r="P310" s="128"/>
      <c r="Q310" s="257" t="s">
        <v>555</v>
      </c>
      <c r="R310" s="8">
        <v>1</v>
      </c>
      <c r="S310" s="128"/>
      <c r="T310" s="257" t="s">
        <v>555</v>
      </c>
      <c r="U310" s="8">
        <v>1</v>
      </c>
    </row>
    <row r="311" spans="1:21" x14ac:dyDescent="0.25">
      <c r="A311" s="769"/>
      <c r="B311" s="251" t="s">
        <v>554</v>
      </c>
      <c r="C311" s="231">
        <v>1</v>
      </c>
      <c r="D311" s="128"/>
      <c r="E311" s="257" t="s">
        <v>554</v>
      </c>
      <c r="F311" s="8">
        <v>1</v>
      </c>
      <c r="G311" s="128"/>
      <c r="H311" s="257" t="s">
        <v>554</v>
      </c>
      <c r="I311" s="8">
        <v>1</v>
      </c>
      <c r="J311" s="128"/>
      <c r="K311" s="257" t="s">
        <v>554</v>
      </c>
      <c r="L311" s="8">
        <v>0</v>
      </c>
      <c r="M311" s="128"/>
      <c r="N311" s="257" t="s">
        <v>554</v>
      </c>
      <c r="O311" s="8">
        <v>0</v>
      </c>
      <c r="P311" s="128"/>
      <c r="Q311" s="257" t="s">
        <v>554</v>
      </c>
      <c r="R311" s="8">
        <v>0</v>
      </c>
      <c r="S311" s="128"/>
      <c r="T311" s="257" t="s">
        <v>554</v>
      </c>
      <c r="U311" s="8">
        <v>2</v>
      </c>
    </row>
    <row r="312" spans="1:21" x14ac:dyDescent="0.25">
      <c r="A312" s="769"/>
      <c r="B312" s="251" t="s">
        <v>553</v>
      </c>
      <c r="C312" s="231">
        <v>0</v>
      </c>
      <c r="D312" s="128"/>
      <c r="E312" s="257" t="s">
        <v>553</v>
      </c>
      <c r="F312" s="8">
        <v>1</v>
      </c>
      <c r="G312" s="128"/>
      <c r="H312" s="257" t="s">
        <v>553</v>
      </c>
      <c r="I312" s="8">
        <v>0</v>
      </c>
      <c r="J312" s="128"/>
      <c r="K312" s="257" t="s">
        <v>553</v>
      </c>
      <c r="L312" s="8">
        <v>0</v>
      </c>
      <c r="M312" s="128"/>
      <c r="N312" s="257" t="s">
        <v>553</v>
      </c>
      <c r="O312" s="8">
        <v>0</v>
      </c>
      <c r="P312" s="128"/>
      <c r="Q312" s="257" t="s">
        <v>553</v>
      </c>
      <c r="R312" s="8">
        <v>0</v>
      </c>
      <c r="S312" s="128"/>
      <c r="T312" s="257" t="s">
        <v>553</v>
      </c>
      <c r="U312" s="8">
        <v>1</v>
      </c>
    </row>
    <row r="313" spans="1:21" ht="15.75" thickBot="1" x14ac:dyDescent="0.3">
      <c r="A313" s="770"/>
      <c r="B313" s="250" t="s">
        <v>552</v>
      </c>
      <c r="C313" s="249">
        <f>C305*((SUM(C306:C312)))</f>
        <v>-6</v>
      </c>
      <c r="D313" s="248"/>
      <c r="E313" s="256" t="s">
        <v>552</v>
      </c>
      <c r="F313" s="249">
        <f>F305*((SUM(F306:F312)))</f>
        <v>-7</v>
      </c>
      <c r="G313" s="248"/>
      <c r="H313" s="256" t="s">
        <v>552</v>
      </c>
      <c r="I313" s="249">
        <f>I305*((SUM(I306:I312)))</f>
        <v>-11</v>
      </c>
      <c r="J313" s="248"/>
      <c r="K313" s="256" t="s">
        <v>552</v>
      </c>
      <c r="L313" s="249">
        <f>L305*((SUM(L306:L312)))</f>
        <v>5</v>
      </c>
      <c r="M313" s="248"/>
      <c r="N313" s="256" t="s">
        <v>552</v>
      </c>
      <c r="O313" s="249">
        <f>O305*((SUM(O306:O312)))</f>
        <v>6</v>
      </c>
      <c r="P313" s="248"/>
      <c r="Q313" s="256" t="s">
        <v>552</v>
      </c>
      <c r="R313" s="249">
        <f>R305*((SUM(R306:R312)))</f>
        <v>6</v>
      </c>
      <c r="S313" s="248"/>
      <c r="T313" s="256" t="s">
        <v>552</v>
      </c>
      <c r="U313" s="249">
        <f>U305*((SUM(U306:U312)))</f>
        <v>-12</v>
      </c>
    </row>
    <row r="314" spans="1:21" ht="38.25" customHeight="1" thickBot="1" x14ac:dyDescent="0.3"/>
    <row r="315" spans="1:21" ht="38.25" customHeight="1" thickBot="1" x14ac:dyDescent="0.3">
      <c r="A315" s="768">
        <v>23</v>
      </c>
      <c r="B315" s="771" t="str">
        <f>'Matriz de identificación'!Z4</f>
        <v>Separación de residuos</v>
      </c>
      <c r="C315" s="763"/>
      <c r="D315" s="763"/>
      <c r="E315" s="763"/>
      <c r="F315" s="764"/>
    </row>
    <row r="316" spans="1:21" x14ac:dyDescent="0.25">
      <c r="A316" s="769"/>
      <c r="B316" s="261" t="s">
        <v>563</v>
      </c>
      <c r="C316" s="266" t="str">
        <f>'Matriz de identificación'!A29</f>
        <v>ANTROPOSFERICO</v>
      </c>
      <c r="D316" s="128"/>
      <c r="E316" s="261" t="s">
        <v>563</v>
      </c>
      <c r="F316" s="266" t="str">
        <f>C316</f>
        <v>ANTROPOSFERICO</v>
      </c>
      <c r="G316" s="128"/>
      <c r="H316" s="261" t="s">
        <v>563</v>
      </c>
      <c r="I316" s="260" t="str">
        <f>F316</f>
        <v>ANTROPOSFERICO</v>
      </c>
      <c r="J316" s="128"/>
      <c r="K316" s="261" t="s">
        <v>563</v>
      </c>
      <c r="L316" s="254" t="str">
        <f>I316</f>
        <v>ANTROPOSFERICO</v>
      </c>
      <c r="M316" s="128"/>
      <c r="N316" s="261" t="s">
        <v>563</v>
      </c>
      <c r="O316" s="260" t="str">
        <f>L316</f>
        <v>ANTROPOSFERICO</v>
      </c>
    </row>
    <row r="317" spans="1:21" x14ac:dyDescent="0.25">
      <c r="A317" s="769"/>
      <c r="B317" s="259" t="s">
        <v>562</v>
      </c>
      <c r="C317" s="265" t="str">
        <f>'Matriz de identificación'!B29</f>
        <v>SOCIAL</v>
      </c>
      <c r="D317" s="128"/>
      <c r="E317" s="259" t="s">
        <v>562</v>
      </c>
      <c r="F317" s="265" t="str">
        <f>C317</f>
        <v>SOCIAL</v>
      </c>
      <c r="G317" s="128"/>
      <c r="H317" s="259" t="s">
        <v>562</v>
      </c>
      <c r="I317" s="258" t="str">
        <f>F317</f>
        <v>SOCIAL</v>
      </c>
      <c r="J317" s="128"/>
      <c r="K317" s="259" t="s">
        <v>562</v>
      </c>
      <c r="L317" s="252" t="str">
        <f>I317</f>
        <v>SOCIAL</v>
      </c>
      <c r="M317" s="128"/>
      <c r="N317" s="259" t="s">
        <v>562</v>
      </c>
      <c r="O317" s="258" t="str">
        <f>'Matriz de identificación'!B35</f>
        <v>ECONÓMICO</v>
      </c>
    </row>
    <row r="318" spans="1:21" x14ac:dyDescent="0.25">
      <c r="A318" s="769"/>
      <c r="B318" s="257" t="s">
        <v>561</v>
      </c>
      <c r="C318" s="8" t="str">
        <f>'Matriz de identificación'!C30</f>
        <v>Empleo</v>
      </c>
      <c r="D318" s="128"/>
      <c r="E318" s="257" t="s">
        <v>561</v>
      </c>
      <c r="F318" s="8" t="str">
        <f>'Matriz de identificación'!C31</f>
        <v>Organización</v>
      </c>
      <c r="G318" s="128"/>
      <c r="H318" s="257" t="s">
        <v>561</v>
      </c>
      <c r="I318" s="8" t="str">
        <f>'Matriz de identificación'!C32</f>
        <v>Presencia del Estado</v>
      </c>
      <c r="J318" s="128"/>
      <c r="K318" s="257" t="s">
        <v>561</v>
      </c>
      <c r="L318" s="231" t="str">
        <f>'Matriz de identificación'!C33</f>
        <v>Servicios</v>
      </c>
      <c r="M318" s="128"/>
      <c r="N318" s="257" t="s">
        <v>561</v>
      </c>
      <c r="O318" s="8" t="str">
        <f>'Matriz de identificación'!C35</f>
        <v>Estructura comercial</v>
      </c>
    </row>
    <row r="319" spans="1:21" x14ac:dyDescent="0.25">
      <c r="A319" s="769"/>
      <c r="B319" s="257" t="s">
        <v>560</v>
      </c>
      <c r="C319" s="8">
        <v>1</v>
      </c>
      <c r="D319" s="128"/>
      <c r="E319" s="257" t="s">
        <v>560</v>
      </c>
      <c r="F319" s="8">
        <v>1</v>
      </c>
      <c r="G319" s="128"/>
      <c r="H319" s="257" t="s">
        <v>560</v>
      </c>
      <c r="I319" s="8">
        <v>1</v>
      </c>
      <c r="J319" s="128"/>
      <c r="K319" s="257" t="s">
        <v>560</v>
      </c>
      <c r="L319" s="8">
        <v>1</v>
      </c>
      <c r="M319" s="128"/>
      <c r="N319" s="257" t="s">
        <v>560</v>
      </c>
      <c r="O319" s="8">
        <v>1</v>
      </c>
    </row>
    <row r="320" spans="1:21" x14ac:dyDescent="0.25">
      <c r="A320" s="769"/>
      <c r="B320" s="257" t="s">
        <v>559</v>
      </c>
      <c r="C320" s="8">
        <v>1</v>
      </c>
      <c r="D320" s="128"/>
      <c r="E320" s="257" t="s">
        <v>559</v>
      </c>
      <c r="F320" s="8">
        <v>1</v>
      </c>
      <c r="G320" s="128"/>
      <c r="H320" s="257" t="s">
        <v>559</v>
      </c>
      <c r="I320" s="8">
        <v>2</v>
      </c>
      <c r="J320" s="128"/>
      <c r="K320" s="257" t="s">
        <v>559</v>
      </c>
      <c r="L320" s="8">
        <v>1</v>
      </c>
      <c r="M320" s="128"/>
      <c r="N320" s="257" t="s">
        <v>559</v>
      </c>
      <c r="O320" s="8">
        <v>1</v>
      </c>
    </row>
    <row r="321" spans="1:51" x14ac:dyDescent="0.25">
      <c r="A321" s="769"/>
      <c r="B321" s="257" t="s">
        <v>558</v>
      </c>
      <c r="C321" s="8">
        <v>1</v>
      </c>
      <c r="D321" s="128"/>
      <c r="E321" s="257" t="s">
        <v>558</v>
      </c>
      <c r="F321" s="8">
        <v>1</v>
      </c>
      <c r="G321" s="128"/>
      <c r="H321" s="257" t="s">
        <v>558</v>
      </c>
      <c r="I321" s="8">
        <v>3</v>
      </c>
      <c r="J321" s="128"/>
      <c r="K321" s="257" t="s">
        <v>558</v>
      </c>
      <c r="L321" s="8">
        <v>3</v>
      </c>
      <c r="M321" s="128"/>
      <c r="N321" s="257" t="s">
        <v>558</v>
      </c>
      <c r="O321" s="8">
        <v>3</v>
      </c>
    </row>
    <row r="322" spans="1:51" x14ac:dyDescent="0.25">
      <c r="A322" s="769"/>
      <c r="B322" s="257" t="s">
        <v>557</v>
      </c>
      <c r="C322" s="8">
        <v>1</v>
      </c>
      <c r="D322" s="128"/>
      <c r="E322" s="257" t="s">
        <v>557</v>
      </c>
      <c r="F322" s="8">
        <v>2</v>
      </c>
      <c r="G322" s="128"/>
      <c r="H322" s="257" t="s">
        <v>557</v>
      </c>
      <c r="I322" s="8">
        <v>2</v>
      </c>
      <c r="J322" s="128"/>
      <c r="K322" s="257" t="s">
        <v>557</v>
      </c>
      <c r="L322" s="8">
        <v>2</v>
      </c>
      <c r="M322" s="128"/>
      <c r="N322" s="257" t="s">
        <v>557</v>
      </c>
      <c r="O322" s="8">
        <v>2</v>
      </c>
    </row>
    <row r="323" spans="1:51" x14ac:dyDescent="0.25">
      <c r="A323" s="769"/>
      <c r="B323" s="257" t="s">
        <v>556</v>
      </c>
      <c r="C323" s="8">
        <v>1</v>
      </c>
      <c r="D323" s="128"/>
      <c r="E323" s="257" t="s">
        <v>556</v>
      </c>
      <c r="F323" s="8">
        <v>2</v>
      </c>
      <c r="G323" s="128"/>
      <c r="H323" s="257" t="s">
        <v>556</v>
      </c>
      <c r="I323" s="8">
        <v>2</v>
      </c>
      <c r="J323" s="128"/>
      <c r="K323" s="257" t="s">
        <v>556</v>
      </c>
      <c r="L323" s="8">
        <v>2</v>
      </c>
      <c r="M323" s="128"/>
      <c r="N323" s="257" t="s">
        <v>556</v>
      </c>
      <c r="O323" s="8">
        <v>2</v>
      </c>
    </row>
    <row r="324" spans="1:51" x14ac:dyDescent="0.25">
      <c r="A324" s="769"/>
      <c r="B324" s="257" t="s">
        <v>555</v>
      </c>
      <c r="C324" s="8">
        <v>1</v>
      </c>
      <c r="D324" s="128"/>
      <c r="E324" s="257" t="s">
        <v>555</v>
      </c>
      <c r="F324" s="8">
        <v>1</v>
      </c>
      <c r="G324" s="128"/>
      <c r="H324" s="257" t="s">
        <v>555</v>
      </c>
      <c r="I324" s="8">
        <v>2</v>
      </c>
      <c r="J324" s="128"/>
      <c r="K324" s="257" t="s">
        <v>555</v>
      </c>
      <c r="L324" s="8">
        <v>1</v>
      </c>
      <c r="M324" s="128"/>
      <c r="N324" s="257" t="s">
        <v>555</v>
      </c>
      <c r="O324" s="8">
        <v>1</v>
      </c>
    </row>
    <row r="325" spans="1:51" x14ac:dyDescent="0.25">
      <c r="A325" s="769"/>
      <c r="B325" s="257" t="s">
        <v>554</v>
      </c>
      <c r="C325" s="8">
        <v>0</v>
      </c>
      <c r="D325" s="128"/>
      <c r="E325" s="257" t="s">
        <v>554</v>
      </c>
      <c r="F325" s="8">
        <v>0</v>
      </c>
      <c r="G325" s="128"/>
      <c r="H325" s="257" t="s">
        <v>554</v>
      </c>
      <c r="I325" s="8">
        <v>1</v>
      </c>
      <c r="J325" s="128"/>
      <c r="K325" s="257" t="s">
        <v>554</v>
      </c>
      <c r="L325" s="8">
        <v>0</v>
      </c>
      <c r="M325" s="128"/>
      <c r="N325" s="257" t="s">
        <v>554</v>
      </c>
      <c r="O325" s="8">
        <v>0</v>
      </c>
    </row>
    <row r="326" spans="1:51" x14ac:dyDescent="0.25">
      <c r="A326" s="769"/>
      <c r="B326" s="257" t="s">
        <v>553</v>
      </c>
      <c r="C326" s="8">
        <v>0</v>
      </c>
      <c r="D326" s="128"/>
      <c r="E326" s="257" t="s">
        <v>553</v>
      </c>
      <c r="F326" s="8">
        <v>0</v>
      </c>
      <c r="G326" s="128"/>
      <c r="H326" s="257" t="s">
        <v>553</v>
      </c>
      <c r="I326" s="8">
        <v>0</v>
      </c>
      <c r="J326" s="128"/>
      <c r="K326" s="257" t="s">
        <v>553</v>
      </c>
      <c r="L326" s="8">
        <v>0</v>
      </c>
      <c r="M326" s="128"/>
      <c r="N326" s="257" t="s">
        <v>553</v>
      </c>
      <c r="O326" s="8">
        <v>0</v>
      </c>
    </row>
    <row r="327" spans="1:51" ht="15.75" thickBot="1" x14ac:dyDescent="0.3">
      <c r="A327" s="770"/>
      <c r="B327" s="256" t="s">
        <v>552</v>
      </c>
      <c r="C327" s="249">
        <f>C319*((SUM(C320:C326)))</f>
        <v>5</v>
      </c>
      <c r="D327" s="248"/>
      <c r="E327" s="256" t="s">
        <v>552</v>
      </c>
      <c r="F327" s="249">
        <f>F319*((SUM(F320:F326)))</f>
        <v>7</v>
      </c>
      <c r="G327" s="248"/>
      <c r="H327" s="256" t="s">
        <v>552</v>
      </c>
      <c r="I327" s="249">
        <f>I319*((SUM(I320:I326)))</f>
        <v>12</v>
      </c>
      <c r="J327" s="248"/>
      <c r="K327" s="256" t="s">
        <v>552</v>
      </c>
      <c r="L327" s="249">
        <f>L319*((SUM(L320:L326)))</f>
        <v>9</v>
      </c>
      <c r="M327" s="248"/>
      <c r="N327" s="256" t="s">
        <v>552</v>
      </c>
      <c r="O327" s="249">
        <f>O319*((SUM(O320:O326)))</f>
        <v>9</v>
      </c>
    </row>
    <row r="328" spans="1:51" ht="36" customHeight="1" thickBot="1" x14ac:dyDescent="0.3"/>
    <row r="329" spans="1:51" ht="38.25" customHeight="1" thickBot="1" x14ac:dyDescent="0.3">
      <c r="A329" s="768">
        <v>24</v>
      </c>
      <c r="B329" s="771" t="str">
        <f>'Matriz de identificación'!AA4</f>
        <v>Transporte de residuos</v>
      </c>
      <c r="C329" s="763"/>
      <c r="D329" s="763"/>
      <c r="E329" s="763"/>
      <c r="F329" s="763"/>
      <c r="G329" s="263"/>
      <c r="H329" s="263"/>
      <c r="I329" s="264"/>
      <c r="J329" s="263"/>
      <c r="K329" s="263"/>
      <c r="L329" s="264"/>
      <c r="M329" s="263"/>
      <c r="N329" s="263"/>
      <c r="O329" s="264"/>
      <c r="P329" s="263"/>
      <c r="Q329" s="263"/>
      <c r="R329" s="264"/>
      <c r="S329" s="263"/>
      <c r="T329" s="263"/>
      <c r="U329" s="264"/>
      <c r="V329" s="263"/>
      <c r="W329" s="263"/>
      <c r="X329" s="264"/>
      <c r="AA329"/>
      <c r="AD329"/>
      <c r="AG329"/>
      <c r="AJ329"/>
      <c r="AM329"/>
      <c r="AP329"/>
      <c r="AS329"/>
      <c r="AV329"/>
      <c r="AY329"/>
    </row>
    <row r="330" spans="1:51" x14ac:dyDescent="0.25">
      <c r="A330" s="769"/>
      <c r="B330" s="255" t="s">
        <v>563</v>
      </c>
      <c r="C330" s="254" t="str">
        <f>'Matriz de identificación'!A5</f>
        <v>ATMOSFÉRICO</v>
      </c>
      <c r="D330" s="128"/>
      <c r="E330" s="255" t="s">
        <v>563</v>
      </c>
      <c r="F330" s="268" t="str">
        <f>C330</f>
        <v>ATMOSFÉRICO</v>
      </c>
      <c r="G330" s="128"/>
      <c r="H330" s="261" t="s">
        <v>563</v>
      </c>
      <c r="I330" s="266" t="str">
        <f>'Matriz de identificación'!A8</f>
        <v>GEOSFERICO</v>
      </c>
      <c r="J330" s="128"/>
      <c r="K330" s="261" t="s">
        <v>563</v>
      </c>
      <c r="L330" s="266" t="str">
        <f>'Matriz de identificación'!A29</f>
        <v>ANTROPOSFERICO</v>
      </c>
      <c r="M330" s="128"/>
      <c r="N330" s="261" t="s">
        <v>563</v>
      </c>
      <c r="O330" s="266" t="str">
        <f>L330</f>
        <v>ANTROPOSFERICO</v>
      </c>
      <c r="P330" s="128"/>
      <c r="Q330" s="261" t="s">
        <v>563</v>
      </c>
      <c r="R330" s="266" t="str">
        <f>O330</f>
        <v>ANTROPOSFERICO</v>
      </c>
      <c r="S330" s="128"/>
      <c r="T330" s="261" t="s">
        <v>563</v>
      </c>
      <c r="U330" s="266" t="str">
        <f>R330</f>
        <v>ANTROPOSFERICO</v>
      </c>
      <c r="V330" s="128"/>
      <c r="W330" s="261" t="s">
        <v>563</v>
      </c>
      <c r="X330" s="266" t="str">
        <f>U330</f>
        <v>ANTROPOSFERICO</v>
      </c>
      <c r="Z330" s="255" t="s">
        <v>563</v>
      </c>
      <c r="AA330" s="268" t="str">
        <f>'Matriz de identificación'!A8</f>
        <v>GEOSFERICO</v>
      </c>
      <c r="AD330"/>
      <c r="AG330"/>
      <c r="AJ330"/>
      <c r="AM330"/>
      <c r="AP330"/>
      <c r="AS330"/>
      <c r="AV330"/>
      <c r="AY330"/>
    </row>
    <row r="331" spans="1:51" x14ac:dyDescent="0.25">
      <c r="A331" s="769"/>
      <c r="B331" s="253" t="s">
        <v>562</v>
      </c>
      <c r="C331" s="252" t="str">
        <f>'Matriz de identificación'!B5</f>
        <v>CALIDAD DEL AIRE</v>
      </c>
      <c r="D331" s="128"/>
      <c r="E331" s="253" t="s">
        <v>562</v>
      </c>
      <c r="F331" s="267" t="str">
        <f>C331</f>
        <v>CALIDAD DEL AIRE</v>
      </c>
      <c r="G331" s="128"/>
      <c r="H331" s="259" t="s">
        <v>562</v>
      </c>
      <c r="I331" s="265" t="str">
        <f>'Matriz de identificación'!B11</f>
        <v>EDAFOLOGÍA</v>
      </c>
      <c r="J331" s="128"/>
      <c r="K331" s="259" t="s">
        <v>562</v>
      </c>
      <c r="L331" s="265" t="str">
        <f>'Matriz de identificación'!B29</f>
        <v>SOCIAL</v>
      </c>
      <c r="M331" s="128"/>
      <c r="N331" s="259" t="s">
        <v>562</v>
      </c>
      <c r="O331" s="265" t="str">
        <f>L331</f>
        <v>SOCIAL</v>
      </c>
      <c r="P331" s="128"/>
      <c r="Q331" s="259" t="s">
        <v>562</v>
      </c>
      <c r="R331" s="265" t="str">
        <f>O331</f>
        <v>SOCIAL</v>
      </c>
      <c r="S331" s="128"/>
      <c r="T331" s="259" t="s">
        <v>562</v>
      </c>
      <c r="U331" s="265" t="str">
        <f>R331</f>
        <v>SOCIAL</v>
      </c>
      <c r="V331" s="128"/>
      <c r="W331" s="259" t="s">
        <v>562</v>
      </c>
      <c r="X331" s="258" t="str">
        <f>'Matriz de identificación'!B35</f>
        <v>ECONÓMICO</v>
      </c>
      <c r="Z331" s="253" t="s">
        <v>562</v>
      </c>
      <c r="AA331" s="267" t="str">
        <f>'Matriz de identificación'!B15</f>
        <v>RECURSOS</v>
      </c>
      <c r="AD331"/>
      <c r="AG331"/>
      <c r="AJ331"/>
      <c r="AM331"/>
      <c r="AP331"/>
      <c r="AS331"/>
      <c r="AV331"/>
      <c r="AY331"/>
    </row>
    <row r="332" spans="1:51" x14ac:dyDescent="0.25">
      <c r="A332" s="769"/>
      <c r="B332" s="251" t="s">
        <v>561</v>
      </c>
      <c r="C332" s="231" t="str">
        <f>'Matriz de identificación'!C5</f>
        <v>Emisiones de ruido</v>
      </c>
      <c r="D332" s="128"/>
      <c r="E332" s="251" t="s">
        <v>561</v>
      </c>
      <c r="F332" s="231" t="str">
        <f>'Matriz de identificación'!C6</f>
        <v>Emisiones de gases</v>
      </c>
      <c r="G332" s="128"/>
      <c r="H332" s="257" t="s">
        <v>561</v>
      </c>
      <c r="I332" s="8" t="str">
        <f>'Matriz de identificación'!C13</f>
        <v>Usos</v>
      </c>
      <c r="J332" s="128"/>
      <c r="K332" s="257" t="s">
        <v>561</v>
      </c>
      <c r="L332" s="8" t="str">
        <f>'Matriz de identificación'!C30</f>
        <v>Empleo</v>
      </c>
      <c r="M332" s="128"/>
      <c r="N332" s="257" t="s">
        <v>561</v>
      </c>
      <c r="O332" s="8" t="str">
        <f>'Matriz de identificación'!C31</f>
        <v>Organización</v>
      </c>
      <c r="P332" s="128"/>
      <c r="Q332" s="257" t="s">
        <v>561</v>
      </c>
      <c r="R332" s="8" t="str">
        <f>'Matriz de identificación'!C32</f>
        <v>Presencia del Estado</v>
      </c>
      <c r="S332" s="128"/>
      <c r="T332" s="257" t="s">
        <v>561</v>
      </c>
      <c r="U332" s="8" t="str">
        <f>'Matriz de identificación'!C33</f>
        <v>Servicios</v>
      </c>
      <c r="V332" s="128"/>
      <c r="W332" s="257" t="s">
        <v>561</v>
      </c>
      <c r="X332" s="8" t="str">
        <f>'Matriz de identificación'!C35</f>
        <v>Estructura comercial</v>
      </c>
      <c r="Z332" s="251" t="s">
        <v>561</v>
      </c>
      <c r="AA332" s="231" t="str">
        <f>'Matriz de identificación'!C15</f>
        <v>Disponibilidad</v>
      </c>
      <c r="AD332"/>
      <c r="AG332"/>
      <c r="AJ332"/>
      <c r="AM332"/>
      <c r="AP332"/>
      <c r="AS332"/>
      <c r="AV332"/>
      <c r="AY332"/>
    </row>
    <row r="333" spans="1:51" x14ac:dyDescent="0.25">
      <c r="A333" s="769"/>
      <c r="B333" s="251" t="s">
        <v>560</v>
      </c>
      <c r="C333" s="231">
        <v>-1</v>
      </c>
      <c r="D333" s="128"/>
      <c r="E333" s="251" t="s">
        <v>560</v>
      </c>
      <c r="F333" s="231">
        <v>-1</v>
      </c>
      <c r="G333" s="128"/>
      <c r="H333" s="257" t="s">
        <v>560</v>
      </c>
      <c r="I333" s="8">
        <v>-1</v>
      </c>
      <c r="J333" s="128"/>
      <c r="K333" s="257" t="s">
        <v>560</v>
      </c>
      <c r="L333" s="8">
        <v>1</v>
      </c>
      <c r="M333" s="128"/>
      <c r="N333" s="257" t="s">
        <v>560</v>
      </c>
      <c r="O333" s="8">
        <v>1</v>
      </c>
      <c r="P333" s="128"/>
      <c r="Q333" s="257" t="s">
        <v>560</v>
      </c>
      <c r="R333" s="8">
        <v>1</v>
      </c>
      <c r="S333" s="128"/>
      <c r="T333" s="257" t="s">
        <v>560</v>
      </c>
      <c r="U333" s="8">
        <v>1</v>
      </c>
      <c r="V333" s="128"/>
      <c r="W333" s="257" t="s">
        <v>560</v>
      </c>
      <c r="X333" s="8">
        <v>1</v>
      </c>
      <c r="Z333" s="251" t="s">
        <v>560</v>
      </c>
      <c r="AA333" s="231">
        <v>-1</v>
      </c>
      <c r="AD333"/>
      <c r="AG333"/>
      <c r="AJ333"/>
      <c r="AM333"/>
      <c r="AP333"/>
      <c r="AS333"/>
      <c r="AV333"/>
      <c r="AY333"/>
    </row>
    <row r="334" spans="1:51" x14ac:dyDescent="0.25">
      <c r="A334" s="769"/>
      <c r="B334" s="251" t="s">
        <v>559</v>
      </c>
      <c r="C334" s="231">
        <v>2</v>
      </c>
      <c r="D334" s="128"/>
      <c r="E334" s="251" t="s">
        <v>559</v>
      </c>
      <c r="F334" s="231">
        <v>2</v>
      </c>
      <c r="G334" s="128"/>
      <c r="H334" s="257" t="s">
        <v>559</v>
      </c>
      <c r="I334" s="8">
        <v>2</v>
      </c>
      <c r="J334" s="128"/>
      <c r="K334" s="257" t="s">
        <v>559</v>
      </c>
      <c r="L334" s="8">
        <v>1</v>
      </c>
      <c r="M334" s="128"/>
      <c r="N334" s="257" t="s">
        <v>559</v>
      </c>
      <c r="O334" s="8">
        <v>1</v>
      </c>
      <c r="P334" s="128"/>
      <c r="Q334" s="257" t="s">
        <v>559</v>
      </c>
      <c r="R334" s="8">
        <v>2</v>
      </c>
      <c r="S334" s="128"/>
      <c r="T334" s="257" t="s">
        <v>559</v>
      </c>
      <c r="U334" s="8">
        <v>2</v>
      </c>
      <c r="V334" s="128"/>
      <c r="W334" s="257" t="s">
        <v>559</v>
      </c>
      <c r="X334" s="8">
        <v>2</v>
      </c>
      <c r="Z334" s="251" t="s">
        <v>559</v>
      </c>
      <c r="AA334" s="231">
        <v>2</v>
      </c>
      <c r="AD334"/>
      <c r="AG334"/>
      <c r="AJ334"/>
      <c r="AM334"/>
      <c r="AP334"/>
      <c r="AS334"/>
      <c r="AV334"/>
      <c r="AY334"/>
    </row>
    <row r="335" spans="1:51" x14ac:dyDescent="0.25">
      <c r="A335" s="769"/>
      <c r="B335" s="251" t="s">
        <v>558</v>
      </c>
      <c r="C335" s="231">
        <v>3</v>
      </c>
      <c r="D335" s="128"/>
      <c r="E335" s="251" t="s">
        <v>558</v>
      </c>
      <c r="F335" s="231">
        <v>3</v>
      </c>
      <c r="G335" s="128"/>
      <c r="H335" s="257" t="s">
        <v>558</v>
      </c>
      <c r="I335" s="8">
        <v>3</v>
      </c>
      <c r="J335" s="128"/>
      <c r="K335" s="257" t="s">
        <v>558</v>
      </c>
      <c r="L335" s="8">
        <v>3</v>
      </c>
      <c r="M335" s="128"/>
      <c r="N335" s="257" t="s">
        <v>558</v>
      </c>
      <c r="O335" s="8">
        <v>1</v>
      </c>
      <c r="P335" s="128"/>
      <c r="Q335" s="257" t="s">
        <v>558</v>
      </c>
      <c r="R335" s="8">
        <v>3</v>
      </c>
      <c r="S335" s="128"/>
      <c r="T335" s="257" t="s">
        <v>558</v>
      </c>
      <c r="U335" s="8">
        <v>3</v>
      </c>
      <c r="V335" s="128"/>
      <c r="W335" s="257" t="s">
        <v>558</v>
      </c>
      <c r="X335" s="8">
        <v>3</v>
      </c>
      <c r="Z335" s="251" t="s">
        <v>558</v>
      </c>
      <c r="AA335" s="231">
        <v>3</v>
      </c>
      <c r="AD335"/>
      <c r="AG335"/>
      <c r="AJ335"/>
      <c r="AM335"/>
      <c r="AP335"/>
      <c r="AS335"/>
      <c r="AV335"/>
      <c r="AY335"/>
    </row>
    <row r="336" spans="1:51" x14ac:dyDescent="0.25">
      <c r="A336" s="769"/>
      <c r="B336" s="251" t="s">
        <v>557</v>
      </c>
      <c r="C336" s="231">
        <v>1</v>
      </c>
      <c r="D336" s="128"/>
      <c r="E336" s="251" t="s">
        <v>557</v>
      </c>
      <c r="F336" s="231">
        <v>1</v>
      </c>
      <c r="G336" s="128"/>
      <c r="H336" s="257" t="s">
        <v>557</v>
      </c>
      <c r="I336" s="8">
        <v>2</v>
      </c>
      <c r="J336" s="128"/>
      <c r="K336" s="257" t="s">
        <v>557</v>
      </c>
      <c r="L336" s="8">
        <v>1</v>
      </c>
      <c r="M336" s="128"/>
      <c r="N336" s="257" t="s">
        <v>557</v>
      </c>
      <c r="O336" s="8">
        <v>2</v>
      </c>
      <c r="P336" s="128"/>
      <c r="Q336" s="257" t="s">
        <v>557</v>
      </c>
      <c r="R336" s="8">
        <v>2</v>
      </c>
      <c r="S336" s="128"/>
      <c r="T336" s="257" t="s">
        <v>557</v>
      </c>
      <c r="U336" s="8">
        <v>2</v>
      </c>
      <c r="V336" s="128"/>
      <c r="W336" s="257" t="s">
        <v>557</v>
      </c>
      <c r="X336" s="8">
        <v>2</v>
      </c>
      <c r="Z336" s="251" t="s">
        <v>557</v>
      </c>
      <c r="AA336" s="231">
        <v>2</v>
      </c>
      <c r="AD336"/>
      <c r="AG336"/>
      <c r="AJ336"/>
      <c r="AM336"/>
      <c r="AP336"/>
      <c r="AS336"/>
      <c r="AV336"/>
      <c r="AY336"/>
    </row>
    <row r="337" spans="1:51" x14ac:dyDescent="0.25">
      <c r="A337" s="769"/>
      <c r="B337" s="251" t="s">
        <v>556</v>
      </c>
      <c r="C337" s="231">
        <v>1</v>
      </c>
      <c r="D337" s="128"/>
      <c r="E337" s="251" t="s">
        <v>556</v>
      </c>
      <c r="F337" s="231">
        <v>2</v>
      </c>
      <c r="G337" s="128"/>
      <c r="H337" s="257" t="s">
        <v>556</v>
      </c>
      <c r="I337" s="8">
        <v>3</v>
      </c>
      <c r="J337" s="128"/>
      <c r="K337" s="257" t="s">
        <v>556</v>
      </c>
      <c r="L337" s="8">
        <v>1</v>
      </c>
      <c r="M337" s="128"/>
      <c r="N337" s="257" t="s">
        <v>556</v>
      </c>
      <c r="O337" s="8">
        <v>2</v>
      </c>
      <c r="P337" s="128"/>
      <c r="Q337" s="257" t="s">
        <v>556</v>
      </c>
      <c r="R337" s="8">
        <v>2</v>
      </c>
      <c r="S337" s="128"/>
      <c r="T337" s="257" t="s">
        <v>556</v>
      </c>
      <c r="U337" s="8">
        <v>2</v>
      </c>
      <c r="V337" s="128"/>
      <c r="W337" s="257" t="s">
        <v>556</v>
      </c>
      <c r="X337" s="8">
        <v>2</v>
      </c>
      <c r="Z337" s="251" t="s">
        <v>556</v>
      </c>
      <c r="AA337" s="231">
        <v>2</v>
      </c>
      <c r="AD337"/>
      <c r="AG337"/>
      <c r="AJ337"/>
      <c r="AM337"/>
      <c r="AP337"/>
      <c r="AS337"/>
      <c r="AV337"/>
      <c r="AY337"/>
    </row>
    <row r="338" spans="1:51" x14ac:dyDescent="0.25">
      <c r="A338" s="769"/>
      <c r="B338" s="251" t="s">
        <v>555</v>
      </c>
      <c r="C338" s="231">
        <v>1</v>
      </c>
      <c r="D338" s="128"/>
      <c r="E338" s="251" t="s">
        <v>555</v>
      </c>
      <c r="F338" s="231">
        <v>1</v>
      </c>
      <c r="G338" s="128"/>
      <c r="H338" s="257" t="s">
        <v>555</v>
      </c>
      <c r="I338" s="8">
        <v>1</v>
      </c>
      <c r="J338" s="128"/>
      <c r="K338" s="257" t="s">
        <v>555</v>
      </c>
      <c r="L338" s="8">
        <v>1</v>
      </c>
      <c r="M338" s="128"/>
      <c r="N338" s="257" t="s">
        <v>555</v>
      </c>
      <c r="O338" s="8">
        <v>1</v>
      </c>
      <c r="P338" s="128"/>
      <c r="Q338" s="257" t="s">
        <v>555</v>
      </c>
      <c r="R338" s="8">
        <v>1</v>
      </c>
      <c r="S338" s="128"/>
      <c r="T338" s="257" t="s">
        <v>555</v>
      </c>
      <c r="U338" s="8">
        <v>1</v>
      </c>
      <c r="V338" s="128"/>
      <c r="W338" s="257" t="s">
        <v>555</v>
      </c>
      <c r="X338" s="8">
        <v>1</v>
      </c>
      <c r="Z338" s="251" t="s">
        <v>555</v>
      </c>
      <c r="AA338" s="231">
        <v>2</v>
      </c>
      <c r="AD338"/>
      <c r="AG338"/>
      <c r="AJ338"/>
      <c r="AM338"/>
      <c r="AP338"/>
      <c r="AS338"/>
      <c r="AV338"/>
      <c r="AY338"/>
    </row>
    <row r="339" spans="1:51" x14ac:dyDescent="0.25">
      <c r="A339" s="769"/>
      <c r="B339" s="251" t="s">
        <v>554</v>
      </c>
      <c r="C339" s="231">
        <v>1</v>
      </c>
      <c r="D339" s="128"/>
      <c r="E339" s="251" t="s">
        <v>554</v>
      </c>
      <c r="F339" s="231">
        <v>1</v>
      </c>
      <c r="G339" s="128"/>
      <c r="H339" s="257" t="s">
        <v>554</v>
      </c>
      <c r="I339" s="8">
        <v>1</v>
      </c>
      <c r="J339" s="128"/>
      <c r="K339" s="257" t="s">
        <v>554</v>
      </c>
      <c r="L339" s="8">
        <v>0</v>
      </c>
      <c r="M339" s="128"/>
      <c r="N339" s="257" t="s">
        <v>554</v>
      </c>
      <c r="O339" s="8">
        <v>0</v>
      </c>
      <c r="P339" s="128"/>
      <c r="Q339" s="257" t="s">
        <v>554</v>
      </c>
      <c r="R339" s="8">
        <v>0</v>
      </c>
      <c r="S339" s="128"/>
      <c r="T339" s="257" t="s">
        <v>554</v>
      </c>
      <c r="U339" s="8">
        <v>0</v>
      </c>
      <c r="V339" s="128"/>
      <c r="W339" s="257" t="s">
        <v>554</v>
      </c>
      <c r="X339" s="8">
        <v>0</v>
      </c>
      <c r="Z339" s="251" t="s">
        <v>554</v>
      </c>
      <c r="AA339" s="231">
        <v>2</v>
      </c>
      <c r="AD339"/>
      <c r="AG339"/>
      <c r="AJ339"/>
      <c r="AM339"/>
      <c r="AP339"/>
      <c r="AS339"/>
      <c r="AV339"/>
      <c r="AY339"/>
    </row>
    <row r="340" spans="1:51" x14ac:dyDescent="0.25">
      <c r="A340" s="769"/>
      <c r="B340" s="251" t="s">
        <v>553</v>
      </c>
      <c r="C340" s="231">
        <v>1</v>
      </c>
      <c r="D340" s="128"/>
      <c r="E340" s="251" t="s">
        <v>553</v>
      </c>
      <c r="F340" s="231">
        <v>1</v>
      </c>
      <c r="G340" s="128"/>
      <c r="H340" s="257" t="s">
        <v>553</v>
      </c>
      <c r="I340" s="8">
        <v>2</v>
      </c>
      <c r="J340" s="128"/>
      <c r="K340" s="257" t="s">
        <v>553</v>
      </c>
      <c r="L340" s="8">
        <v>0</v>
      </c>
      <c r="M340" s="128"/>
      <c r="N340" s="257" t="s">
        <v>553</v>
      </c>
      <c r="O340" s="8">
        <v>0</v>
      </c>
      <c r="P340" s="128"/>
      <c r="Q340" s="257" t="s">
        <v>553</v>
      </c>
      <c r="R340" s="8">
        <v>0</v>
      </c>
      <c r="S340" s="128"/>
      <c r="T340" s="257" t="s">
        <v>553</v>
      </c>
      <c r="U340" s="8">
        <v>0</v>
      </c>
      <c r="V340" s="128"/>
      <c r="W340" s="257" t="s">
        <v>553</v>
      </c>
      <c r="X340" s="8">
        <v>0</v>
      </c>
      <c r="Z340" s="251" t="s">
        <v>553</v>
      </c>
      <c r="AA340" s="231">
        <v>2</v>
      </c>
      <c r="AD340"/>
      <c r="AG340"/>
      <c r="AJ340"/>
      <c r="AM340"/>
      <c r="AP340"/>
      <c r="AS340"/>
      <c r="AV340"/>
      <c r="AY340"/>
    </row>
    <row r="341" spans="1:51" ht="15.75" thickBot="1" x14ac:dyDescent="0.3">
      <c r="A341" s="770"/>
      <c r="B341" s="250" t="s">
        <v>552</v>
      </c>
      <c r="C341" s="249">
        <f>C333*((SUM(C334:C340)))</f>
        <v>-10</v>
      </c>
      <c r="D341" s="248"/>
      <c r="E341" s="250" t="s">
        <v>552</v>
      </c>
      <c r="F341" s="249">
        <f>F333*((SUM(F334:F340)))</f>
        <v>-11</v>
      </c>
      <c r="G341" s="248"/>
      <c r="H341" s="256" t="s">
        <v>552</v>
      </c>
      <c r="I341" s="249">
        <f>I333*((SUM(I334:I340)))</f>
        <v>-14</v>
      </c>
      <c r="J341" s="248"/>
      <c r="K341" s="256" t="s">
        <v>552</v>
      </c>
      <c r="L341" s="249">
        <f>L333*((SUM(L334:L340)))</f>
        <v>7</v>
      </c>
      <c r="M341" s="248"/>
      <c r="N341" s="256" t="s">
        <v>552</v>
      </c>
      <c r="O341" s="249">
        <f>O333*((SUM(O334:O340)))</f>
        <v>7</v>
      </c>
      <c r="P341" s="248"/>
      <c r="Q341" s="256" t="s">
        <v>552</v>
      </c>
      <c r="R341" s="249">
        <f>R333*((SUM(R334:R340)))</f>
        <v>10</v>
      </c>
      <c r="S341" s="248"/>
      <c r="T341" s="256" t="s">
        <v>552</v>
      </c>
      <c r="U341" s="249">
        <f>U333*((SUM(U334:U340)))</f>
        <v>10</v>
      </c>
      <c r="V341" s="248"/>
      <c r="W341" s="256" t="s">
        <v>552</v>
      </c>
      <c r="X341" s="249">
        <f>X333*((SUM(X334:X340)))</f>
        <v>10</v>
      </c>
      <c r="Z341" s="250" t="s">
        <v>552</v>
      </c>
      <c r="AA341" s="249">
        <f>AA333*((SUM(AA334:AA340)))</f>
        <v>-15</v>
      </c>
      <c r="AD341"/>
      <c r="AG341"/>
      <c r="AJ341"/>
      <c r="AM341"/>
      <c r="AP341"/>
      <c r="AS341"/>
      <c r="AV341"/>
      <c r="AY341"/>
    </row>
  </sheetData>
  <mergeCells count="50">
    <mergeCell ref="B301:F301"/>
    <mergeCell ref="A315:A327"/>
    <mergeCell ref="B315:F315"/>
    <mergeCell ref="A329:A341"/>
    <mergeCell ref="B329:F329"/>
    <mergeCell ref="A301:A313"/>
    <mergeCell ref="B259:F259"/>
    <mergeCell ref="A273:A285"/>
    <mergeCell ref="B273:F273"/>
    <mergeCell ref="A287:A299"/>
    <mergeCell ref="B287:F287"/>
    <mergeCell ref="A259:A271"/>
    <mergeCell ref="B217:F217"/>
    <mergeCell ref="A231:A243"/>
    <mergeCell ref="B231:F231"/>
    <mergeCell ref="A245:A257"/>
    <mergeCell ref="B245:F245"/>
    <mergeCell ref="A217:A229"/>
    <mergeCell ref="A175:A187"/>
    <mergeCell ref="B175:F175"/>
    <mergeCell ref="A189:A201"/>
    <mergeCell ref="B189:F189"/>
    <mergeCell ref="A203:A215"/>
    <mergeCell ref="B203:F203"/>
    <mergeCell ref="A133:A145"/>
    <mergeCell ref="B133:F133"/>
    <mergeCell ref="A147:A159"/>
    <mergeCell ref="B147:F147"/>
    <mergeCell ref="A161:A173"/>
    <mergeCell ref="B161:F161"/>
    <mergeCell ref="A91:A103"/>
    <mergeCell ref="B91:F91"/>
    <mergeCell ref="A105:A117"/>
    <mergeCell ref="B105:F105"/>
    <mergeCell ref="A119:A131"/>
    <mergeCell ref="B119:F119"/>
    <mergeCell ref="B49:F49"/>
    <mergeCell ref="A49:A61"/>
    <mergeCell ref="B63:F63"/>
    <mergeCell ref="A63:A75"/>
    <mergeCell ref="B77:F77"/>
    <mergeCell ref="A77:A89"/>
    <mergeCell ref="A35:A47"/>
    <mergeCell ref="B35:F35"/>
    <mergeCell ref="B2:D2"/>
    <mergeCell ref="B4:F4"/>
    <mergeCell ref="A6:A18"/>
    <mergeCell ref="B6:F6"/>
    <mergeCell ref="A20:A32"/>
    <mergeCell ref="B20:F20"/>
  </mergeCells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2F0FD-9151-4AA3-ABD4-DFD43A25E16A}">
  <sheetPr>
    <tabColor rgb="FF00B050"/>
  </sheetPr>
  <dimension ref="A1:AI50"/>
  <sheetViews>
    <sheetView zoomScale="44" zoomScaleNormal="44" workbookViewId="0">
      <selection activeCell="AG29" sqref="AG29:AG31"/>
    </sheetView>
  </sheetViews>
  <sheetFormatPr baseColWidth="10" defaultColWidth="11.42578125" defaultRowHeight="15" x14ac:dyDescent="0.25"/>
  <cols>
    <col min="1" max="1" width="25.5703125" customWidth="1"/>
    <col min="2" max="2" width="19.140625" customWidth="1"/>
    <col min="3" max="3" width="26.140625" customWidth="1"/>
    <col min="14" max="14" width="13.5703125" bestFit="1" customWidth="1"/>
  </cols>
  <sheetData>
    <row r="1" spans="1:35" ht="19.5" thickBot="1" x14ac:dyDescent="0.3">
      <c r="A1" s="731"/>
      <c r="B1" s="732"/>
      <c r="C1" s="733"/>
      <c r="D1" s="720" t="s">
        <v>546</v>
      </c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2"/>
      <c r="AB1" s="327"/>
      <c r="AC1" s="327"/>
      <c r="AD1" s="327"/>
      <c r="AE1" s="327"/>
      <c r="AF1" s="327"/>
      <c r="AG1" s="327"/>
      <c r="AH1" s="327"/>
      <c r="AI1" s="327"/>
    </row>
    <row r="2" spans="1:35" ht="28.5" customHeight="1" thickBot="1" x14ac:dyDescent="0.3">
      <c r="A2" s="734"/>
      <c r="B2" s="735"/>
      <c r="C2" s="736"/>
      <c r="D2" s="714" t="s">
        <v>573</v>
      </c>
      <c r="E2" s="715"/>
      <c r="F2" s="719" t="s">
        <v>574</v>
      </c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5"/>
      <c r="W2" s="719" t="s">
        <v>575</v>
      </c>
      <c r="X2" s="715"/>
      <c r="Y2" s="719" t="s">
        <v>576</v>
      </c>
      <c r="Z2" s="719"/>
      <c r="AA2" s="715"/>
      <c r="AB2" s="327"/>
      <c r="AC2" s="327"/>
      <c r="AD2" s="327"/>
      <c r="AE2" s="327"/>
      <c r="AF2" s="327"/>
      <c r="AG2" s="327"/>
      <c r="AH2" s="327"/>
      <c r="AI2" s="327"/>
    </row>
    <row r="3" spans="1:35" ht="15.75" customHeight="1" thickBot="1" x14ac:dyDescent="0.3">
      <c r="A3" s="737"/>
      <c r="B3" s="738"/>
      <c r="C3" s="739"/>
      <c r="D3" s="348">
        <v>1</v>
      </c>
      <c r="E3" s="374">
        <v>2</v>
      </c>
      <c r="F3" s="373">
        <v>3</v>
      </c>
      <c r="G3" s="349">
        <v>4</v>
      </c>
      <c r="H3" s="349">
        <v>5</v>
      </c>
      <c r="I3" s="349">
        <v>6</v>
      </c>
      <c r="J3" s="349">
        <v>7</v>
      </c>
      <c r="K3" s="349">
        <v>8</v>
      </c>
      <c r="L3" s="349">
        <v>9</v>
      </c>
      <c r="M3" s="349">
        <v>10</v>
      </c>
      <c r="N3" s="349">
        <v>11</v>
      </c>
      <c r="O3" s="349">
        <v>12</v>
      </c>
      <c r="P3" s="349">
        <v>13</v>
      </c>
      <c r="Q3" s="349">
        <v>14</v>
      </c>
      <c r="R3" s="349">
        <v>15</v>
      </c>
      <c r="S3" s="349">
        <v>16</v>
      </c>
      <c r="T3" s="349">
        <v>17</v>
      </c>
      <c r="U3" s="349">
        <v>18</v>
      </c>
      <c r="V3" s="374">
        <v>19</v>
      </c>
      <c r="W3" s="373">
        <v>20</v>
      </c>
      <c r="X3" s="374">
        <v>21</v>
      </c>
      <c r="Y3" s="373">
        <v>22</v>
      </c>
      <c r="Z3" s="349">
        <v>23</v>
      </c>
      <c r="AA3" s="374">
        <v>24</v>
      </c>
      <c r="AB3" s="327"/>
      <c r="AC3" s="327"/>
      <c r="AD3" s="327"/>
      <c r="AE3" s="327"/>
      <c r="AF3" s="327"/>
      <c r="AG3" s="327"/>
      <c r="AH3" s="327"/>
      <c r="AI3" s="327"/>
    </row>
    <row r="4" spans="1:35" ht="154.5" customHeight="1" thickBot="1" x14ac:dyDescent="0.3">
      <c r="A4" s="361" t="s">
        <v>545</v>
      </c>
      <c r="B4" s="351" t="s">
        <v>544</v>
      </c>
      <c r="C4" s="351" t="s">
        <v>543</v>
      </c>
      <c r="D4" s="399" t="s">
        <v>502</v>
      </c>
      <c r="E4" s="397" t="s">
        <v>565</v>
      </c>
      <c r="F4" s="395" t="s">
        <v>566</v>
      </c>
      <c r="G4" s="396" t="s">
        <v>567</v>
      </c>
      <c r="H4" s="396" t="s">
        <v>423</v>
      </c>
      <c r="I4" s="396" t="s">
        <v>441</v>
      </c>
      <c r="J4" s="396" t="s">
        <v>442</v>
      </c>
      <c r="K4" s="396" t="s">
        <v>421</v>
      </c>
      <c r="L4" s="396" t="s">
        <v>474</v>
      </c>
      <c r="M4" s="396" t="s">
        <v>568</v>
      </c>
      <c r="N4" s="396" t="s">
        <v>422</v>
      </c>
      <c r="O4" s="396" t="s">
        <v>569</v>
      </c>
      <c r="P4" s="396" t="s">
        <v>583</v>
      </c>
      <c r="Q4" s="396" t="s">
        <v>443</v>
      </c>
      <c r="R4" s="396" t="s">
        <v>570</v>
      </c>
      <c r="S4" s="396" t="s">
        <v>584</v>
      </c>
      <c r="T4" s="396" t="s">
        <v>503</v>
      </c>
      <c r="U4" s="396" t="s">
        <v>446</v>
      </c>
      <c r="V4" s="397" t="s">
        <v>447</v>
      </c>
      <c r="W4" s="395" t="s">
        <v>504</v>
      </c>
      <c r="X4" s="397" t="s">
        <v>505</v>
      </c>
      <c r="Y4" s="395" t="s">
        <v>577</v>
      </c>
      <c r="Z4" s="396" t="s">
        <v>571</v>
      </c>
      <c r="AA4" s="397" t="s">
        <v>572</v>
      </c>
      <c r="AB4" s="327"/>
      <c r="AC4" s="327"/>
      <c r="AD4" s="420" t="s">
        <v>551</v>
      </c>
      <c r="AE4" s="421" t="s">
        <v>547</v>
      </c>
      <c r="AF4" s="327"/>
      <c r="AG4" s="420" t="s">
        <v>550</v>
      </c>
      <c r="AH4" s="421" t="s">
        <v>547</v>
      </c>
      <c r="AI4" s="327"/>
    </row>
    <row r="5" spans="1:35" ht="17.100000000000001" customHeight="1" x14ac:dyDescent="0.25">
      <c r="A5" s="800" t="s">
        <v>757</v>
      </c>
      <c r="B5" s="779" t="s">
        <v>542</v>
      </c>
      <c r="C5" s="240" t="s">
        <v>578</v>
      </c>
      <c r="D5" s="238"/>
      <c r="E5" s="356"/>
      <c r="F5" s="366"/>
      <c r="G5" s="237"/>
      <c r="H5" s="237"/>
      <c r="I5" s="237"/>
      <c r="J5" s="237"/>
      <c r="K5" s="247">
        <f>'Calificación de la actividad'!C117</f>
        <v>-9</v>
      </c>
      <c r="L5" s="239"/>
      <c r="M5" s="247">
        <f>'Calificación de la actividad'!C145</f>
        <v>-9</v>
      </c>
      <c r="N5" s="247">
        <f>'Calificación de la actividad'!C159</f>
        <v>-9</v>
      </c>
      <c r="O5" s="237"/>
      <c r="P5" s="247">
        <f>'Calificación de la actividad'!C187</f>
        <v>-7</v>
      </c>
      <c r="Q5" s="247">
        <f>'Calificación de la actividad'!C201</f>
        <v>-10</v>
      </c>
      <c r="R5" s="237"/>
      <c r="S5" s="237"/>
      <c r="T5" s="237"/>
      <c r="U5" s="237"/>
      <c r="V5" s="356"/>
      <c r="W5" s="401">
        <f>'Calificación de la actividad'!C285</f>
        <v>-7</v>
      </c>
      <c r="X5" s="356"/>
      <c r="Y5" s="401">
        <f>'Calificación de la actividad'!C313</f>
        <v>-6</v>
      </c>
      <c r="Z5" s="237"/>
      <c r="AA5" s="383">
        <f>'Calificación de la actividad'!C341</f>
        <v>-10</v>
      </c>
      <c r="AB5" s="378">
        <f>SUM(D5:AA5)</f>
        <v>-67</v>
      </c>
      <c r="AC5" s="327"/>
      <c r="AD5" s="418">
        <f t="shared" ref="AD5:AD36" si="0">SUMIFS(D5:AA5,D5:AA5,"&gt;0")</f>
        <v>0</v>
      </c>
      <c r="AE5" s="419">
        <f>AD5/(AD5+(-1*(AG5)))</f>
        <v>0</v>
      </c>
      <c r="AF5" s="512"/>
      <c r="AG5" s="418">
        <f t="shared" ref="AG5:AG28" si="1">SUMIFS(D5:AA5,D5:AA5,"&lt; 0")</f>
        <v>-67</v>
      </c>
      <c r="AH5" s="422">
        <f t="shared" ref="AH5:AH13" si="2">(-1*AG5)/(AD5+(-1*AG5))</f>
        <v>1</v>
      </c>
      <c r="AI5" s="327"/>
    </row>
    <row r="6" spans="1:35" ht="17.100000000000001" customHeight="1" x14ac:dyDescent="0.25">
      <c r="A6" s="790"/>
      <c r="B6" s="780"/>
      <c r="C6" s="372" t="s">
        <v>579</v>
      </c>
      <c r="D6" s="376"/>
      <c r="E6" s="357"/>
      <c r="F6" s="367"/>
      <c r="G6" s="354"/>
      <c r="H6" s="354"/>
      <c r="I6" s="354"/>
      <c r="J6" s="354"/>
      <c r="K6" s="382">
        <f>'Calificación de la actividad'!F117</f>
        <v>-16</v>
      </c>
      <c r="L6" s="355"/>
      <c r="M6" s="382">
        <f>'Calificación de la actividad'!F145</f>
        <v>-16</v>
      </c>
      <c r="N6" s="382">
        <f>'Calificación de la actividad'!F159</f>
        <v>-16</v>
      </c>
      <c r="O6" s="354"/>
      <c r="P6" s="382">
        <f>'Calificación de la actividad'!F187</f>
        <v>-12</v>
      </c>
      <c r="Q6" s="382">
        <f>'Calificación de la actividad'!F201</f>
        <v>-8</v>
      </c>
      <c r="R6" s="354"/>
      <c r="S6" s="354"/>
      <c r="T6" s="354"/>
      <c r="U6" s="354"/>
      <c r="V6" s="357"/>
      <c r="W6" s="402">
        <f>'Calificación de la actividad'!F285</f>
        <v>-5</v>
      </c>
      <c r="X6" s="357"/>
      <c r="Y6" s="402">
        <f>'Calificación de la actividad'!F313</f>
        <v>-7</v>
      </c>
      <c r="Z6" s="354"/>
      <c r="AA6" s="384">
        <f>'Calificación de la actividad'!F341</f>
        <v>-11</v>
      </c>
      <c r="AB6" s="379">
        <f>SUM(D6:AA6)</f>
        <v>-91</v>
      </c>
      <c r="AC6" s="327"/>
      <c r="AD6" s="413">
        <f t="shared" si="0"/>
        <v>0</v>
      </c>
      <c r="AE6" s="414">
        <v>0</v>
      </c>
      <c r="AF6" s="512"/>
      <c r="AG6" s="413">
        <f t="shared" si="1"/>
        <v>-91</v>
      </c>
      <c r="AH6" s="416">
        <f t="shared" si="2"/>
        <v>1</v>
      </c>
      <c r="AI6" s="327"/>
    </row>
    <row r="7" spans="1:35" s="235" customFormat="1" ht="29.25" customHeight="1" thickBot="1" x14ac:dyDescent="0.3">
      <c r="A7" s="791"/>
      <c r="B7" s="236" t="s">
        <v>759</v>
      </c>
      <c r="C7" s="236" t="s">
        <v>756</v>
      </c>
      <c r="D7" s="377"/>
      <c r="E7" s="359"/>
      <c r="F7" s="36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9"/>
      <c r="W7" s="368"/>
      <c r="X7" s="359"/>
      <c r="Y7" s="368"/>
      <c r="Z7" s="358"/>
      <c r="AA7" s="359"/>
      <c r="AB7" s="379">
        <f t="shared" ref="AB7:AB37" si="3">SUM(D7:AA7)</f>
        <v>0</v>
      </c>
      <c r="AC7" s="515"/>
      <c r="AD7" s="413">
        <f t="shared" si="0"/>
        <v>0</v>
      </c>
      <c r="AE7" s="414">
        <v>0</v>
      </c>
      <c r="AF7" s="512"/>
      <c r="AG7" s="413">
        <f t="shared" si="1"/>
        <v>0</v>
      </c>
      <c r="AH7" s="414">
        <v>0</v>
      </c>
      <c r="AI7" s="515"/>
    </row>
    <row r="8" spans="1:35" x14ac:dyDescent="0.25">
      <c r="A8" s="797" t="s">
        <v>540</v>
      </c>
      <c r="B8" s="799" t="s">
        <v>539</v>
      </c>
      <c r="C8" s="344" t="s">
        <v>538</v>
      </c>
      <c r="D8" s="230"/>
      <c r="E8" s="360"/>
      <c r="F8" s="369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60"/>
      <c r="W8" s="369"/>
      <c r="X8" s="360"/>
      <c r="Y8" s="369"/>
      <c r="Z8" s="347"/>
      <c r="AA8" s="360"/>
      <c r="AB8" s="379">
        <f t="shared" si="3"/>
        <v>0</v>
      </c>
      <c r="AC8" s="327"/>
      <c r="AD8" s="413">
        <f t="shared" si="0"/>
        <v>0</v>
      </c>
      <c r="AE8" s="414">
        <v>0</v>
      </c>
      <c r="AF8" s="512"/>
      <c r="AG8" s="413">
        <f t="shared" si="1"/>
        <v>0</v>
      </c>
      <c r="AH8" s="414">
        <v>0</v>
      </c>
      <c r="AI8" s="327"/>
    </row>
    <row r="9" spans="1:35" x14ac:dyDescent="0.25">
      <c r="A9" s="797"/>
      <c r="B9" s="796"/>
      <c r="C9" s="234" t="s">
        <v>537</v>
      </c>
      <c r="D9" s="233"/>
      <c r="E9" s="231"/>
      <c r="F9" s="370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1"/>
      <c r="W9" s="370"/>
      <c r="X9" s="231"/>
      <c r="Y9" s="370"/>
      <c r="Z9" s="232"/>
      <c r="AA9" s="231"/>
      <c r="AB9" s="379">
        <f t="shared" si="3"/>
        <v>0</v>
      </c>
      <c r="AC9" s="327"/>
      <c r="AD9" s="413">
        <f t="shared" si="0"/>
        <v>0</v>
      </c>
      <c r="AE9" s="414">
        <v>0</v>
      </c>
      <c r="AF9" s="512"/>
      <c r="AG9" s="413">
        <f t="shared" si="1"/>
        <v>0</v>
      </c>
      <c r="AH9" s="414">
        <v>0</v>
      </c>
      <c r="AI9" s="327"/>
    </row>
    <row r="10" spans="1:35" x14ac:dyDescent="0.25">
      <c r="A10" s="797"/>
      <c r="B10" s="796"/>
      <c r="C10" s="234" t="s">
        <v>509</v>
      </c>
      <c r="D10" s="233"/>
      <c r="E10" s="231"/>
      <c r="F10" s="370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1"/>
      <c r="W10" s="370"/>
      <c r="X10" s="231"/>
      <c r="Y10" s="370"/>
      <c r="Z10" s="232"/>
      <c r="AA10" s="231"/>
      <c r="AB10" s="379">
        <f t="shared" si="3"/>
        <v>0</v>
      </c>
      <c r="AC10" s="327"/>
      <c r="AD10" s="413">
        <f t="shared" si="0"/>
        <v>0</v>
      </c>
      <c r="AE10" s="414">
        <v>0</v>
      </c>
      <c r="AF10" s="512"/>
      <c r="AG10" s="413">
        <f t="shared" si="1"/>
        <v>0</v>
      </c>
      <c r="AH10" s="414">
        <v>0</v>
      </c>
      <c r="AI10" s="327"/>
    </row>
    <row r="11" spans="1:35" x14ac:dyDescent="0.25">
      <c r="A11" s="797"/>
      <c r="B11" s="796" t="s">
        <v>536</v>
      </c>
      <c r="C11" s="234" t="s">
        <v>535</v>
      </c>
      <c r="D11" s="233"/>
      <c r="E11" s="231"/>
      <c r="F11" s="370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1"/>
      <c r="W11" s="370"/>
      <c r="X11" s="231"/>
      <c r="Y11" s="370"/>
      <c r="Z11" s="232"/>
      <c r="AA11" s="231"/>
      <c r="AB11" s="379">
        <f t="shared" si="3"/>
        <v>0</v>
      </c>
      <c r="AC11" s="327"/>
      <c r="AD11" s="413">
        <f t="shared" si="0"/>
        <v>0</v>
      </c>
      <c r="AE11" s="414">
        <v>0</v>
      </c>
      <c r="AF11" s="512"/>
      <c r="AG11" s="413">
        <f t="shared" si="1"/>
        <v>0</v>
      </c>
      <c r="AH11" s="414">
        <v>0</v>
      </c>
      <c r="AI11" s="327"/>
    </row>
    <row r="12" spans="1:35" x14ac:dyDescent="0.25">
      <c r="A12" s="797"/>
      <c r="B12" s="796"/>
      <c r="C12" s="234" t="s">
        <v>533</v>
      </c>
      <c r="D12" s="233"/>
      <c r="E12" s="231"/>
      <c r="F12" s="370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1"/>
      <c r="W12" s="370"/>
      <c r="X12" s="231"/>
      <c r="Y12" s="370"/>
      <c r="Z12" s="232"/>
      <c r="AA12" s="231"/>
      <c r="AB12" s="379">
        <f t="shared" si="3"/>
        <v>0</v>
      </c>
      <c r="AC12" s="327"/>
      <c r="AD12" s="413">
        <f t="shared" si="0"/>
        <v>0</v>
      </c>
      <c r="AE12" s="414">
        <v>0</v>
      </c>
      <c r="AF12" s="512"/>
      <c r="AG12" s="413">
        <f t="shared" si="1"/>
        <v>0</v>
      </c>
      <c r="AH12" s="414">
        <v>0</v>
      </c>
      <c r="AI12" s="327"/>
    </row>
    <row r="13" spans="1:35" x14ac:dyDescent="0.25">
      <c r="A13" s="797"/>
      <c r="B13" s="796"/>
      <c r="C13" s="234" t="s">
        <v>528</v>
      </c>
      <c r="D13" s="233"/>
      <c r="E13" s="231"/>
      <c r="F13" s="370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1"/>
      <c r="W13" s="370"/>
      <c r="X13" s="385">
        <f>'Calificación de la actividad'!O299</f>
        <v>-14</v>
      </c>
      <c r="Y13" s="370"/>
      <c r="Z13" s="232"/>
      <c r="AA13" s="385">
        <f>'Calificación de la actividad'!I341</f>
        <v>-14</v>
      </c>
      <c r="AB13" s="379">
        <f t="shared" si="3"/>
        <v>-28</v>
      </c>
      <c r="AC13" s="327"/>
      <c r="AD13" s="413">
        <f t="shared" si="0"/>
        <v>0</v>
      </c>
      <c r="AE13" s="414">
        <v>0</v>
      </c>
      <c r="AF13" s="512"/>
      <c r="AG13" s="413">
        <f t="shared" si="1"/>
        <v>-28</v>
      </c>
      <c r="AH13" s="416">
        <f t="shared" si="2"/>
        <v>1</v>
      </c>
      <c r="AI13" s="327"/>
    </row>
    <row r="14" spans="1:35" x14ac:dyDescent="0.25">
      <c r="A14" s="797"/>
      <c r="B14" s="387" t="s">
        <v>534</v>
      </c>
      <c r="C14" s="234" t="s">
        <v>533</v>
      </c>
      <c r="D14" s="233"/>
      <c r="E14" s="231"/>
      <c r="F14" s="370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1"/>
      <c r="W14" s="370"/>
      <c r="X14" s="231"/>
      <c r="Y14" s="370"/>
      <c r="Z14" s="232"/>
      <c r="AA14" s="231"/>
      <c r="AB14" s="379">
        <f t="shared" si="3"/>
        <v>0</v>
      </c>
      <c r="AC14" s="327"/>
      <c r="AD14" s="413">
        <f t="shared" si="0"/>
        <v>0</v>
      </c>
      <c r="AE14" s="414">
        <v>0</v>
      </c>
      <c r="AF14" s="512"/>
      <c r="AG14" s="413">
        <f t="shared" ref="AG14:AG15" si="4">SUMIFS(D14:AA14,D14:AA14,"&lt; 0")</f>
        <v>0</v>
      </c>
      <c r="AH14" s="414">
        <v>0</v>
      </c>
      <c r="AI14" s="327"/>
    </row>
    <row r="15" spans="1:35" ht="19.5" customHeight="1" thickBot="1" x14ac:dyDescent="0.3">
      <c r="A15" s="798"/>
      <c r="B15" s="388" t="s">
        <v>11</v>
      </c>
      <c r="C15" s="345" t="s">
        <v>746</v>
      </c>
      <c r="D15" s="229"/>
      <c r="E15" s="227"/>
      <c r="F15" s="371"/>
      <c r="G15" s="228"/>
      <c r="H15" s="228"/>
      <c r="I15" s="228"/>
      <c r="J15" s="228"/>
      <c r="K15" s="242">
        <f>'Calificación de la actividad'!I117</f>
        <v>-15</v>
      </c>
      <c r="L15" s="228"/>
      <c r="M15" s="242">
        <f>'Calificación de la actividad'!U145</f>
        <v>-15</v>
      </c>
      <c r="N15" s="242">
        <f>'Calificación de la actividad'!U159</f>
        <v>-15</v>
      </c>
      <c r="O15" s="228"/>
      <c r="P15" s="242">
        <f>'Calificación de la actividad'!U187</f>
        <v>-15</v>
      </c>
      <c r="Q15" s="228"/>
      <c r="R15" s="228"/>
      <c r="S15" s="242">
        <f>'Calificación de la actividad'!O229</f>
        <v>-15</v>
      </c>
      <c r="T15" s="228"/>
      <c r="U15" s="228"/>
      <c r="V15" s="227"/>
      <c r="W15" s="371"/>
      <c r="X15" s="227"/>
      <c r="Y15" s="371"/>
      <c r="Z15" s="228"/>
      <c r="AA15" s="386">
        <f>'Calificación de la actividad'!AA341</f>
        <v>-15</v>
      </c>
      <c r="AB15" s="379">
        <f t="shared" si="3"/>
        <v>-90</v>
      </c>
      <c r="AC15" s="327"/>
      <c r="AD15" s="413">
        <f>SUMIFS(D15:AA15,D15:AA15,"&gt;0")</f>
        <v>0</v>
      </c>
      <c r="AE15" s="414">
        <v>0</v>
      </c>
      <c r="AF15" s="327"/>
      <c r="AG15" s="413">
        <f t="shared" si="4"/>
        <v>-90</v>
      </c>
      <c r="AH15" s="416">
        <f t="shared" ref="AH15:AH30" si="5">(-1*AG15)/(AD15+(-1*AG15))</f>
        <v>1</v>
      </c>
      <c r="AI15" s="327"/>
    </row>
    <row r="16" spans="1:35" ht="19.5" customHeight="1" x14ac:dyDescent="0.25">
      <c r="A16" s="797" t="s">
        <v>626</v>
      </c>
      <c r="B16" s="389" t="s">
        <v>628</v>
      </c>
      <c r="C16" s="344" t="s">
        <v>512</v>
      </c>
      <c r="D16" s="230"/>
      <c r="E16" s="360"/>
      <c r="F16" s="369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60"/>
      <c r="W16" s="369"/>
      <c r="X16" s="360"/>
      <c r="Y16" s="369"/>
      <c r="Z16" s="347"/>
      <c r="AA16" s="360"/>
      <c r="AB16" s="379">
        <f t="shared" si="3"/>
        <v>0</v>
      </c>
      <c r="AC16" s="327"/>
      <c r="AD16" s="413">
        <f t="shared" ref="AD16:AD21" si="6">SUMIFS(D16:AA16,D16:AA16,"&gt;0")</f>
        <v>0</v>
      </c>
      <c r="AE16" s="414">
        <v>0</v>
      </c>
      <c r="AF16" s="512"/>
      <c r="AG16" s="413">
        <f t="shared" ref="AG16:AG26" si="7">SUMIFS(D16:AA16,D16:AA16,"&lt; 0")</f>
        <v>0</v>
      </c>
      <c r="AH16" s="414">
        <v>0</v>
      </c>
      <c r="AI16" s="327"/>
    </row>
    <row r="17" spans="1:35" ht="19.5" customHeight="1" x14ac:dyDescent="0.25">
      <c r="A17" s="797"/>
      <c r="B17" s="796" t="s">
        <v>629</v>
      </c>
      <c r="C17" s="234" t="s">
        <v>512</v>
      </c>
      <c r="D17" s="233"/>
      <c r="E17" s="231"/>
      <c r="F17" s="370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1"/>
      <c r="W17" s="370"/>
      <c r="X17" s="231"/>
      <c r="Y17" s="370"/>
      <c r="Z17" s="232"/>
      <c r="AA17" s="231"/>
      <c r="AB17" s="379">
        <f t="shared" si="3"/>
        <v>0</v>
      </c>
      <c r="AC17" s="327"/>
      <c r="AD17" s="413">
        <f t="shared" si="6"/>
        <v>0</v>
      </c>
      <c r="AE17" s="414">
        <v>0</v>
      </c>
      <c r="AF17" s="512"/>
      <c r="AG17" s="413">
        <f t="shared" si="7"/>
        <v>0</v>
      </c>
      <c r="AH17" s="414">
        <v>0</v>
      </c>
      <c r="AI17" s="327"/>
    </row>
    <row r="18" spans="1:35" ht="19.5" customHeight="1" x14ac:dyDescent="0.25">
      <c r="A18" s="797"/>
      <c r="B18" s="796"/>
      <c r="C18" s="234" t="s">
        <v>526</v>
      </c>
      <c r="D18" s="233"/>
      <c r="E18" s="231"/>
      <c r="F18" s="370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1"/>
      <c r="W18" s="370"/>
      <c r="X18" s="231"/>
      <c r="Y18" s="370"/>
      <c r="Z18" s="232"/>
      <c r="AA18" s="231"/>
      <c r="AB18" s="379">
        <f t="shared" si="3"/>
        <v>0</v>
      </c>
      <c r="AC18" s="327"/>
      <c r="AD18" s="413">
        <f t="shared" si="6"/>
        <v>0</v>
      </c>
      <c r="AE18" s="414">
        <v>0</v>
      </c>
      <c r="AF18" s="512"/>
      <c r="AG18" s="413">
        <f t="shared" si="7"/>
        <v>0</v>
      </c>
      <c r="AH18" s="414">
        <v>0</v>
      </c>
      <c r="AI18" s="327"/>
    </row>
    <row r="19" spans="1:35" ht="19.5" customHeight="1" x14ac:dyDescent="0.25">
      <c r="A19" s="797"/>
      <c r="B19" s="796" t="s">
        <v>627</v>
      </c>
      <c r="C19" s="234" t="s">
        <v>630</v>
      </c>
      <c r="D19" s="233"/>
      <c r="E19" s="231"/>
      <c r="F19" s="370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1"/>
      <c r="W19" s="370"/>
      <c r="X19" s="231"/>
      <c r="Y19" s="370"/>
      <c r="Z19" s="232"/>
      <c r="AA19" s="231"/>
      <c r="AB19" s="379">
        <f t="shared" si="3"/>
        <v>0</v>
      </c>
      <c r="AC19" s="327"/>
      <c r="AD19" s="413">
        <f t="shared" si="6"/>
        <v>0</v>
      </c>
      <c r="AE19" s="414">
        <v>0</v>
      </c>
      <c r="AF19" s="512"/>
      <c r="AG19" s="413">
        <f t="shared" si="7"/>
        <v>0</v>
      </c>
      <c r="AH19" s="414">
        <v>0</v>
      </c>
      <c r="AI19" s="327"/>
    </row>
    <row r="20" spans="1:35" ht="19.5" customHeight="1" x14ac:dyDescent="0.25">
      <c r="A20" s="797"/>
      <c r="B20" s="796"/>
      <c r="C20" s="234" t="s">
        <v>631</v>
      </c>
      <c r="D20" s="233"/>
      <c r="E20" s="231"/>
      <c r="F20" s="370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1"/>
      <c r="W20" s="370"/>
      <c r="X20" s="231"/>
      <c r="Y20" s="370"/>
      <c r="Z20" s="232"/>
      <c r="AA20" s="231"/>
      <c r="AB20" s="379">
        <f t="shared" si="3"/>
        <v>0</v>
      </c>
      <c r="AC20" s="327"/>
      <c r="AD20" s="413">
        <f t="shared" si="6"/>
        <v>0</v>
      </c>
      <c r="AE20" s="414">
        <v>0</v>
      </c>
      <c r="AF20" s="512"/>
      <c r="AG20" s="413">
        <f t="shared" si="7"/>
        <v>0</v>
      </c>
      <c r="AH20" s="414">
        <v>0</v>
      </c>
      <c r="AI20" s="327"/>
    </row>
    <row r="21" spans="1:35" ht="19.5" customHeight="1" x14ac:dyDescent="0.25">
      <c r="A21" s="797"/>
      <c r="B21" s="796"/>
      <c r="C21" s="234" t="s">
        <v>632</v>
      </c>
      <c r="D21" s="233"/>
      <c r="E21" s="231"/>
      <c r="F21" s="370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1"/>
      <c r="W21" s="370"/>
      <c r="X21" s="231"/>
      <c r="Y21" s="370"/>
      <c r="Z21" s="232"/>
      <c r="AA21" s="231"/>
      <c r="AB21" s="379">
        <f t="shared" si="3"/>
        <v>0</v>
      </c>
      <c r="AC21" s="327"/>
      <c r="AD21" s="413">
        <f t="shared" si="6"/>
        <v>0</v>
      </c>
      <c r="AE21" s="414">
        <v>0</v>
      </c>
      <c r="AF21" s="512"/>
      <c r="AG21" s="413">
        <f t="shared" si="7"/>
        <v>0</v>
      </c>
      <c r="AH21" s="414">
        <v>0</v>
      </c>
      <c r="AI21" s="327"/>
    </row>
    <row r="22" spans="1:35" ht="19.5" customHeight="1" thickBot="1" x14ac:dyDescent="0.3">
      <c r="A22" s="798"/>
      <c r="B22" s="388" t="s">
        <v>11</v>
      </c>
      <c r="C22" s="345" t="s">
        <v>746</v>
      </c>
      <c r="D22" s="339">
        <f>'Calificación de la actividad'!O18</f>
        <v>-11</v>
      </c>
      <c r="E22" s="386">
        <f>'Calificación de la actividad'!I32</f>
        <v>-11</v>
      </c>
      <c r="F22" s="392">
        <f>'Calificación de la actividad'!R47</f>
        <v>-11</v>
      </c>
      <c r="G22" s="242">
        <f>'Calificación de la actividad'!O61</f>
        <v>-11</v>
      </c>
      <c r="H22" s="242">
        <f>'Calificación de la actividad'!O75</f>
        <v>-11</v>
      </c>
      <c r="I22" s="242">
        <f>'Calificación de la actividad'!O89</f>
        <v>-11</v>
      </c>
      <c r="J22" s="242">
        <f>'Calificación de la actividad'!O103</f>
        <v>-11</v>
      </c>
      <c r="K22" s="228"/>
      <c r="L22" s="228"/>
      <c r="M22" s="228"/>
      <c r="N22" s="228"/>
      <c r="O22" s="228"/>
      <c r="P22" s="228"/>
      <c r="Q22" s="242">
        <f>'Calificación de la actividad'!R201</f>
        <v>-11</v>
      </c>
      <c r="R22" s="228"/>
      <c r="S22" s="228"/>
      <c r="T22" s="228"/>
      <c r="U22" s="228"/>
      <c r="V22" s="227"/>
      <c r="W22" s="392">
        <f>'Calificación de la actividad'!AD285</f>
        <v>-11</v>
      </c>
      <c r="X22" s="227"/>
      <c r="Y22" s="371"/>
      <c r="Z22" s="228"/>
      <c r="AA22" s="227"/>
      <c r="AB22" s="379">
        <f t="shared" si="3"/>
        <v>-99</v>
      </c>
      <c r="AC22" s="327"/>
      <c r="AD22" s="413">
        <f t="shared" ref="AD22:AD23" si="8">SUMIFS(D22:AA22,D22:AA22,"&gt;0")</f>
        <v>0</v>
      </c>
      <c r="AE22" s="414">
        <v>0</v>
      </c>
      <c r="AF22" s="327"/>
      <c r="AG22" s="413">
        <f t="shared" si="7"/>
        <v>-99</v>
      </c>
      <c r="AH22" s="416">
        <f t="shared" si="5"/>
        <v>1</v>
      </c>
      <c r="AI22" s="327"/>
    </row>
    <row r="23" spans="1:35" ht="15" customHeight="1" x14ac:dyDescent="0.25">
      <c r="A23" s="783" t="s">
        <v>532</v>
      </c>
      <c r="B23" s="775" t="s">
        <v>531</v>
      </c>
      <c r="C23" s="344" t="s">
        <v>530</v>
      </c>
      <c r="D23" s="340">
        <f>'Calificación de la actividad'!I18</f>
        <v>-12</v>
      </c>
      <c r="E23" s="360"/>
      <c r="F23" s="369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60"/>
      <c r="W23" s="369"/>
      <c r="X23" s="360"/>
      <c r="Y23" s="369"/>
      <c r="Z23" s="347"/>
      <c r="AA23" s="360"/>
      <c r="AB23" s="379">
        <f t="shared" si="3"/>
        <v>-12</v>
      </c>
      <c r="AC23" s="327"/>
      <c r="AD23" s="413">
        <f t="shared" si="8"/>
        <v>0</v>
      </c>
      <c r="AE23" s="414">
        <v>0</v>
      </c>
      <c r="AF23" s="512"/>
      <c r="AG23" s="413">
        <f t="shared" si="7"/>
        <v>-12</v>
      </c>
      <c r="AH23" s="416">
        <f t="shared" si="5"/>
        <v>1</v>
      </c>
      <c r="AI23" s="327"/>
    </row>
    <row r="24" spans="1:35" x14ac:dyDescent="0.25">
      <c r="A24" s="783"/>
      <c r="B24" s="785"/>
      <c r="C24" s="234" t="s">
        <v>529</v>
      </c>
      <c r="D24" s="233"/>
      <c r="E24" s="231"/>
      <c r="F24" s="370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1"/>
      <c r="W24" s="370"/>
      <c r="X24" s="231"/>
      <c r="Y24" s="370"/>
      <c r="Z24" s="232"/>
      <c r="AA24" s="231"/>
      <c r="AB24" s="379">
        <f t="shared" si="3"/>
        <v>0</v>
      </c>
      <c r="AC24" s="327"/>
      <c r="AD24" s="413">
        <f t="shared" si="0"/>
        <v>0</v>
      </c>
      <c r="AE24" s="414">
        <v>0</v>
      </c>
      <c r="AF24" s="512"/>
      <c r="AG24" s="413">
        <f t="shared" si="7"/>
        <v>0</v>
      </c>
      <c r="AH24" s="414">
        <v>0</v>
      </c>
      <c r="AI24" s="327"/>
    </row>
    <row r="25" spans="1:35" x14ac:dyDescent="0.25">
      <c r="A25" s="783"/>
      <c r="B25" s="785"/>
      <c r="C25" s="234" t="s">
        <v>528</v>
      </c>
      <c r="D25" s="233"/>
      <c r="E25" s="231"/>
      <c r="F25" s="370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1"/>
      <c r="W25" s="370"/>
      <c r="X25" s="231"/>
      <c r="Y25" s="370"/>
      <c r="Z25" s="232"/>
      <c r="AA25" s="231"/>
      <c r="AB25" s="379">
        <f t="shared" si="3"/>
        <v>0</v>
      </c>
      <c r="AC25" s="327"/>
      <c r="AD25" s="413">
        <f t="shared" si="0"/>
        <v>0</v>
      </c>
      <c r="AE25" s="414">
        <v>0</v>
      </c>
      <c r="AF25" s="512"/>
      <c r="AG25" s="413">
        <f t="shared" si="7"/>
        <v>0</v>
      </c>
      <c r="AH25" s="414">
        <v>0</v>
      </c>
      <c r="AI25" s="327"/>
    </row>
    <row r="26" spans="1:35" x14ac:dyDescent="0.25">
      <c r="A26" s="783"/>
      <c r="B26" s="785" t="s">
        <v>527</v>
      </c>
      <c r="C26" s="234" t="s">
        <v>526</v>
      </c>
      <c r="D26" s="233"/>
      <c r="E26" s="231"/>
      <c r="F26" s="370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1"/>
      <c r="W26" s="370"/>
      <c r="X26" s="231"/>
      <c r="Y26" s="370"/>
      <c r="Z26" s="232"/>
      <c r="AA26" s="231"/>
      <c r="AB26" s="379">
        <f t="shared" si="3"/>
        <v>0</v>
      </c>
      <c r="AC26" s="327"/>
      <c r="AD26" s="413">
        <f t="shared" si="0"/>
        <v>0</v>
      </c>
      <c r="AE26" s="414">
        <v>0</v>
      </c>
      <c r="AF26" s="512"/>
      <c r="AG26" s="413">
        <f t="shared" si="7"/>
        <v>0</v>
      </c>
      <c r="AH26" s="414">
        <v>0</v>
      </c>
      <c r="AI26" s="327"/>
    </row>
    <row r="27" spans="1:35" x14ac:dyDescent="0.25">
      <c r="A27" s="783"/>
      <c r="B27" s="785"/>
      <c r="C27" s="234" t="s">
        <v>760</v>
      </c>
      <c r="D27" s="244">
        <f>'Calificación de la actividad'!L18</f>
        <v>-12</v>
      </c>
      <c r="E27" s="231"/>
      <c r="F27" s="370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1"/>
      <c r="W27" s="370"/>
      <c r="X27" s="231"/>
      <c r="Y27" s="370"/>
      <c r="Z27" s="232"/>
      <c r="AA27" s="231"/>
      <c r="AB27" s="379">
        <f t="shared" si="3"/>
        <v>-12</v>
      </c>
      <c r="AC27" s="327"/>
      <c r="AD27" s="413">
        <f t="shared" si="0"/>
        <v>0</v>
      </c>
      <c r="AE27" s="414">
        <v>0</v>
      </c>
      <c r="AF27" s="512"/>
      <c r="AG27" s="413">
        <f t="shared" si="1"/>
        <v>-12</v>
      </c>
      <c r="AH27" s="414">
        <f t="shared" si="5"/>
        <v>1</v>
      </c>
      <c r="AI27" s="327"/>
    </row>
    <row r="28" spans="1:35" ht="15.75" thickBot="1" x14ac:dyDescent="0.3">
      <c r="A28" s="784"/>
      <c r="B28" s="776"/>
      <c r="C28" s="345" t="s">
        <v>525</v>
      </c>
      <c r="D28" s="229"/>
      <c r="E28" s="227"/>
      <c r="F28" s="371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7"/>
      <c r="W28" s="371"/>
      <c r="X28" s="227"/>
      <c r="Y28" s="371"/>
      <c r="Z28" s="228"/>
      <c r="AA28" s="227"/>
      <c r="AB28" s="379">
        <f t="shared" si="3"/>
        <v>0</v>
      </c>
      <c r="AC28" s="327"/>
      <c r="AD28" s="413">
        <f t="shared" si="0"/>
        <v>0</v>
      </c>
      <c r="AE28" s="414">
        <v>0</v>
      </c>
      <c r="AF28" s="512"/>
      <c r="AG28" s="413">
        <f t="shared" si="1"/>
        <v>0</v>
      </c>
      <c r="AH28" s="414">
        <v>0</v>
      </c>
      <c r="AI28" s="327"/>
    </row>
    <row r="29" spans="1:35" x14ac:dyDescent="0.25">
      <c r="A29" s="790" t="s">
        <v>524</v>
      </c>
      <c r="B29" s="792" t="s">
        <v>523</v>
      </c>
      <c r="C29" s="344" t="s">
        <v>522</v>
      </c>
      <c r="D29" s="230"/>
      <c r="E29" s="360"/>
      <c r="F29" s="369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243">
        <f>'Calificación de la actividad'!C243</f>
        <v>12</v>
      </c>
      <c r="U29" s="347"/>
      <c r="V29" s="360"/>
      <c r="W29" s="393">
        <f>'Calificación de la actividad'!I285</f>
        <v>12</v>
      </c>
      <c r="X29" s="360"/>
      <c r="Y29" s="393">
        <f>'Calificación de la actividad'!I313</f>
        <v>-11</v>
      </c>
      <c r="Z29" s="347"/>
      <c r="AA29" s="360"/>
      <c r="AB29" s="379">
        <f t="shared" si="3"/>
        <v>13</v>
      </c>
      <c r="AC29" s="327"/>
      <c r="AD29" s="413">
        <f t="shared" si="0"/>
        <v>24</v>
      </c>
      <c r="AE29" s="414">
        <f t="shared" ref="AE29:AE31" si="9">AD29/(AD29+(-1*(AG29)))</f>
        <v>0.68571428571428572</v>
      </c>
      <c r="AF29" s="512"/>
      <c r="AG29" s="413">
        <f>SUMIFS(D29:AA29,D29:AA29,"&lt; 0")</f>
        <v>-11</v>
      </c>
      <c r="AH29" s="417">
        <f t="shared" si="5"/>
        <v>0.31428571428571428</v>
      </c>
      <c r="AI29" s="327"/>
    </row>
    <row r="30" spans="1:35" x14ac:dyDescent="0.25">
      <c r="A30" s="790"/>
      <c r="B30" s="793"/>
      <c r="C30" s="234" t="s">
        <v>521</v>
      </c>
      <c r="D30" s="244">
        <f>'Calificación de la actividad'!C18</f>
        <v>7</v>
      </c>
      <c r="E30" s="385">
        <f>'Calificación de la actividad'!C32</f>
        <v>7</v>
      </c>
      <c r="F30" s="394">
        <f>'Calificación de la actividad'!C47</f>
        <v>8</v>
      </c>
      <c r="G30" s="245">
        <f>'Calificación de la actividad'!C61</f>
        <v>8</v>
      </c>
      <c r="H30" s="245">
        <f>'Calificación de la actividad'!C75</f>
        <v>8</v>
      </c>
      <c r="I30" s="245">
        <f>'Calificación de la actividad'!C89</f>
        <v>8</v>
      </c>
      <c r="J30" s="245">
        <f>'Calificación de la actividad'!C103</f>
        <v>8</v>
      </c>
      <c r="K30" s="245"/>
      <c r="L30" s="245"/>
      <c r="M30" s="245">
        <f>'Calificación de la actividad'!I145</f>
        <v>10</v>
      </c>
      <c r="N30" s="245">
        <f>'Calificación de la actividad'!I159</f>
        <v>10</v>
      </c>
      <c r="O30" s="245">
        <f>'Calificación de la actividad'!C173</f>
        <v>9</v>
      </c>
      <c r="P30" s="245">
        <f>'Calificación de la actividad'!I187</f>
        <v>7</v>
      </c>
      <c r="Q30" s="245">
        <f>'Calificación de la actividad'!I201</f>
        <v>7</v>
      </c>
      <c r="R30" s="245">
        <f>'Calificación de la actividad'!C215</f>
        <v>7</v>
      </c>
      <c r="S30" s="245">
        <f>'Calificación de la actividad'!C229</f>
        <v>7</v>
      </c>
      <c r="T30" s="245">
        <f>'Calificación de la actividad'!F243</f>
        <v>7</v>
      </c>
      <c r="U30" s="245">
        <f>'Calificación de la actividad'!C257</f>
        <v>7</v>
      </c>
      <c r="V30" s="385">
        <f>'Calificación de la actividad'!C271</f>
        <v>10</v>
      </c>
      <c r="W30" s="394">
        <f>'Calificación de la actividad'!L285</f>
        <v>9</v>
      </c>
      <c r="X30" s="385">
        <f>'Calificación de la actividad'!C299</f>
        <v>7</v>
      </c>
      <c r="Y30" s="394">
        <f>'Calificación de la actividad'!L313</f>
        <v>5</v>
      </c>
      <c r="Z30" s="245">
        <f>'Calificación de la actividad'!C327</f>
        <v>5</v>
      </c>
      <c r="AA30" s="385">
        <f>'Calificación de la actividad'!L341</f>
        <v>7</v>
      </c>
      <c r="AB30" s="379">
        <f t="shared" si="3"/>
        <v>168</v>
      </c>
      <c r="AC30" s="327"/>
      <c r="AD30" s="413">
        <f t="shared" si="0"/>
        <v>168</v>
      </c>
      <c r="AE30" s="414">
        <f t="shared" si="9"/>
        <v>1</v>
      </c>
      <c r="AF30" s="512"/>
      <c r="AG30" s="413">
        <f t="shared" ref="AG30:AG37" si="10">SUMIFS(D30:AA30,D30:AA30,"&lt; 0")</f>
        <v>0</v>
      </c>
      <c r="AH30" s="414">
        <f t="shared" si="5"/>
        <v>0</v>
      </c>
      <c r="AI30" s="327"/>
    </row>
    <row r="31" spans="1:35" x14ac:dyDescent="0.25">
      <c r="A31" s="790"/>
      <c r="B31" s="793"/>
      <c r="C31" s="234" t="s">
        <v>520</v>
      </c>
      <c r="D31" s="244">
        <f>'Calificación de la actividad'!F18</f>
        <v>7</v>
      </c>
      <c r="E31" s="385">
        <f>'Calificación de la actividad'!F32</f>
        <v>7</v>
      </c>
      <c r="F31" s="394">
        <f>'Calificación de la actividad'!F47</f>
        <v>8</v>
      </c>
      <c r="G31" s="245">
        <f>'Calificación de la actividad'!F61</f>
        <v>10</v>
      </c>
      <c r="H31" s="245">
        <f>'Calificación de la actividad'!F75</f>
        <v>10</v>
      </c>
      <c r="I31" s="245">
        <f>'Calificación de la actividad'!F89</f>
        <v>8</v>
      </c>
      <c r="J31" s="245">
        <f>'Calificación de la actividad'!F103</f>
        <v>10</v>
      </c>
      <c r="K31" s="245">
        <f>'Calificación de la actividad'!L117</f>
        <v>9</v>
      </c>
      <c r="L31" s="245">
        <f>'Calificación de la actividad'!F131</f>
        <v>10</v>
      </c>
      <c r="M31" s="245">
        <f>'Calificación de la actividad'!L145</f>
        <v>10</v>
      </c>
      <c r="N31" s="245">
        <f>'Calificación de la actividad'!L159</f>
        <v>10</v>
      </c>
      <c r="O31" s="245">
        <f>'Calificación de la actividad'!F173</f>
        <v>8</v>
      </c>
      <c r="P31" s="245">
        <f>'Calificación de la actividad'!L187</f>
        <v>7</v>
      </c>
      <c r="Q31" s="245">
        <f>'Calificación de la actividad'!L201</f>
        <v>7</v>
      </c>
      <c r="R31" s="245">
        <f>'Calificación de la actividad'!F215</f>
        <v>7</v>
      </c>
      <c r="S31" s="245">
        <f>'Calificación de la actividad'!F229</f>
        <v>7</v>
      </c>
      <c r="T31" s="245">
        <f>'Calificación de la actividad'!I243</f>
        <v>7</v>
      </c>
      <c r="U31" s="245">
        <f>'Calificación de la actividad'!F257</f>
        <v>7</v>
      </c>
      <c r="V31" s="385">
        <f>'Calificación de la actividad'!F271</f>
        <v>12</v>
      </c>
      <c r="W31" s="394">
        <f>'Calificación de la actividad'!O285</f>
        <v>9</v>
      </c>
      <c r="X31" s="385">
        <f>'Calificación de la actividad'!F299</f>
        <v>7</v>
      </c>
      <c r="Y31" s="394">
        <f>'Calificación de la actividad'!O313</f>
        <v>6</v>
      </c>
      <c r="Z31" s="245">
        <f>'Calificación de la actividad'!F327</f>
        <v>7</v>
      </c>
      <c r="AA31" s="385">
        <f>'Calificación de la actividad'!O341</f>
        <v>7</v>
      </c>
      <c r="AB31" s="379">
        <f t="shared" si="3"/>
        <v>197</v>
      </c>
      <c r="AC31" s="327"/>
      <c r="AD31" s="413">
        <f t="shared" si="0"/>
        <v>197</v>
      </c>
      <c r="AE31" s="414">
        <f t="shared" si="9"/>
        <v>1</v>
      </c>
      <c r="AF31" s="512"/>
      <c r="AG31" s="413">
        <f t="shared" si="10"/>
        <v>0</v>
      </c>
      <c r="AH31" s="414">
        <f t="shared" ref="AH31:AH35" si="11">(-1*AG31)/(AD31+(-1*AG31))</f>
        <v>0</v>
      </c>
      <c r="AI31" s="327"/>
    </row>
    <row r="32" spans="1:35" x14ac:dyDescent="0.25">
      <c r="A32" s="790"/>
      <c r="B32" s="390"/>
      <c r="C32" s="234" t="s">
        <v>519</v>
      </c>
      <c r="D32" s="233"/>
      <c r="E32" s="231"/>
      <c r="F32" s="394">
        <f>'Calificación de la actividad'!I47</f>
        <v>10</v>
      </c>
      <c r="G32" s="232"/>
      <c r="H32" s="232"/>
      <c r="I32" s="232"/>
      <c r="J32" s="232"/>
      <c r="K32" s="232"/>
      <c r="L32" s="245">
        <f>'Calificación de la actividad'!I131</f>
        <v>11</v>
      </c>
      <c r="M32" s="232"/>
      <c r="N32" s="232"/>
      <c r="O32" s="232"/>
      <c r="P32" s="232"/>
      <c r="Q32" s="245"/>
      <c r="R32" s="232"/>
      <c r="S32" s="232"/>
      <c r="T32" s="232"/>
      <c r="U32" s="232"/>
      <c r="V32" s="231"/>
      <c r="W32" s="394">
        <f>'Calificación de la actividad'!AA285</f>
        <v>12</v>
      </c>
      <c r="X32" s="231"/>
      <c r="Y32" s="370"/>
      <c r="Z32" s="245">
        <f>'Calificación de la actividad'!I327</f>
        <v>12</v>
      </c>
      <c r="AA32" s="385">
        <f>'Calificación de la actividad'!R341</f>
        <v>10</v>
      </c>
      <c r="AB32" s="379">
        <f t="shared" si="3"/>
        <v>55</v>
      </c>
      <c r="AC32" s="327"/>
      <c r="AD32" s="413">
        <f t="shared" si="0"/>
        <v>55</v>
      </c>
      <c r="AE32" s="414">
        <f t="shared" ref="AE32:AE33" si="12">AD32/(AD32+(-1*(AG32)))</f>
        <v>1</v>
      </c>
      <c r="AF32" s="512"/>
      <c r="AG32" s="413">
        <f t="shared" si="10"/>
        <v>0</v>
      </c>
      <c r="AH32" s="414">
        <f t="shared" si="11"/>
        <v>0</v>
      </c>
      <c r="AI32" s="327"/>
    </row>
    <row r="33" spans="1:35" x14ac:dyDescent="0.25">
      <c r="A33" s="790"/>
      <c r="B33" s="390"/>
      <c r="C33" s="234" t="s">
        <v>518</v>
      </c>
      <c r="D33" s="233"/>
      <c r="E33" s="231"/>
      <c r="F33" s="394">
        <f>'Calificación de la actividad'!L47</f>
        <v>10</v>
      </c>
      <c r="G33" s="245">
        <f>'Calificación de la actividad'!I61</f>
        <v>10</v>
      </c>
      <c r="H33" s="245">
        <f>'Calificación de la actividad'!I75</f>
        <v>10</v>
      </c>
      <c r="I33" s="245">
        <f>'Calificación de la actividad'!I89</f>
        <v>10</v>
      </c>
      <c r="J33" s="245">
        <f>'Calificación de la actividad'!I103</f>
        <v>10</v>
      </c>
      <c r="K33" s="245">
        <f>'Calificación de la actividad'!O117</f>
        <v>10</v>
      </c>
      <c r="L33" s="245">
        <f>'Calificación de la actividad'!L131</f>
        <v>10</v>
      </c>
      <c r="M33" s="245">
        <f>'Calificación de la actividad'!O145</f>
        <v>10</v>
      </c>
      <c r="N33" s="245">
        <f>'Calificación de la actividad'!O159</f>
        <v>10</v>
      </c>
      <c r="O33" s="245">
        <f>'Calificación de la actividad'!I173</f>
        <v>8</v>
      </c>
      <c r="P33" s="245">
        <f>'Calificación de la actividad'!O187</f>
        <v>7</v>
      </c>
      <c r="Q33" s="232"/>
      <c r="R33" s="245">
        <f>'Calificación de la actividad'!I215</f>
        <v>7</v>
      </c>
      <c r="S33" s="245">
        <f>'Calificación de la actividad'!I229</f>
        <v>7</v>
      </c>
      <c r="T33" s="245">
        <f>'Calificación de la actividad'!L243</f>
        <v>7</v>
      </c>
      <c r="U33" s="245">
        <f>'Calificación de la actividad'!I257</f>
        <v>7</v>
      </c>
      <c r="V33" s="385">
        <f>'Calificación de la actividad'!I271</f>
        <v>12</v>
      </c>
      <c r="W33" s="394">
        <f>'Calificación de la actividad'!R285</f>
        <v>9</v>
      </c>
      <c r="X33" s="385">
        <f>'Calificación de la actividad'!I299</f>
        <v>8</v>
      </c>
      <c r="Y33" s="394">
        <f>'Calificación de la actividad'!R313</f>
        <v>6</v>
      </c>
      <c r="Z33" s="245">
        <f>'Calificación de la actividad'!L327</f>
        <v>9</v>
      </c>
      <c r="AA33" s="385">
        <f>'Calificación de la actividad'!U341</f>
        <v>10</v>
      </c>
      <c r="AB33" s="379">
        <f t="shared" si="3"/>
        <v>187</v>
      </c>
      <c r="AC33" s="327"/>
      <c r="AD33" s="413">
        <f t="shared" si="0"/>
        <v>187</v>
      </c>
      <c r="AE33" s="414">
        <f t="shared" si="12"/>
        <v>1</v>
      </c>
      <c r="AF33" s="512"/>
      <c r="AG33" s="413">
        <f t="shared" si="10"/>
        <v>0</v>
      </c>
      <c r="AH33" s="414">
        <f t="shared" si="11"/>
        <v>0</v>
      </c>
      <c r="AI33" s="327"/>
    </row>
    <row r="34" spans="1:35" x14ac:dyDescent="0.25">
      <c r="A34" s="790"/>
      <c r="B34" s="390" t="s">
        <v>517</v>
      </c>
      <c r="C34" s="234" t="s">
        <v>516</v>
      </c>
      <c r="D34" s="233"/>
      <c r="E34" s="231"/>
      <c r="F34" s="370"/>
      <c r="G34" s="232"/>
      <c r="H34" s="232"/>
      <c r="I34" s="232"/>
      <c r="J34" s="232"/>
      <c r="K34" s="232"/>
      <c r="L34" s="232"/>
      <c r="M34" s="232"/>
      <c r="N34" s="232"/>
      <c r="O34" s="245">
        <f>'Calificación de la actividad'!L173</f>
        <v>9</v>
      </c>
      <c r="P34" s="232"/>
      <c r="Q34" s="232"/>
      <c r="R34" s="232"/>
      <c r="S34" s="232"/>
      <c r="T34" s="245">
        <f>'Calificación de la actividad'!O243</f>
        <v>12</v>
      </c>
      <c r="U34" s="245">
        <f>'Calificación de la actividad'!L257</f>
        <v>11</v>
      </c>
      <c r="V34" s="385">
        <f>'Calificación de la actividad'!L271</f>
        <v>14</v>
      </c>
      <c r="W34" s="394">
        <f>'Calificación de la actividad'!U285</f>
        <v>14</v>
      </c>
      <c r="X34" s="231"/>
      <c r="Y34" s="394">
        <f>'Calificación de la actividad'!U313</f>
        <v>-12</v>
      </c>
      <c r="Z34" s="232"/>
      <c r="AA34" s="231"/>
      <c r="AB34" s="379">
        <f t="shared" si="3"/>
        <v>48</v>
      </c>
      <c r="AC34" s="327"/>
      <c r="AD34" s="413">
        <f t="shared" si="0"/>
        <v>60</v>
      </c>
      <c r="AE34" s="414">
        <f>AD34/(AD34+(-1*(AG34)))</f>
        <v>0.83333333333333337</v>
      </c>
      <c r="AF34" s="512"/>
      <c r="AG34" s="413">
        <f t="shared" si="10"/>
        <v>-12</v>
      </c>
      <c r="AH34" s="414">
        <f t="shared" si="11"/>
        <v>0.16666666666666666</v>
      </c>
      <c r="AI34" s="327"/>
    </row>
    <row r="35" spans="1:35" ht="15.75" thickBot="1" x14ac:dyDescent="0.3">
      <c r="A35" s="791"/>
      <c r="B35" s="391" t="s">
        <v>515</v>
      </c>
      <c r="C35" s="391" t="s">
        <v>514</v>
      </c>
      <c r="D35" s="229"/>
      <c r="E35" s="227"/>
      <c r="F35" s="392">
        <f>'Calificación de la actividad'!O47</f>
        <v>9</v>
      </c>
      <c r="G35" s="242">
        <f>'Calificación de la actividad'!L61</f>
        <v>11</v>
      </c>
      <c r="H35" s="242">
        <f>'Calificación de la actividad'!L75</f>
        <v>11</v>
      </c>
      <c r="I35" s="242">
        <f>'Calificación de la actividad'!L89</f>
        <v>10</v>
      </c>
      <c r="J35" s="242">
        <f>'Calificación de la actividad'!L103</f>
        <v>10</v>
      </c>
      <c r="K35" s="228"/>
      <c r="L35" s="242">
        <f>'Calificación de la actividad'!O131</f>
        <v>10</v>
      </c>
      <c r="M35" s="242">
        <f>'Calificación de la actividad'!R145</f>
        <v>10</v>
      </c>
      <c r="N35" s="242">
        <f>'Calificación de la actividad'!R159</f>
        <v>10</v>
      </c>
      <c r="O35" s="242">
        <f>'Calificación de la actividad'!O173</f>
        <v>8</v>
      </c>
      <c r="P35" s="242">
        <f>'Calificación de la actividad'!R187</f>
        <v>7</v>
      </c>
      <c r="Q35" s="242">
        <f>'Calificación de la actividad'!O201</f>
        <v>7</v>
      </c>
      <c r="R35" s="242">
        <f>'Calificación de la actividad'!L215</f>
        <v>7</v>
      </c>
      <c r="S35" s="242">
        <f>'Calificación de la actividad'!L229</f>
        <v>7</v>
      </c>
      <c r="T35" s="242">
        <f>'Calificación de la actividad'!R243</f>
        <v>11</v>
      </c>
      <c r="U35" s="228"/>
      <c r="V35" s="227"/>
      <c r="W35" s="392">
        <f>'Calificación de la actividad'!X285</f>
        <v>-13</v>
      </c>
      <c r="X35" s="386">
        <f>'Calificación de la actividad'!L299</f>
        <v>7</v>
      </c>
      <c r="Y35" s="371"/>
      <c r="Z35" s="242">
        <f>'Calificación de la actividad'!O327</f>
        <v>9</v>
      </c>
      <c r="AA35" s="386">
        <f>'Calificación de la actividad'!X341</f>
        <v>10</v>
      </c>
      <c r="AB35" s="379">
        <f t="shared" si="3"/>
        <v>141</v>
      </c>
      <c r="AC35" s="327"/>
      <c r="AD35" s="413">
        <f>SUMIFS(D35:AA35,D35:AA35,"&gt;0")</f>
        <v>154</v>
      </c>
      <c r="AE35" s="414">
        <f t="shared" ref="AE35" si="13">AD35/(AD35+(-1*(AG35)))</f>
        <v>0.92215568862275454</v>
      </c>
      <c r="AF35" s="512"/>
      <c r="AG35" s="413">
        <f t="shared" si="10"/>
        <v>-13</v>
      </c>
      <c r="AH35" s="414">
        <f t="shared" si="11"/>
        <v>7.7844311377245512E-2</v>
      </c>
      <c r="AI35" s="327"/>
    </row>
    <row r="36" spans="1:35" x14ac:dyDescent="0.25">
      <c r="A36" s="794" t="s">
        <v>513</v>
      </c>
      <c r="B36" s="775" t="s">
        <v>513</v>
      </c>
      <c r="C36" s="344" t="s">
        <v>512</v>
      </c>
      <c r="D36" s="230"/>
      <c r="E36" s="360"/>
      <c r="F36" s="369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60"/>
      <c r="W36" s="369"/>
      <c r="X36" s="360"/>
      <c r="Y36" s="369"/>
      <c r="Z36" s="347"/>
      <c r="AA36" s="360"/>
      <c r="AB36" s="379">
        <f t="shared" si="3"/>
        <v>0</v>
      </c>
      <c r="AC36" s="327"/>
      <c r="AD36" s="413">
        <f t="shared" si="0"/>
        <v>0</v>
      </c>
      <c r="AE36" s="414">
        <v>0</v>
      </c>
      <c r="AF36" s="512"/>
      <c r="AG36" s="413">
        <f t="shared" si="10"/>
        <v>0</v>
      </c>
      <c r="AH36" s="414">
        <v>0</v>
      </c>
      <c r="AI36" s="327"/>
    </row>
    <row r="37" spans="1:35" ht="15.75" thickBot="1" x14ac:dyDescent="0.3">
      <c r="A37" s="795"/>
      <c r="B37" s="776"/>
      <c r="C37" s="345" t="s">
        <v>511</v>
      </c>
      <c r="D37" s="229"/>
      <c r="E37" s="227"/>
      <c r="F37" s="371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7"/>
      <c r="W37" s="371"/>
      <c r="X37" s="227"/>
      <c r="Y37" s="371"/>
      <c r="Z37" s="228"/>
      <c r="AA37" s="227"/>
      <c r="AB37" s="379">
        <f t="shared" si="3"/>
        <v>0</v>
      </c>
      <c r="AC37" s="327"/>
      <c r="AD37" s="415">
        <f>SUMIFS(D37:AA37,D37:AA37,"&gt;0")</f>
        <v>0</v>
      </c>
      <c r="AE37" s="406">
        <v>0</v>
      </c>
      <c r="AF37" s="512"/>
      <c r="AG37" s="415">
        <f t="shared" si="10"/>
        <v>0</v>
      </c>
      <c r="AH37" s="406">
        <v>0</v>
      </c>
      <c r="AI37" s="327"/>
    </row>
    <row r="38" spans="1:35" ht="15.75" thickBot="1" x14ac:dyDescent="0.3">
      <c r="A38" s="327"/>
      <c r="B38" s="327"/>
      <c r="C38" s="327"/>
      <c r="D38" s="380">
        <f t="shared" ref="D38:AA38" si="14">SUM(D5:D37)</f>
        <v>-21</v>
      </c>
      <c r="E38" s="400">
        <f t="shared" si="14"/>
        <v>3</v>
      </c>
      <c r="F38" s="398">
        <f t="shared" si="14"/>
        <v>34</v>
      </c>
      <c r="G38" s="381">
        <f t="shared" si="14"/>
        <v>28</v>
      </c>
      <c r="H38" s="381">
        <f t="shared" si="14"/>
        <v>28</v>
      </c>
      <c r="I38" s="381">
        <f t="shared" si="14"/>
        <v>25</v>
      </c>
      <c r="J38" s="381">
        <f t="shared" si="14"/>
        <v>27</v>
      </c>
      <c r="K38" s="381">
        <f t="shared" si="14"/>
        <v>-21</v>
      </c>
      <c r="L38" s="381">
        <f t="shared" si="14"/>
        <v>41</v>
      </c>
      <c r="M38" s="381">
        <f t="shared" si="14"/>
        <v>0</v>
      </c>
      <c r="N38" s="381">
        <f t="shared" si="14"/>
        <v>0</v>
      </c>
      <c r="O38" s="381">
        <f t="shared" si="14"/>
        <v>42</v>
      </c>
      <c r="P38" s="381">
        <f t="shared" si="14"/>
        <v>-6</v>
      </c>
      <c r="Q38" s="381">
        <f t="shared" si="14"/>
        <v>-8</v>
      </c>
      <c r="R38" s="381">
        <f t="shared" si="14"/>
        <v>28</v>
      </c>
      <c r="S38" s="381">
        <f t="shared" si="14"/>
        <v>13</v>
      </c>
      <c r="T38" s="381">
        <f t="shared" si="14"/>
        <v>56</v>
      </c>
      <c r="U38" s="381">
        <f t="shared" si="14"/>
        <v>32</v>
      </c>
      <c r="V38" s="400">
        <f t="shared" si="14"/>
        <v>48</v>
      </c>
      <c r="W38" s="398">
        <f t="shared" si="14"/>
        <v>29</v>
      </c>
      <c r="X38" s="400">
        <f t="shared" si="14"/>
        <v>15</v>
      </c>
      <c r="Y38" s="398">
        <f t="shared" si="14"/>
        <v>-19</v>
      </c>
      <c r="Z38" s="381">
        <f t="shared" si="14"/>
        <v>42</v>
      </c>
      <c r="AA38" s="400">
        <f t="shared" si="14"/>
        <v>-6</v>
      </c>
      <c r="AB38" s="327"/>
      <c r="AC38" s="327"/>
      <c r="AD38" s="514"/>
      <c r="AE38" s="327"/>
      <c r="AF38" s="514"/>
      <c r="AG38" s="327"/>
      <c r="AH38" s="327"/>
      <c r="AI38" s="327"/>
    </row>
    <row r="39" spans="1:35" x14ac:dyDescent="0.25">
      <c r="A39" s="327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</row>
    <row r="40" spans="1:35" ht="15.75" thickBot="1" x14ac:dyDescent="0.3">
      <c r="A40" s="327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</row>
    <row r="41" spans="1:35" s="224" customFormat="1" ht="29.25" customHeight="1" thickBot="1" x14ac:dyDescent="0.3">
      <c r="A41" s="512"/>
      <c r="B41" s="786" t="s">
        <v>549</v>
      </c>
      <c r="C41" s="787"/>
      <c r="D41" s="403">
        <f>SUMIFS(D5:D37,D5:D37,"&gt;0")</f>
        <v>14</v>
      </c>
      <c r="E41" s="403">
        <f t="shared" ref="E41:AA41" si="15">SUMIFS(E5:E37,E5:E37,"&gt;0")</f>
        <v>14</v>
      </c>
      <c r="F41" s="403">
        <f t="shared" si="15"/>
        <v>45</v>
      </c>
      <c r="G41" s="403">
        <f t="shared" si="15"/>
        <v>39</v>
      </c>
      <c r="H41" s="403">
        <f t="shared" si="15"/>
        <v>39</v>
      </c>
      <c r="I41" s="403">
        <f t="shared" si="15"/>
        <v>36</v>
      </c>
      <c r="J41" s="403">
        <f t="shared" si="15"/>
        <v>38</v>
      </c>
      <c r="K41" s="403">
        <f t="shared" si="15"/>
        <v>19</v>
      </c>
      <c r="L41" s="403">
        <f t="shared" si="15"/>
        <v>41</v>
      </c>
      <c r="M41" s="403">
        <f t="shared" si="15"/>
        <v>40</v>
      </c>
      <c r="N41" s="403">
        <f t="shared" si="15"/>
        <v>40</v>
      </c>
      <c r="O41" s="403">
        <f t="shared" si="15"/>
        <v>42</v>
      </c>
      <c r="P41" s="403">
        <f t="shared" si="15"/>
        <v>28</v>
      </c>
      <c r="Q41" s="403">
        <f t="shared" si="15"/>
        <v>21</v>
      </c>
      <c r="R41" s="403">
        <f t="shared" si="15"/>
        <v>28</v>
      </c>
      <c r="S41" s="403">
        <f t="shared" si="15"/>
        <v>28</v>
      </c>
      <c r="T41" s="403">
        <f t="shared" si="15"/>
        <v>56</v>
      </c>
      <c r="U41" s="403">
        <f t="shared" si="15"/>
        <v>32</v>
      </c>
      <c r="V41" s="403">
        <f t="shared" si="15"/>
        <v>48</v>
      </c>
      <c r="W41" s="403">
        <f t="shared" si="15"/>
        <v>65</v>
      </c>
      <c r="X41" s="403">
        <f>SUMIFS(X5:X37,X5:X37,"&gt;0")</f>
        <v>29</v>
      </c>
      <c r="Y41" s="403">
        <f t="shared" si="15"/>
        <v>17</v>
      </c>
      <c r="Z41" s="403">
        <f t="shared" si="15"/>
        <v>42</v>
      </c>
      <c r="AA41" s="404">
        <f t="shared" si="15"/>
        <v>44</v>
      </c>
      <c r="AB41" s="512"/>
      <c r="AC41" s="512"/>
      <c r="AD41" s="512"/>
      <c r="AE41" s="512"/>
      <c r="AF41" s="512"/>
      <c r="AG41" s="512"/>
      <c r="AH41" s="512"/>
      <c r="AI41" s="512"/>
    </row>
    <row r="42" spans="1:35" s="224" customFormat="1" ht="31.5" customHeight="1" thickBot="1" x14ac:dyDescent="0.3">
      <c r="A42" s="512"/>
      <c r="B42" s="777" t="s">
        <v>547</v>
      </c>
      <c r="C42" s="778"/>
      <c r="D42" s="410">
        <f>D41/(D41+(-1*D45))</f>
        <v>0.2857142857142857</v>
      </c>
      <c r="E42" s="405">
        <f>E41/(E41+(-1*E45))</f>
        <v>0.56000000000000005</v>
      </c>
      <c r="F42" s="405">
        <f>F41/(F41+(-1*F45))</f>
        <v>0.8035714285714286</v>
      </c>
      <c r="G42" s="405">
        <f>G41/(G41+(-1*G45))</f>
        <v>0.78</v>
      </c>
      <c r="H42" s="405">
        <f>H41/(H41+(-1*H45))</f>
        <v>0.78</v>
      </c>
      <c r="I42" s="405">
        <v>0</v>
      </c>
      <c r="J42" s="405">
        <f t="shared" ref="J42:AA42" si="16">J41/(J41+(-1*J45))</f>
        <v>0.77551020408163263</v>
      </c>
      <c r="K42" s="405">
        <f t="shared" si="16"/>
        <v>0.32203389830508472</v>
      </c>
      <c r="L42" s="405">
        <f t="shared" si="16"/>
        <v>1</v>
      </c>
      <c r="M42" s="405">
        <f t="shared" si="16"/>
        <v>0.5</v>
      </c>
      <c r="N42" s="405">
        <f t="shared" si="16"/>
        <v>0.5</v>
      </c>
      <c r="O42" s="405">
        <f t="shared" si="16"/>
        <v>1</v>
      </c>
      <c r="P42" s="405">
        <f t="shared" si="16"/>
        <v>0.45161290322580644</v>
      </c>
      <c r="Q42" s="405">
        <f t="shared" si="16"/>
        <v>0.42</v>
      </c>
      <c r="R42" s="405">
        <f t="shared" si="16"/>
        <v>1</v>
      </c>
      <c r="S42" s="405">
        <f t="shared" si="16"/>
        <v>0.65116279069767447</v>
      </c>
      <c r="T42" s="405">
        <f t="shared" si="16"/>
        <v>1</v>
      </c>
      <c r="U42" s="405">
        <f t="shared" si="16"/>
        <v>1</v>
      </c>
      <c r="V42" s="405">
        <f t="shared" si="16"/>
        <v>1</v>
      </c>
      <c r="W42" s="405">
        <f t="shared" si="16"/>
        <v>0.64356435643564358</v>
      </c>
      <c r="X42" s="405">
        <f t="shared" si="16"/>
        <v>0.67441860465116277</v>
      </c>
      <c r="Y42" s="405">
        <f t="shared" si="16"/>
        <v>0.32075471698113206</v>
      </c>
      <c r="Z42" s="405">
        <f t="shared" si="16"/>
        <v>1</v>
      </c>
      <c r="AA42" s="406">
        <f t="shared" si="16"/>
        <v>0.46808510638297873</v>
      </c>
      <c r="AB42" s="513"/>
      <c r="AC42" s="512"/>
      <c r="AD42" s="512"/>
      <c r="AE42" s="512"/>
      <c r="AF42" s="512"/>
      <c r="AG42" s="512"/>
      <c r="AH42" s="512"/>
      <c r="AI42" s="512"/>
    </row>
    <row r="43" spans="1:35" s="224" customFormat="1" x14ac:dyDescent="0.25">
      <c r="A43" s="512"/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</row>
    <row r="44" spans="1:35" s="224" customFormat="1" ht="15.75" thickBot="1" x14ac:dyDescent="0.3">
      <c r="A44" s="512"/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</row>
    <row r="45" spans="1:35" s="224" customFormat="1" ht="29.25" customHeight="1" x14ac:dyDescent="0.25">
      <c r="A45" s="512"/>
      <c r="B45" s="788" t="s">
        <v>548</v>
      </c>
      <c r="C45" s="789"/>
      <c r="D45" s="411">
        <f>SUMIFS(D5:D37,D5:D37,"&lt;0")</f>
        <v>-35</v>
      </c>
      <c r="E45" s="403">
        <f t="shared" ref="E45:AA45" si="17">SUMIFS(E5:E37,E5:E37,"&lt;0")</f>
        <v>-11</v>
      </c>
      <c r="F45" s="403">
        <f t="shared" si="17"/>
        <v>-11</v>
      </c>
      <c r="G45" s="403">
        <f t="shared" si="17"/>
        <v>-11</v>
      </c>
      <c r="H45" s="403">
        <f t="shared" si="17"/>
        <v>-11</v>
      </c>
      <c r="I45" s="403">
        <f t="shared" si="17"/>
        <v>-11</v>
      </c>
      <c r="J45" s="403">
        <f t="shared" si="17"/>
        <v>-11</v>
      </c>
      <c r="K45" s="403">
        <f t="shared" si="17"/>
        <v>-40</v>
      </c>
      <c r="L45" s="403">
        <f t="shared" si="17"/>
        <v>0</v>
      </c>
      <c r="M45" s="403">
        <f t="shared" si="17"/>
        <v>-40</v>
      </c>
      <c r="N45" s="403">
        <f t="shared" si="17"/>
        <v>-40</v>
      </c>
      <c r="O45" s="403">
        <f t="shared" si="17"/>
        <v>0</v>
      </c>
      <c r="P45" s="403">
        <f t="shared" si="17"/>
        <v>-34</v>
      </c>
      <c r="Q45" s="403">
        <f t="shared" si="17"/>
        <v>-29</v>
      </c>
      <c r="R45" s="403">
        <f t="shared" si="17"/>
        <v>0</v>
      </c>
      <c r="S45" s="403">
        <f t="shared" si="17"/>
        <v>-15</v>
      </c>
      <c r="T45" s="403">
        <f t="shared" si="17"/>
        <v>0</v>
      </c>
      <c r="U45" s="403">
        <f t="shared" si="17"/>
        <v>0</v>
      </c>
      <c r="V45" s="403">
        <f t="shared" si="17"/>
        <v>0</v>
      </c>
      <c r="W45" s="403">
        <f t="shared" si="17"/>
        <v>-36</v>
      </c>
      <c r="X45" s="403">
        <f t="shared" si="17"/>
        <v>-14</v>
      </c>
      <c r="Y45" s="403">
        <f t="shared" si="17"/>
        <v>-36</v>
      </c>
      <c r="Z45" s="403">
        <f t="shared" si="17"/>
        <v>0</v>
      </c>
      <c r="AA45" s="404">
        <f t="shared" si="17"/>
        <v>-50</v>
      </c>
      <c r="AB45" s="512"/>
      <c r="AC45" s="512"/>
      <c r="AD45" s="512"/>
      <c r="AE45" s="512"/>
      <c r="AF45" s="512"/>
      <c r="AG45" s="512"/>
      <c r="AH45" s="512"/>
      <c r="AI45" s="512"/>
    </row>
    <row r="46" spans="1:35" s="224" customFormat="1" ht="31.5" customHeight="1" thickBot="1" x14ac:dyDescent="0.3">
      <c r="A46" s="512"/>
      <c r="B46" s="781" t="s">
        <v>547</v>
      </c>
      <c r="C46" s="782"/>
      <c r="D46" s="412">
        <f>(-1*D45)/(D41+(-1*D45))</f>
        <v>0.7142857142857143</v>
      </c>
      <c r="E46" s="408">
        <f>(-1*E45)/(E41+(-1*E45))</f>
        <v>0.44</v>
      </c>
      <c r="F46" s="405">
        <f>(-1*F45)/(F41+(-1*F45))</f>
        <v>0.19642857142857142</v>
      </c>
      <c r="G46" s="405">
        <f>(-1*G45)/(G41+(-1*G45))</f>
        <v>0.22</v>
      </c>
      <c r="H46" s="405">
        <f>(-1*H45)/(H41+(-1*H45))</f>
        <v>0.22</v>
      </c>
      <c r="I46" s="405">
        <v>0</v>
      </c>
      <c r="J46" s="405">
        <f t="shared" ref="J46:AA46" si="18">(-1*J45)/(J41+(-1*J45))</f>
        <v>0.22448979591836735</v>
      </c>
      <c r="K46" s="407">
        <f t="shared" si="18"/>
        <v>0.67796610169491522</v>
      </c>
      <c r="L46" s="405">
        <f t="shared" si="18"/>
        <v>0</v>
      </c>
      <c r="M46" s="408">
        <f t="shared" si="18"/>
        <v>0.5</v>
      </c>
      <c r="N46" s="408">
        <f t="shared" si="18"/>
        <v>0.5</v>
      </c>
      <c r="O46" s="405">
        <f t="shared" si="18"/>
        <v>0</v>
      </c>
      <c r="P46" s="408">
        <f t="shared" si="18"/>
        <v>0.54838709677419351</v>
      </c>
      <c r="Q46" s="408">
        <f t="shared" si="18"/>
        <v>0.57999999999999996</v>
      </c>
      <c r="R46" s="405">
        <f t="shared" si="18"/>
        <v>0</v>
      </c>
      <c r="S46" s="408">
        <f t="shared" si="18"/>
        <v>0.34883720930232559</v>
      </c>
      <c r="T46" s="405">
        <f t="shared" si="18"/>
        <v>0</v>
      </c>
      <c r="U46" s="405">
        <f t="shared" si="18"/>
        <v>0</v>
      </c>
      <c r="V46" s="405">
        <f t="shared" si="18"/>
        <v>0</v>
      </c>
      <c r="W46" s="408">
        <f t="shared" si="18"/>
        <v>0.35643564356435642</v>
      </c>
      <c r="X46" s="408">
        <f t="shared" si="18"/>
        <v>0.32558139534883723</v>
      </c>
      <c r="Y46" s="407">
        <f t="shared" si="18"/>
        <v>0.67924528301886788</v>
      </c>
      <c r="Z46" s="405">
        <f t="shared" si="18"/>
        <v>0</v>
      </c>
      <c r="AA46" s="409">
        <f t="shared" si="18"/>
        <v>0.53191489361702127</v>
      </c>
      <c r="AB46" s="513"/>
      <c r="AC46" s="512"/>
      <c r="AD46" s="512"/>
      <c r="AE46" s="512"/>
      <c r="AF46" s="512"/>
      <c r="AG46" s="512"/>
      <c r="AH46" s="512"/>
      <c r="AI46" s="512"/>
    </row>
    <row r="47" spans="1:35" ht="22.5" customHeight="1" x14ac:dyDescent="0.25">
      <c r="A47" s="327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</row>
    <row r="48" spans="1:35" x14ac:dyDescent="0.25">
      <c r="A48" s="327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</row>
    <row r="50" spans="4:27" x14ac:dyDescent="0.25"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</row>
  </sheetData>
  <mergeCells count="25">
    <mergeCell ref="D1:AA1"/>
    <mergeCell ref="B8:B10"/>
    <mergeCell ref="B11:B13"/>
    <mergeCell ref="A1:C3"/>
    <mergeCell ref="D2:E2"/>
    <mergeCell ref="F2:V2"/>
    <mergeCell ref="W2:X2"/>
    <mergeCell ref="Y2:AA2"/>
    <mergeCell ref="A5:A7"/>
    <mergeCell ref="B36:B37"/>
    <mergeCell ref="B42:C42"/>
    <mergeCell ref="B5:B6"/>
    <mergeCell ref="B46:C46"/>
    <mergeCell ref="A23:A28"/>
    <mergeCell ref="B23:B25"/>
    <mergeCell ref="B26:B28"/>
    <mergeCell ref="B41:C41"/>
    <mergeCell ref="B45:C45"/>
    <mergeCell ref="A29:A35"/>
    <mergeCell ref="B29:B31"/>
    <mergeCell ref="A36:A37"/>
    <mergeCell ref="B17:B18"/>
    <mergeCell ref="B19:B21"/>
    <mergeCell ref="A16:A22"/>
    <mergeCell ref="A8:A15"/>
  </mergeCells>
  <pageMargins left="0.7" right="0.7" top="0.75" bottom="0.75" header="0.3" footer="0.3"/>
  <pageSetup orientation="portrait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E8307-E78F-45C0-82BF-F6DACBDA1B31}">
  <sheetPr>
    <tabColor rgb="FF00B0F0"/>
  </sheetPr>
  <dimension ref="B1:R72"/>
  <sheetViews>
    <sheetView zoomScale="70" zoomScaleNormal="70" workbookViewId="0">
      <selection activeCell="L26" sqref="L26"/>
    </sheetView>
  </sheetViews>
  <sheetFormatPr baseColWidth="10" defaultRowHeight="12.75" x14ac:dyDescent="0.2"/>
  <cols>
    <col min="1" max="1" width="11.42578125" style="301"/>
    <col min="2" max="2" width="5.42578125" style="301" customWidth="1"/>
    <col min="3" max="3" width="25.7109375" style="301" customWidth="1"/>
    <col min="4" max="10" width="14.5703125" style="301" bestFit="1" customWidth="1"/>
    <col min="11" max="14" width="12.7109375" style="301" customWidth="1"/>
    <col min="15" max="15" width="11.42578125" style="301" customWidth="1"/>
    <col min="16" max="16" width="30" style="301" customWidth="1"/>
    <col min="17" max="16384" width="11.42578125" style="301"/>
  </cols>
  <sheetData>
    <row r="1" spans="2:14" x14ac:dyDescent="0.2">
      <c r="C1" s="478" t="s">
        <v>651</v>
      </c>
      <c r="D1" s="480">
        <v>0.05</v>
      </c>
      <c r="E1" s="481">
        <f>(1+D1)*(1+E2)-1</f>
        <v>9.7250000000000059E-2</v>
      </c>
      <c r="F1" s="443"/>
      <c r="G1" s="443"/>
      <c r="H1" s="443"/>
      <c r="I1" s="443"/>
      <c r="J1" s="443"/>
      <c r="K1" s="443"/>
      <c r="L1" s="443"/>
      <c r="M1" s="443"/>
      <c r="N1" s="443"/>
    </row>
    <row r="2" spans="2:14" x14ac:dyDescent="0.2">
      <c r="C2" s="479" t="s">
        <v>697</v>
      </c>
      <c r="D2" s="471"/>
      <c r="E2" s="472">
        <v>4.4999999999999998E-2</v>
      </c>
      <c r="F2" s="472">
        <v>0.04</v>
      </c>
      <c r="G2" s="472">
        <v>0.04</v>
      </c>
      <c r="H2" s="472">
        <v>3.5000000000000003E-2</v>
      </c>
      <c r="I2" s="472">
        <v>0.03</v>
      </c>
      <c r="J2" s="472">
        <v>0.03</v>
      </c>
      <c r="K2" s="472">
        <v>0.03</v>
      </c>
      <c r="L2" s="472">
        <v>0.03</v>
      </c>
      <c r="M2" s="472">
        <v>0.03</v>
      </c>
      <c r="N2" s="472">
        <v>0.03</v>
      </c>
    </row>
    <row r="3" spans="2:14" x14ac:dyDescent="0.2">
      <c r="C3" s="479" t="s">
        <v>700</v>
      </c>
      <c r="D3" s="473">
        <v>445</v>
      </c>
      <c r="E3" s="474">
        <f t="shared" ref="E3:N3" si="0">+D3*(1+E2)</f>
        <v>465.02499999999998</v>
      </c>
      <c r="F3" s="474">
        <f t="shared" si="0"/>
        <v>483.62599999999998</v>
      </c>
      <c r="G3" s="474">
        <f t="shared" si="0"/>
        <v>502.97104000000002</v>
      </c>
      <c r="H3" s="474">
        <f t="shared" si="0"/>
        <v>520.57502639999996</v>
      </c>
      <c r="I3" s="474">
        <f t="shared" si="0"/>
        <v>536.19227719200001</v>
      </c>
      <c r="J3" s="474">
        <f t="shared" si="0"/>
        <v>552.27804550776</v>
      </c>
      <c r="K3" s="474">
        <f t="shared" si="0"/>
        <v>568.84638687299287</v>
      </c>
      <c r="L3" s="474">
        <f t="shared" si="0"/>
        <v>585.91177847918266</v>
      </c>
      <c r="M3" s="474">
        <f t="shared" si="0"/>
        <v>603.48913183355819</v>
      </c>
      <c r="N3" s="474">
        <f t="shared" si="0"/>
        <v>621.59380578856496</v>
      </c>
    </row>
    <row r="4" spans="2:14" x14ac:dyDescent="0.2">
      <c r="C4" s="479" t="s">
        <v>699</v>
      </c>
      <c r="D4" s="475">
        <v>576</v>
      </c>
      <c r="E4" s="476">
        <f t="shared" ref="E4:N4" si="1">+D4</f>
        <v>576</v>
      </c>
      <c r="F4" s="476">
        <f t="shared" si="1"/>
        <v>576</v>
      </c>
      <c r="G4" s="476">
        <f t="shared" si="1"/>
        <v>576</v>
      </c>
      <c r="H4" s="476">
        <f t="shared" si="1"/>
        <v>576</v>
      </c>
      <c r="I4" s="476">
        <f t="shared" si="1"/>
        <v>576</v>
      </c>
      <c r="J4" s="476">
        <f t="shared" si="1"/>
        <v>576</v>
      </c>
      <c r="K4" s="476">
        <f t="shared" si="1"/>
        <v>576</v>
      </c>
      <c r="L4" s="476">
        <f t="shared" si="1"/>
        <v>576</v>
      </c>
      <c r="M4" s="476">
        <f t="shared" si="1"/>
        <v>576</v>
      </c>
      <c r="N4" s="476">
        <f t="shared" si="1"/>
        <v>576</v>
      </c>
    </row>
    <row r="5" spans="2:14" x14ac:dyDescent="0.2">
      <c r="C5" s="479" t="s">
        <v>705</v>
      </c>
      <c r="D5" s="477">
        <v>140.07107460059999</v>
      </c>
      <c r="E5" s="474">
        <v>146.37427295762697</v>
      </c>
      <c r="F5" s="474">
        <v>152.22924387593204</v>
      </c>
      <c r="G5" s="474">
        <v>158.31841363096933</v>
      </c>
      <c r="H5" s="474">
        <v>163.85955810805325</v>
      </c>
      <c r="I5" s="474">
        <v>168.77534485129485</v>
      </c>
      <c r="J5" s="474">
        <v>173.8386051968337</v>
      </c>
      <c r="K5" s="474">
        <v>179.05376335273871</v>
      </c>
      <c r="L5" s="474">
        <v>184.42537625332088</v>
      </c>
      <c r="M5" s="474">
        <v>189.95813754092052</v>
      </c>
      <c r="N5" s="474">
        <v>195.65688166714813</v>
      </c>
    </row>
    <row r="6" spans="2:14" x14ac:dyDescent="0.2">
      <c r="C6" s="479" t="s">
        <v>698</v>
      </c>
      <c r="D6" s="477">
        <f t="shared" ref="D6:N6" si="2">+D3*D4</f>
        <v>256320</v>
      </c>
      <c r="E6" s="477">
        <f t="shared" si="2"/>
        <v>267854.39999999997</v>
      </c>
      <c r="F6" s="477">
        <f t="shared" si="2"/>
        <v>278568.576</v>
      </c>
      <c r="G6" s="477">
        <f t="shared" si="2"/>
        <v>289711.31904000003</v>
      </c>
      <c r="H6" s="477">
        <f t="shared" si="2"/>
        <v>299851.21520639997</v>
      </c>
      <c r="I6" s="477">
        <f t="shared" si="2"/>
        <v>308846.751662592</v>
      </c>
      <c r="J6" s="477">
        <f t="shared" si="2"/>
        <v>318112.15421246976</v>
      </c>
      <c r="K6" s="477">
        <f t="shared" si="2"/>
        <v>327655.51883884391</v>
      </c>
      <c r="L6" s="477">
        <f t="shared" si="2"/>
        <v>337485.1844040092</v>
      </c>
      <c r="M6" s="477">
        <f t="shared" si="2"/>
        <v>347609.73993612954</v>
      </c>
      <c r="N6" s="477">
        <f t="shared" si="2"/>
        <v>358038.03213421343</v>
      </c>
    </row>
    <row r="7" spans="2:14" x14ac:dyDescent="0.2">
      <c r="C7" s="479" t="s">
        <v>706</v>
      </c>
      <c r="D7" s="474">
        <v>6244326</v>
      </c>
      <c r="E7" s="474">
        <v>6525320.6699999999</v>
      </c>
      <c r="F7" s="474">
        <v>6786333.4967999998</v>
      </c>
      <c r="G7" s="474">
        <v>7057786.8366719997</v>
      </c>
      <c r="H7" s="474">
        <v>7304809.3759555193</v>
      </c>
      <c r="I7" s="474">
        <v>7523953.6572341854</v>
      </c>
      <c r="J7" s="474">
        <v>7749672.2669512108</v>
      </c>
      <c r="K7" s="474">
        <v>7982162.4349597469</v>
      </c>
      <c r="L7" s="474">
        <v>8221627.3080085395</v>
      </c>
      <c r="M7" s="474">
        <v>8468276.1272487957</v>
      </c>
      <c r="N7" s="474">
        <v>8722324.4110662602</v>
      </c>
    </row>
    <row r="8" spans="2:14" x14ac:dyDescent="0.2">
      <c r="D8" s="302"/>
    </row>
    <row r="9" spans="2:14" x14ac:dyDescent="0.2">
      <c r="C9" s="324" t="s">
        <v>696</v>
      </c>
      <c r="D9" s="302"/>
    </row>
    <row r="10" spans="2:14" ht="16.5" customHeight="1" x14ac:dyDescent="0.2">
      <c r="C10" s="430" t="s">
        <v>12</v>
      </c>
      <c r="D10" s="430">
        <v>0</v>
      </c>
      <c r="E10" s="430">
        <f t="shared" ref="E10:N10" si="3">+D10+1</f>
        <v>1</v>
      </c>
      <c r="F10" s="430">
        <f t="shared" si="3"/>
        <v>2</v>
      </c>
      <c r="G10" s="430">
        <f t="shared" si="3"/>
        <v>3</v>
      </c>
      <c r="H10" s="430">
        <f t="shared" si="3"/>
        <v>4</v>
      </c>
      <c r="I10" s="430">
        <f t="shared" si="3"/>
        <v>5</v>
      </c>
      <c r="J10" s="430">
        <f t="shared" si="3"/>
        <v>6</v>
      </c>
      <c r="K10" s="430">
        <f t="shared" si="3"/>
        <v>7</v>
      </c>
      <c r="L10" s="430">
        <f t="shared" si="3"/>
        <v>8</v>
      </c>
      <c r="M10" s="430">
        <f t="shared" si="3"/>
        <v>9</v>
      </c>
      <c r="N10" s="430">
        <f t="shared" si="3"/>
        <v>10</v>
      </c>
    </row>
    <row r="11" spans="2:14" ht="16.5" customHeight="1" x14ac:dyDescent="0.2">
      <c r="B11" s="301" t="s">
        <v>652</v>
      </c>
      <c r="C11" s="431" t="s">
        <v>653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</row>
    <row r="12" spans="2:14" ht="16.5" customHeight="1" x14ac:dyDescent="0.2">
      <c r="B12" s="301" t="s">
        <v>654</v>
      </c>
      <c r="C12" s="431" t="s">
        <v>695</v>
      </c>
      <c r="D12" s="429">
        <f t="shared" ref="D12:N12" si="4">+D6*12</f>
        <v>3075840</v>
      </c>
      <c r="E12" s="429">
        <f t="shared" si="4"/>
        <v>3214252.8</v>
      </c>
      <c r="F12" s="429">
        <f t="shared" si="4"/>
        <v>3342822.912</v>
      </c>
      <c r="G12" s="429">
        <f t="shared" si="4"/>
        <v>3476535.8284800006</v>
      </c>
      <c r="H12" s="429">
        <f t="shared" si="4"/>
        <v>3598214.5824767994</v>
      </c>
      <c r="I12" s="429">
        <f t="shared" si="4"/>
        <v>3706161.0199511042</v>
      </c>
      <c r="J12" s="429">
        <f t="shared" si="4"/>
        <v>3817345.8505496373</v>
      </c>
      <c r="K12" s="429">
        <f t="shared" si="4"/>
        <v>3931866.226066127</v>
      </c>
      <c r="L12" s="429">
        <f t="shared" si="4"/>
        <v>4049822.2128481101</v>
      </c>
      <c r="M12" s="429">
        <f t="shared" si="4"/>
        <v>4171316.8792335545</v>
      </c>
      <c r="N12" s="429">
        <f t="shared" si="4"/>
        <v>4296456.3856105609</v>
      </c>
    </row>
    <row r="13" spans="2:14" ht="16.5" customHeight="1" x14ac:dyDescent="0.2">
      <c r="B13" s="301" t="s">
        <v>654</v>
      </c>
      <c r="C13" s="431" t="s">
        <v>660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</row>
    <row r="14" spans="2:14" ht="16.5" customHeight="1" x14ac:dyDescent="0.2">
      <c r="B14" s="301" t="s">
        <v>656</v>
      </c>
      <c r="C14" s="432" t="s">
        <v>694</v>
      </c>
      <c r="D14" s="429">
        <f t="shared" ref="D14:N14" si="5">+D11-D12-D13</f>
        <v>-3075840</v>
      </c>
      <c r="E14" s="429">
        <f t="shared" si="5"/>
        <v>-3214252.8</v>
      </c>
      <c r="F14" s="429">
        <f t="shared" si="5"/>
        <v>-3342822.912</v>
      </c>
      <c r="G14" s="429">
        <f t="shared" si="5"/>
        <v>-3476535.8284800006</v>
      </c>
      <c r="H14" s="429">
        <f t="shared" si="5"/>
        <v>-3598214.5824767994</v>
      </c>
      <c r="I14" s="429">
        <f t="shared" si="5"/>
        <v>-3706161.0199511042</v>
      </c>
      <c r="J14" s="429">
        <f t="shared" si="5"/>
        <v>-3817345.8505496373</v>
      </c>
      <c r="K14" s="429">
        <f t="shared" si="5"/>
        <v>-3931866.226066127</v>
      </c>
      <c r="L14" s="429">
        <f t="shared" si="5"/>
        <v>-4049822.2128481101</v>
      </c>
      <c r="M14" s="429">
        <f t="shared" si="5"/>
        <v>-4171316.8792335545</v>
      </c>
      <c r="N14" s="429">
        <f t="shared" si="5"/>
        <v>-4296456.3856105609</v>
      </c>
    </row>
    <row r="15" spans="2:14" ht="16.5" customHeight="1" x14ac:dyDescent="0.2">
      <c r="B15" s="301" t="s">
        <v>654</v>
      </c>
      <c r="C15" s="431" t="s">
        <v>662</v>
      </c>
      <c r="D15" s="429">
        <f t="shared" ref="D15:N15" si="6">+D14*$D$37</f>
        <v>-1015027.2000000001</v>
      </c>
      <c r="E15" s="429">
        <f t="shared" si="6"/>
        <v>-1060703.4239999999</v>
      </c>
      <c r="F15" s="429">
        <f t="shared" si="6"/>
        <v>-1103131.5609600001</v>
      </c>
      <c r="G15" s="429">
        <f t="shared" si="6"/>
        <v>-1147256.8233984003</v>
      </c>
      <c r="H15" s="429">
        <f t="shared" si="6"/>
        <v>-1187410.8122173438</v>
      </c>
      <c r="I15" s="429">
        <f t="shared" si="6"/>
        <v>-1223033.1365838645</v>
      </c>
      <c r="J15" s="429">
        <f t="shared" si="6"/>
        <v>-1259724.1306813804</v>
      </c>
      <c r="K15" s="429">
        <f t="shared" si="6"/>
        <v>-1297515.8546018219</v>
      </c>
      <c r="L15" s="429">
        <f t="shared" si="6"/>
        <v>-1336441.3302398764</v>
      </c>
      <c r="M15" s="429">
        <f t="shared" si="6"/>
        <v>-1376534.5701470731</v>
      </c>
      <c r="N15" s="429">
        <f t="shared" si="6"/>
        <v>-1417830.6072514851</v>
      </c>
    </row>
    <row r="16" spans="2:14" ht="16.5" customHeight="1" x14ac:dyDescent="0.2">
      <c r="B16" s="301" t="s">
        <v>656</v>
      </c>
      <c r="C16" s="431" t="s">
        <v>663</v>
      </c>
      <c r="D16" s="429">
        <f t="shared" ref="D16:N16" si="7">+D14-D15</f>
        <v>-2060812.7999999998</v>
      </c>
      <c r="E16" s="429">
        <f t="shared" si="7"/>
        <v>-2153549.3760000002</v>
      </c>
      <c r="F16" s="429">
        <f t="shared" si="7"/>
        <v>-2239691.3510400001</v>
      </c>
      <c r="G16" s="429">
        <f t="shared" si="7"/>
        <v>-2329279.0050816005</v>
      </c>
      <c r="H16" s="429">
        <f t="shared" si="7"/>
        <v>-2410803.7702594558</v>
      </c>
      <c r="I16" s="429">
        <f t="shared" si="7"/>
        <v>-2483127.8833672395</v>
      </c>
      <c r="J16" s="429">
        <f t="shared" si="7"/>
        <v>-2557621.7198682567</v>
      </c>
      <c r="K16" s="429">
        <f t="shared" si="7"/>
        <v>-2634350.3714643051</v>
      </c>
      <c r="L16" s="429">
        <f t="shared" si="7"/>
        <v>-2713380.882608234</v>
      </c>
      <c r="M16" s="429">
        <f t="shared" si="7"/>
        <v>-2794782.3090864811</v>
      </c>
      <c r="N16" s="429">
        <f t="shared" si="7"/>
        <v>-2878625.778359076</v>
      </c>
    </row>
    <row r="17" spans="2:18" ht="16.5" customHeight="1" x14ac:dyDescent="0.2">
      <c r="B17" s="301" t="s">
        <v>652</v>
      </c>
      <c r="C17" s="431" t="s">
        <v>664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</row>
    <row r="18" spans="2:18" ht="16.5" customHeight="1" x14ac:dyDescent="0.2">
      <c r="B18" s="301" t="s">
        <v>654</v>
      </c>
      <c r="C18" s="431" t="s">
        <v>655</v>
      </c>
      <c r="D18" s="429"/>
      <c r="E18" s="429"/>
      <c r="F18" s="429"/>
      <c r="G18" s="429"/>
      <c r="H18" s="429"/>
      <c r="I18" s="429">
        <f>+D18</f>
        <v>0</v>
      </c>
      <c r="J18" s="429"/>
      <c r="K18" s="429"/>
      <c r="L18" s="429"/>
      <c r="M18" s="429"/>
      <c r="N18" s="429"/>
    </row>
    <row r="19" spans="2:18" ht="16.5" customHeight="1" x14ac:dyDescent="0.2">
      <c r="B19" s="301" t="s">
        <v>656</v>
      </c>
      <c r="C19" s="431" t="s">
        <v>657</v>
      </c>
      <c r="D19" s="429">
        <f t="shared" ref="D19:N19" si="8">+D16+D17-D18</f>
        <v>-2060812.7999999998</v>
      </c>
      <c r="E19" s="429">
        <f t="shared" si="8"/>
        <v>-2153549.3760000002</v>
      </c>
      <c r="F19" s="429">
        <f t="shared" si="8"/>
        <v>-2239691.3510400001</v>
      </c>
      <c r="G19" s="429">
        <f t="shared" si="8"/>
        <v>-2329279.0050816005</v>
      </c>
      <c r="H19" s="429">
        <f t="shared" si="8"/>
        <v>-2410803.7702594558</v>
      </c>
      <c r="I19" s="429">
        <f t="shared" si="8"/>
        <v>-2483127.8833672395</v>
      </c>
      <c r="J19" s="429">
        <f t="shared" si="8"/>
        <v>-2557621.7198682567</v>
      </c>
      <c r="K19" s="429">
        <f t="shared" si="8"/>
        <v>-2634350.3714643051</v>
      </c>
      <c r="L19" s="429">
        <f t="shared" si="8"/>
        <v>-2713380.882608234</v>
      </c>
      <c r="M19" s="429">
        <f t="shared" si="8"/>
        <v>-2794782.3090864811</v>
      </c>
      <c r="N19" s="429">
        <f t="shared" si="8"/>
        <v>-2878625.778359076</v>
      </c>
    </row>
    <row r="20" spans="2:18" x14ac:dyDescent="0.2"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</row>
    <row r="21" spans="2:18" x14ac:dyDescent="0.2">
      <c r="C21" s="430" t="s">
        <v>658</v>
      </c>
      <c r="D21" s="429">
        <f>NPV($E$1,E19:N19)+D19</f>
        <v>-17354343.134706374</v>
      </c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P21" s="451" t="s">
        <v>773</v>
      </c>
      <c r="Q21" s="451" t="s">
        <v>776</v>
      </c>
    </row>
    <row r="22" spans="2:18" ht="15" x14ac:dyDescent="0.25">
      <c r="C22" s="430" t="s">
        <v>659</v>
      </c>
      <c r="D22" s="429">
        <f>-PMT(E1,10,D21)</f>
        <v>-2791059.693138497</v>
      </c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P22" s="445" t="s">
        <v>651</v>
      </c>
      <c r="Q22" s="446">
        <v>0.05</v>
      </c>
      <c r="R22" s="444">
        <f>(1+Q22)*(1+Q23)-1</f>
        <v>9.7250000000000059E-2</v>
      </c>
    </row>
    <row r="23" spans="2:18" ht="15" x14ac:dyDescent="0.25">
      <c r="C23" s="304"/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P23" s="445" t="s">
        <v>697</v>
      </c>
      <c r="Q23" s="447">
        <v>4.4999999999999998E-2</v>
      </c>
      <c r="R23" s="308"/>
    </row>
    <row r="24" spans="2:18" ht="15" x14ac:dyDescent="0.25">
      <c r="C24" s="304" t="s">
        <v>693</v>
      </c>
      <c r="D24" s="441">
        <v>0.21</v>
      </c>
      <c r="P24" s="445" t="s">
        <v>774</v>
      </c>
      <c r="Q24" s="452">
        <v>9.7250000000000059E-2</v>
      </c>
    </row>
    <row r="25" spans="2:18" ht="14.25" x14ac:dyDescent="0.2">
      <c r="C25" s="304" t="s">
        <v>505</v>
      </c>
      <c r="D25" s="442">
        <v>5000</v>
      </c>
      <c r="P25" s="448" t="s">
        <v>693</v>
      </c>
      <c r="Q25" s="449">
        <v>0.21</v>
      </c>
    </row>
    <row r="26" spans="2:18" ht="14.25" x14ac:dyDescent="0.2">
      <c r="C26" s="304" t="s">
        <v>692</v>
      </c>
      <c r="D26" s="301">
        <v>2</v>
      </c>
      <c r="P26" s="448" t="s">
        <v>762</v>
      </c>
      <c r="Q26" s="449">
        <v>0.4</v>
      </c>
    </row>
    <row r="27" spans="2:18" ht="14.25" x14ac:dyDescent="0.2">
      <c r="C27" s="304" t="s">
        <v>706</v>
      </c>
      <c r="D27" s="306">
        <f>'Componentes Sistema '!J31</f>
        <v>6244326</v>
      </c>
      <c r="E27" s="423">
        <f t="shared" ref="E27:N27" si="9">+D27*(1+E2)</f>
        <v>6525320.6699999999</v>
      </c>
      <c r="F27" s="423">
        <f t="shared" si="9"/>
        <v>6786333.4967999998</v>
      </c>
      <c r="G27" s="423">
        <f t="shared" si="9"/>
        <v>7057786.8366719997</v>
      </c>
      <c r="H27" s="423">
        <f t="shared" si="9"/>
        <v>7304809.3759555193</v>
      </c>
      <c r="I27" s="423">
        <f t="shared" si="9"/>
        <v>7523953.6572341854</v>
      </c>
      <c r="J27" s="423">
        <f t="shared" si="9"/>
        <v>7749672.2669512108</v>
      </c>
      <c r="K27" s="423">
        <f t="shared" si="9"/>
        <v>7982162.4349597469</v>
      </c>
      <c r="L27" s="423">
        <f t="shared" si="9"/>
        <v>8221627.3080085395</v>
      </c>
      <c r="M27" s="423">
        <f t="shared" si="9"/>
        <v>8468276.1272487957</v>
      </c>
      <c r="N27" s="423">
        <f t="shared" si="9"/>
        <v>8722324.4110662602</v>
      </c>
      <c r="P27" s="448" t="s">
        <v>775</v>
      </c>
      <c r="Q27" s="449">
        <v>0.33</v>
      </c>
    </row>
    <row r="28" spans="2:18" ht="29.25" customHeight="1" x14ac:dyDescent="0.2">
      <c r="C28" s="326" t="s">
        <v>708</v>
      </c>
      <c r="D28" s="307">
        <v>10058249</v>
      </c>
      <c r="P28" s="448" t="s">
        <v>763</v>
      </c>
      <c r="Q28" s="449">
        <v>0.25</v>
      </c>
    </row>
    <row r="29" spans="2:18" ht="14.25" x14ac:dyDescent="0.2">
      <c r="C29" s="304" t="s">
        <v>691</v>
      </c>
      <c r="D29" s="301">
        <v>6.5</v>
      </c>
      <c r="P29" s="448" t="s">
        <v>692</v>
      </c>
      <c r="Q29" s="448">
        <v>2</v>
      </c>
    </row>
    <row r="30" spans="2:18" ht="14.25" x14ac:dyDescent="0.2">
      <c r="C30" s="304" t="s">
        <v>679</v>
      </c>
      <c r="D30" s="301">
        <v>6.4999999999999997E-3</v>
      </c>
      <c r="P30" s="448" t="s">
        <v>680</v>
      </c>
      <c r="Q30" s="448">
        <v>5.4469999999999996E-4</v>
      </c>
    </row>
    <row r="31" spans="2:18" ht="14.25" x14ac:dyDescent="0.2">
      <c r="C31" s="304" t="s">
        <v>680</v>
      </c>
      <c r="D31" s="301">
        <v>5.4469999999999996E-4</v>
      </c>
      <c r="P31" s="448" t="s">
        <v>690</v>
      </c>
      <c r="Q31" s="448">
        <v>2000</v>
      </c>
    </row>
    <row r="32" spans="2:18" ht="14.25" x14ac:dyDescent="0.2">
      <c r="C32" s="304" t="s">
        <v>690</v>
      </c>
      <c r="D32" s="301">
        <v>2000</v>
      </c>
      <c r="P32" s="448" t="s">
        <v>705</v>
      </c>
      <c r="Q32" s="450">
        <v>140.07107460059999</v>
      </c>
    </row>
    <row r="33" spans="2:14" x14ac:dyDescent="0.2">
      <c r="C33" s="304" t="s">
        <v>689</v>
      </c>
      <c r="D33" s="301">
        <f>+D29*D32*60/1000</f>
        <v>780</v>
      </c>
    </row>
    <row r="34" spans="2:14" x14ac:dyDescent="0.2">
      <c r="C34" s="304" t="s">
        <v>705</v>
      </c>
      <c r="D34" s="306">
        <f>'Componentes Sistema '!H61</f>
        <v>140.07107460059999</v>
      </c>
      <c r="E34" s="325">
        <f t="shared" ref="E34:N34" si="10">+D34*(1+E2)</f>
        <v>146.37427295762697</v>
      </c>
      <c r="F34" s="325">
        <f t="shared" si="10"/>
        <v>152.22924387593204</v>
      </c>
      <c r="G34" s="325">
        <f t="shared" si="10"/>
        <v>158.31841363096933</v>
      </c>
      <c r="H34" s="325">
        <f t="shared" si="10"/>
        <v>163.85955810805325</v>
      </c>
      <c r="I34" s="325">
        <f t="shared" si="10"/>
        <v>168.77534485129485</v>
      </c>
      <c r="J34" s="325">
        <f t="shared" si="10"/>
        <v>173.8386051968337</v>
      </c>
      <c r="K34" s="325">
        <f t="shared" si="10"/>
        <v>179.05376335273871</v>
      </c>
      <c r="L34" s="325">
        <f t="shared" si="10"/>
        <v>184.42537625332088</v>
      </c>
      <c r="M34" s="325">
        <f t="shared" si="10"/>
        <v>189.95813754092052</v>
      </c>
      <c r="N34" s="325">
        <f t="shared" si="10"/>
        <v>195.65688166714813</v>
      </c>
    </row>
    <row r="35" spans="2:14" x14ac:dyDescent="0.2">
      <c r="C35" s="301" t="s">
        <v>761</v>
      </c>
      <c r="D35" s="306">
        <f>+D28-D27</f>
        <v>3813923</v>
      </c>
    </row>
    <row r="36" spans="2:14" x14ac:dyDescent="0.2">
      <c r="C36" s="301" t="s">
        <v>762</v>
      </c>
      <c r="D36" s="424">
        <v>0.4</v>
      </c>
    </row>
    <row r="37" spans="2:14" x14ac:dyDescent="0.2">
      <c r="C37" s="304" t="s">
        <v>701</v>
      </c>
      <c r="D37" s="302">
        <v>0.33</v>
      </c>
    </row>
    <row r="38" spans="2:14" x14ac:dyDescent="0.2">
      <c r="C38" s="301" t="s">
        <v>763</v>
      </c>
      <c r="D38" s="424">
        <v>0.25</v>
      </c>
    </row>
    <row r="40" spans="2:14" x14ac:dyDescent="0.2">
      <c r="C40" s="324" t="s">
        <v>688</v>
      </c>
    </row>
    <row r="41" spans="2:14" ht="15.95" customHeight="1" x14ac:dyDescent="0.2">
      <c r="C41" s="430" t="s">
        <v>12</v>
      </c>
      <c r="D41" s="430">
        <v>0</v>
      </c>
      <c r="E41" s="430">
        <f t="shared" ref="E41:N41" si="11">+D41+1</f>
        <v>1</v>
      </c>
      <c r="F41" s="430">
        <f t="shared" si="11"/>
        <v>2</v>
      </c>
      <c r="G41" s="430">
        <f t="shared" si="11"/>
        <v>3</v>
      </c>
      <c r="H41" s="430">
        <f t="shared" si="11"/>
        <v>4</v>
      </c>
      <c r="I41" s="430">
        <f t="shared" si="11"/>
        <v>5</v>
      </c>
      <c r="J41" s="430">
        <f t="shared" si="11"/>
        <v>6</v>
      </c>
      <c r="K41" s="430">
        <f t="shared" si="11"/>
        <v>7</v>
      </c>
      <c r="L41" s="430">
        <f t="shared" si="11"/>
        <v>8</v>
      </c>
      <c r="M41" s="430">
        <f t="shared" si="11"/>
        <v>9</v>
      </c>
      <c r="N41" s="430">
        <f t="shared" si="11"/>
        <v>10</v>
      </c>
    </row>
    <row r="42" spans="2:14" ht="15.95" customHeight="1" x14ac:dyDescent="0.2">
      <c r="B42" s="301" t="s">
        <v>652</v>
      </c>
      <c r="C42" s="431" t="s">
        <v>653</v>
      </c>
      <c r="D42" s="429"/>
      <c r="E42" s="429"/>
      <c r="F42" s="429"/>
      <c r="G42" s="429">
        <f>+D27*$D$36</f>
        <v>2497730.4</v>
      </c>
      <c r="H42" s="429"/>
      <c r="I42" s="429"/>
      <c r="J42" s="429">
        <f>+G54*$D$36</f>
        <v>2823114.7346688001</v>
      </c>
      <c r="K42" s="429"/>
      <c r="L42" s="429"/>
      <c r="M42" s="429">
        <f>+J54*$D$36</f>
        <v>3099868.9067804846</v>
      </c>
      <c r="N42" s="429">
        <f>+D35*$D$36+N53</f>
        <v>7171086.6181658646</v>
      </c>
    </row>
    <row r="43" spans="2:14" ht="15.95" customHeight="1" x14ac:dyDescent="0.2">
      <c r="B43" s="301" t="s">
        <v>654</v>
      </c>
      <c r="C43" s="431" t="s">
        <v>687</v>
      </c>
      <c r="D43" s="429">
        <f t="shared" ref="D43:N43" si="12">+D12*(1-$D$24)</f>
        <v>2429913.6</v>
      </c>
      <c r="E43" s="429">
        <f t="shared" si="12"/>
        <v>2539259.7119999998</v>
      </c>
      <c r="F43" s="429">
        <f t="shared" si="12"/>
        <v>2640830.10048</v>
      </c>
      <c r="G43" s="429">
        <f t="shared" si="12"/>
        <v>2746463.3044992005</v>
      </c>
      <c r="H43" s="429">
        <f t="shared" si="12"/>
        <v>2842589.5201566718</v>
      </c>
      <c r="I43" s="429">
        <f t="shared" si="12"/>
        <v>2927867.2057613726</v>
      </c>
      <c r="J43" s="429">
        <f t="shared" si="12"/>
        <v>3015703.2219342138</v>
      </c>
      <c r="K43" s="429">
        <f t="shared" si="12"/>
        <v>3106174.3185922406</v>
      </c>
      <c r="L43" s="429">
        <f t="shared" si="12"/>
        <v>3199359.5481500071</v>
      </c>
      <c r="M43" s="429">
        <f t="shared" si="12"/>
        <v>3295340.3345945082</v>
      </c>
      <c r="N43" s="429">
        <f t="shared" si="12"/>
        <v>3394200.5446323431</v>
      </c>
    </row>
    <row r="44" spans="2:14" ht="15.95" customHeight="1" x14ac:dyDescent="0.2">
      <c r="B44" s="301" t="s">
        <v>654</v>
      </c>
      <c r="C44" s="431" t="s">
        <v>686</v>
      </c>
      <c r="D44" s="429"/>
      <c r="E44" s="429">
        <f>+D25*12*(1+E2)</f>
        <v>62699.999999999993</v>
      </c>
      <c r="F44" s="429">
        <f t="shared" ref="F44:N44" si="13">+E44*(1+F2)</f>
        <v>65207.999999999993</v>
      </c>
      <c r="G44" s="429">
        <f t="shared" si="13"/>
        <v>67816.319999999992</v>
      </c>
      <c r="H44" s="429">
        <f t="shared" si="13"/>
        <v>70189.891199999984</v>
      </c>
      <c r="I44" s="429">
        <f t="shared" si="13"/>
        <v>72295.587935999982</v>
      </c>
      <c r="J44" s="429">
        <f t="shared" si="13"/>
        <v>74464.455574079984</v>
      </c>
      <c r="K44" s="429">
        <f t="shared" si="13"/>
        <v>76698.389241302386</v>
      </c>
      <c r="L44" s="429">
        <f t="shared" si="13"/>
        <v>78999.340918541464</v>
      </c>
      <c r="M44" s="429">
        <f t="shared" si="13"/>
        <v>81369.321146097704</v>
      </c>
      <c r="N44" s="429">
        <f t="shared" si="13"/>
        <v>83810.400780480632</v>
      </c>
    </row>
    <row r="45" spans="2:14" ht="15.95" customHeight="1" x14ac:dyDescent="0.2">
      <c r="B45" s="301" t="s">
        <v>654</v>
      </c>
      <c r="C45" s="431" t="s">
        <v>703</v>
      </c>
      <c r="D45" s="429"/>
      <c r="E45" s="429">
        <f t="shared" ref="E45:N45" si="14">(E34*$D$26)*365</f>
        <v>106853.21925906769</v>
      </c>
      <c r="F45" s="429">
        <f t="shared" si="14"/>
        <v>111127.34802943039</v>
      </c>
      <c r="G45" s="429">
        <f t="shared" si="14"/>
        <v>115572.44195060761</v>
      </c>
      <c r="H45" s="429">
        <f t="shared" si="14"/>
        <v>119617.47741887887</v>
      </c>
      <c r="I45" s="429">
        <f t="shared" si="14"/>
        <v>123206.00174144524</v>
      </c>
      <c r="J45" s="429">
        <f t="shared" si="14"/>
        <v>126902.18179368859</v>
      </c>
      <c r="K45" s="429">
        <f t="shared" si="14"/>
        <v>130709.24724749925</v>
      </c>
      <c r="L45" s="429">
        <f t="shared" si="14"/>
        <v>134630.52466492425</v>
      </c>
      <c r="M45" s="429">
        <f t="shared" si="14"/>
        <v>138669.44040487197</v>
      </c>
      <c r="N45" s="429">
        <f t="shared" si="14"/>
        <v>142829.52361701813</v>
      </c>
    </row>
    <row r="46" spans="2:14" ht="15.95" customHeight="1" x14ac:dyDescent="0.2">
      <c r="B46" s="301" t="s">
        <v>654</v>
      </c>
      <c r="C46" s="431" t="s">
        <v>660</v>
      </c>
      <c r="D46" s="429"/>
      <c r="E46" s="429">
        <f>+$D$35/5+$D$27/3</f>
        <v>2844226.6</v>
      </c>
      <c r="F46" s="429">
        <f t="shared" ref="F46:G46" si="15">+$D$35/5+$D$27/3</f>
        <v>2844226.6</v>
      </c>
      <c r="G46" s="429">
        <f t="shared" si="15"/>
        <v>2844226.6</v>
      </c>
      <c r="H46" s="429">
        <f>+$D$35/5+$D$54/3</f>
        <v>4115534.2666666666</v>
      </c>
      <c r="I46" s="429">
        <f>+$D$35/5+$D$54/3</f>
        <v>4115534.2666666666</v>
      </c>
      <c r="J46" s="429">
        <f>+$D$54/3</f>
        <v>3352749.6666666665</v>
      </c>
      <c r="K46" s="429">
        <f>+$J$54/3</f>
        <v>2583224.0889837369</v>
      </c>
      <c r="L46" s="429">
        <f t="shared" ref="L46:M46" si="16">+$J$54/3</f>
        <v>2583224.0889837369</v>
      </c>
      <c r="M46" s="429">
        <f t="shared" si="16"/>
        <v>2583224.0889837369</v>
      </c>
      <c r="N46" s="429">
        <f>+$M$54/3</f>
        <v>2822758.7090829317</v>
      </c>
    </row>
    <row r="47" spans="2:14" ht="15.95" customHeight="1" x14ac:dyDescent="0.2">
      <c r="B47" s="301" t="s">
        <v>707</v>
      </c>
      <c r="C47" s="431" t="s">
        <v>764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>
        <f>+M54-N46</f>
        <v>5645517.4181658644</v>
      </c>
    </row>
    <row r="48" spans="2:14" ht="15.95" customHeight="1" x14ac:dyDescent="0.2">
      <c r="B48" s="301" t="s">
        <v>656</v>
      </c>
      <c r="C48" s="431" t="s">
        <v>661</v>
      </c>
      <c r="D48" s="429">
        <f>+D42-D43-D46</f>
        <v>-2429913.6</v>
      </c>
      <c r="E48" s="429">
        <f>+E42-E43-E44-E45-E46-E47</f>
        <v>-5553039.5312590674</v>
      </c>
      <c r="F48" s="429">
        <f t="shared" ref="F48:N48" si="17">+F42-F43-F44-F45-F46-F47</f>
        <v>-5661392.0485094301</v>
      </c>
      <c r="G48" s="429">
        <f t="shared" si="17"/>
        <v>-3276348.2664498081</v>
      </c>
      <c r="H48" s="429">
        <f t="shared" si="17"/>
        <v>-7147931.1554422174</v>
      </c>
      <c r="I48" s="429">
        <f t="shared" si="17"/>
        <v>-7238903.0621054843</v>
      </c>
      <c r="J48" s="429">
        <f t="shared" si="17"/>
        <v>-3746704.7912998488</v>
      </c>
      <c r="K48" s="429">
        <f t="shared" si="17"/>
        <v>-5896806.0440647788</v>
      </c>
      <c r="L48" s="429">
        <f t="shared" si="17"/>
        <v>-5996213.50271721</v>
      </c>
      <c r="M48" s="429">
        <f t="shared" si="17"/>
        <v>-2998734.2783487299</v>
      </c>
      <c r="N48" s="429">
        <f t="shared" si="17"/>
        <v>-4918029.978112774</v>
      </c>
    </row>
    <row r="49" spans="2:14" ht="15.95" customHeight="1" x14ac:dyDescent="0.2">
      <c r="B49" s="301" t="s">
        <v>654</v>
      </c>
      <c r="C49" s="431" t="s">
        <v>662</v>
      </c>
      <c r="D49" s="429">
        <f t="shared" ref="D49:N49" si="18">+D48*$D$37</f>
        <v>-801871.48800000001</v>
      </c>
      <c r="E49" s="429">
        <f t="shared" si="18"/>
        <v>-1832503.0453154922</v>
      </c>
      <c r="F49" s="429">
        <f t="shared" si="18"/>
        <v>-1868259.376008112</v>
      </c>
      <c r="G49" s="429">
        <f t="shared" si="18"/>
        <v>-1081194.9279284368</v>
      </c>
      <c r="H49" s="429">
        <f t="shared" si="18"/>
        <v>-2358817.2812959319</v>
      </c>
      <c r="I49" s="429">
        <f t="shared" si="18"/>
        <v>-2388838.0104948101</v>
      </c>
      <c r="J49" s="429">
        <f t="shared" si="18"/>
        <v>-1236412.5811289502</v>
      </c>
      <c r="K49" s="429">
        <f t="shared" si="18"/>
        <v>-1945945.9945413771</v>
      </c>
      <c r="L49" s="429">
        <f t="shared" si="18"/>
        <v>-1978750.4558966793</v>
      </c>
      <c r="M49" s="429">
        <f t="shared" si="18"/>
        <v>-989582.31185508089</v>
      </c>
      <c r="N49" s="429">
        <f t="shared" si="18"/>
        <v>-1622949.8927772155</v>
      </c>
    </row>
    <row r="50" spans="2:14" ht="15.95" customHeight="1" x14ac:dyDescent="0.2">
      <c r="B50" s="301" t="s">
        <v>656</v>
      </c>
      <c r="C50" s="431" t="s">
        <v>663</v>
      </c>
      <c r="D50" s="429">
        <f t="shared" ref="D50:N50" si="19">+D48-D49</f>
        <v>-1628042.1120000002</v>
      </c>
      <c r="E50" s="429">
        <f t="shared" si="19"/>
        <v>-3720536.4859435754</v>
      </c>
      <c r="F50" s="429">
        <f t="shared" si="19"/>
        <v>-3793132.6725013182</v>
      </c>
      <c r="G50" s="429">
        <f t="shared" si="19"/>
        <v>-2195153.3385213716</v>
      </c>
      <c r="H50" s="429">
        <f t="shared" si="19"/>
        <v>-4789113.8741462855</v>
      </c>
      <c r="I50" s="429">
        <f t="shared" si="19"/>
        <v>-4850065.0516106747</v>
      </c>
      <c r="J50" s="429">
        <f t="shared" si="19"/>
        <v>-2510292.2101708986</v>
      </c>
      <c r="K50" s="429">
        <f t="shared" si="19"/>
        <v>-3950860.049523402</v>
      </c>
      <c r="L50" s="429">
        <f t="shared" si="19"/>
        <v>-4017463.0468205307</v>
      </c>
      <c r="M50" s="429">
        <f t="shared" si="19"/>
        <v>-2009151.9664936489</v>
      </c>
      <c r="N50" s="429">
        <f t="shared" si="19"/>
        <v>-3295080.0853355583</v>
      </c>
    </row>
    <row r="51" spans="2:14" ht="15.95" customHeight="1" x14ac:dyDescent="0.2">
      <c r="B51" s="301" t="s">
        <v>652</v>
      </c>
      <c r="C51" s="431" t="s">
        <v>664</v>
      </c>
      <c r="D51" s="429"/>
      <c r="E51" s="429">
        <f t="shared" ref="E51:N51" si="20">+E46</f>
        <v>2844226.6</v>
      </c>
      <c r="F51" s="429">
        <f t="shared" si="20"/>
        <v>2844226.6</v>
      </c>
      <c r="G51" s="429">
        <f t="shared" si="20"/>
        <v>2844226.6</v>
      </c>
      <c r="H51" s="429">
        <f t="shared" si="20"/>
        <v>4115534.2666666666</v>
      </c>
      <c r="I51" s="429">
        <f t="shared" si="20"/>
        <v>4115534.2666666666</v>
      </c>
      <c r="J51" s="429">
        <f t="shared" si="20"/>
        <v>3352749.6666666665</v>
      </c>
      <c r="K51" s="429">
        <f t="shared" si="20"/>
        <v>2583224.0889837369</v>
      </c>
      <c r="L51" s="429">
        <f t="shared" si="20"/>
        <v>2583224.0889837369</v>
      </c>
      <c r="M51" s="429">
        <f t="shared" si="20"/>
        <v>2583224.0889837369</v>
      </c>
      <c r="N51" s="429">
        <f t="shared" si="20"/>
        <v>2822758.7090829317</v>
      </c>
    </row>
    <row r="52" spans="2:14" ht="15.95" customHeight="1" x14ac:dyDescent="0.2">
      <c r="B52" s="301" t="s">
        <v>652</v>
      </c>
      <c r="C52" s="431" t="s">
        <v>685</v>
      </c>
      <c r="D52" s="429"/>
      <c r="E52" s="429">
        <f>-E49*25%*2</f>
        <v>916251.5226577461</v>
      </c>
      <c r="F52" s="429">
        <f t="shared" ref="F52:N52" si="21">-F49*25%*2</f>
        <v>934129.68800405599</v>
      </c>
      <c r="G52" s="429">
        <f t="shared" si="21"/>
        <v>540597.46396421839</v>
      </c>
      <c r="H52" s="429">
        <f t="shared" si="21"/>
        <v>1179408.6406479659</v>
      </c>
      <c r="I52" s="429">
        <f t="shared" si="21"/>
        <v>1194419.005247405</v>
      </c>
      <c r="J52" s="429">
        <f t="shared" si="21"/>
        <v>618206.29056447512</v>
      </c>
      <c r="K52" s="429">
        <f t="shared" si="21"/>
        <v>972972.99727068853</v>
      </c>
      <c r="L52" s="429">
        <f t="shared" si="21"/>
        <v>989375.22794833966</v>
      </c>
      <c r="M52" s="429">
        <f t="shared" si="21"/>
        <v>494791.15592754044</v>
      </c>
      <c r="N52" s="429">
        <f t="shared" si="21"/>
        <v>811474.94638860773</v>
      </c>
    </row>
    <row r="53" spans="2:14" ht="15.95" customHeight="1" x14ac:dyDescent="0.2">
      <c r="B53" s="301" t="s">
        <v>652</v>
      </c>
      <c r="C53" s="431" t="s">
        <v>764</v>
      </c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>
        <f>+N47</f>
        <v>5645517.4181658644</v>
      </c>
    </row>
    <row r="54" spans="2:14" ht="15.95" customHeight="1" x14ac:dyDescent="0.2">
      <c r="B54" s="301" t="s">
        <v>654</v>
      </c>
      <c r="C54" s="431" t="s">
        <v>655</v>
      </c>
      <c r="D54" s="429">
        <f>D28</f>
        <v>10058249</v>
      </c>
      <c r="E54" s="429"/>
      <c r="F54" s="429"/>
      <c r="G54" s="429">
        <f>+G27</f>
        <v>7057786.8366719997</v>
      </c>
      <c r="H54" s="429"/>
      <c r="I54" s="429"/>
      <c r="J54" s="429">
        <f>+J27</f>
        <v>7749672.2669512108</v>
      </c>
      <c r="K54" s="429"/>
      <c r="L54" s="429"/>
      <c r="M54" s="429">
        <f>+M27</f>
        <v>8468276.1272487957</v>
      </c>
      <c r="N54" s="429"/>
    </row>
    <row r="55" spans="2:14" ht="15.95" customHeight="1" x14ac:dyDescent="0.2">
      <c r="B55" s="301" t="s">
        <v>652</v>
      </c>
      <c r="C55" s="431" t="s">
        <v>765</v>
      </c>
      <c r="D55" s="433">
        <v>2977009.3139176359</v>
      </c>
      <c r="E55" s="429"/>
      <c r="F55" s="429"/>
      <c r="G55" s="429"/>
      <c r="H55" s="429"/>
      <c r="I55" s="429"/>
      <c r="J55" s="429"/>
      <c r="K55" s="429"/>
      <c r="L55" s="429"/>
      <c r="M55" s="429"/>
      <c r="N55" s="429"/>
    </row>
    <row r="56" spans="2:14" ht="15.95" customHeight="1" x14ac:dyDescent="0.2">
      <c r="B56" s="301" t="s">
        <v>656</v>
      </c>
      <c r="C56" s="431" t="s">
        <v>657</v>
      </c>
      <c r="D56" s="429">
        <f>+D50+D51+D52+D53-D54+D55</f>
        <v>-8709281.7980823629</v>
      </c>
      <c r="E56" s="429">
        <f>+E50+E51+E52+E53-E54</f>
        <v>39941.636714170803</v>
      </c>
      <c r="F56" s="429">
        <f t="shared" ref="F56:N56" si="22">+F50+F51+F52+F53-F54</f>
        <v>-14776.384497262072</v>
      </c>
      <c r="G56" s="429">
        <f t="shared" si="22"/>
        <v>-5868116.1112291533</v>
      </c>
      <c r="H56" s="429">
        <f t="shared" si="22"/>
        <v>505829.03316834709</v>
      </c>
      <c r="I56" s="429">
        <f t="shared" si="22"/>
        <v>459888.22030339693</v>
      </c>
      <c r="J56" s="429">
        <f t="shared" si="22"/>
        <v>-6289008.5198909678</v>
      </c>
      <c r="K56" s="429">
        <f t="shared" si="22"/>
        <v>-394662.96326897654</v>
      </c>
      <c r="L56" s="429">
        <f t="shared" si="22"/>
        <v>-444863.72988845408</v>
      </c>
      <c r="M56" s="429">
        <f t="shared" si="22"/>
        <v>-7399412.8488311674</v>
      </c>
      <c r="N56" s="429">
        <f t="shared" si="22"/>
        <v>5984670.9883018453</v>
      </c>
    </row>
    <row r="57" spans="2:14" ht="15.95" customHeight="1" x14ac:dyDescent="0.2"/>
    <row r="58" spans="2:14" ht="15.95" customHeight="1" x14ac:dyDescent="0.2">
      <c r="C58" s="430" t="s">
        <v>658</v>
      </c>
      <c r="D58" s="429">
        <f>NPV($E$1,E56:N56)+D56</f>
        <v>-17354343.134706378</v>
      </c>
    </row>
    <row r="59" spans="2:14" ht="15.95" customHeight="1" x14ac:dyDescent="0.2">
      <c r="C59" s="430" t="s">
        <v>659</v>
      </c>
      <c r="D59" s="429">
        <f>-PMT(E1,10,D58)</f>
        <v>-2791059.6931384979</v>
      </c>
    </row>
    <row r="60" spans="2:14" ht="15.95" customHeight="1" x14ac:dyDescent="0.2">
      <c r="C60" s="439"/>
      <c r="D60" s="438"/>
    </row>
    <row r="61" spans="2:14" x14ac:dyDescent="0.2">
      <c r="C61" s="304" t="s">
        <v>668</v>
      </c>
    </row>
    <row r="62" spans="2:14" ht="15.95" customHeight="1" x14ac:dyDescent="0.2">
      <c r="C62" s="430"/>
      <c r="D62" s="430">
        <v>0</v>
      </c>
      <c r="E62" s="430">
        <f t="shared" ref="E62" si="23">+D62+1</f>
        <v>1</v>
      </c>
      <c r="F62" s="430">
        <f t="shared" ref="F62" si="24">+E62+1</f>
        <v>2</v>
      </c>
      <c r="G62" s="430">
        <f t="shared" ref="G62" si="25">+F62+1</f>
        <v>3</v>
      </c>
      <c r="H62" s="430">
        <f t="shared" ref="H62" si="26">+G62+1</f>
        <v>4</v>
      </c>
      <c r="I62" s="430">
        <f t="shared" ref="I62" si="27">+H62+1</f>
        <v>5</v>
      </c>
      <c r="J62" s="430">
        <f t="shared" ref="J62" si="28">+I62+1</f>
        <v>6</v>
      </c>
      <c r="K62" s="430">
        <f t="shared" ref="K62" si="29">+J62+1</f>
        <v>7</v>
      </c>
      <c r="L62" s="430">
        <f t="shared" ref="L62" si="30">+K62+1</f>
        <v>8</v>
      </c>
      <c r="M62" s="430">
        <f t="shared" ref="M62" si="31">+L62+1</f>
        <v>9</v>
      </c>
      <c r="N62" s="430">
        <f t="shared" ref="N62" si="32">+M62+1</f>
        <v>10</v>
      </c>
    </row>
    <row r="63" spans="2:14" x14ac:dyDescent="0.2">
      <c r="C63" s="430" t="s">
        <v>769</v>
      </c>
      <c r="D63" s="429">
        <f t="shared" ref="D63:N63" si="33">+D56</f>
        <v>-8709281.7980823629</v>
      </c>
      <c r="E63" s="429">
        <f t="shared" si="33"/>
        <v>39941.636714170803</v>
      </c>
      <c r="F63" s="429">
        <f t="shared" si="33"/>
        <v>-14776.384497262072</v>
      </c>
      <c r="G63" s="429">
        <f t="shared" si="33"/>
        <v>-5868116.1112291533</v>
      </c>
      <c r="H63" s="429">
        <f t="shared" si="33"/>
        <v>505829.03316834709</v>
      </c>
      <c r="I63" s="429">
        <f t="shared" si="33"/>
        <v>459888.22030339693</v>
      </c>
      <c r="J63" s="429">
        <f t="shared" si="33"/>
        <v>-6289008.5198909678</v>
      </c>
      <c r="K63" s="429">
        <f t="shared" si="33"/>
        <v>-394662.96326897654</v>
      </c>
      <c r="L63" s="429">
        <f t="shared" si="33"/>
        <v>-444863.72988845408</v>
      </c>
      <c r="M63" s="429">
        <f t="shared" si="33"/>
        <v>-7399412.8488311674</v>
      </c>
      <c r="N63" s="429">
        <f t="shared" si="33"/>
        <v>5984670.9883018453</v>
      </c>
    </row>
    <row r="64" spans="2:14" x14ac:dyDescent="0.2">
      <c r="C64" s="430" t="s">
        <v>770</v>
      </c>
      <c r="D64" s="429">
        <f t="shared" ref="D64:N64" si="34">+D19</f>
        <v>-2060812.7999999998</v>
      </c>
      <c r="E64" s="429">
        <f t="shared" si="34"/>
        <v>-2153549.3760000002</v>
      </c>
      <c r="F64" s="429">
        <f t="shared" si="34"/>
        <v>-2239691.3510400001</v>
      </c>
      <c r="G64" s="429">
        <f t="shared" si="34"/>
        <v>-2329279.0050816005</v>
      </c>
      <c r="H64" s="429">
        <f t="shared" si="34"/>
        <v>-2410803.7702594558</v>
      </c>
      <c r="I64" s="429">
        <f t="shared" si="34"/>
        <v>-2483127.8833672395</v>
      </c>
      <c r="J64" s="429">
        <f t="shared" si="34"/>
        <v>-2557621.7198682567</v>
      </c>
      <c r="K64" s="429">
        <f t="shared" si="34"/>
        <v>-2634350.3714643051</v>
      </c>
      <c r="L64" s="429">
        <f t="shared" si="34"/>
        <v>-2713380.882608234</v>
      </c>
      <c r="M64" s="429">
        <f t="shared" si="34"/>
        <v>-2794782.3090864811</v>
      </c>
      <c r="N64" s="429">
        <f t="shared" si="34"/>
        <v>-2878625.778359076</v>
      </c>
    </row>
    <row r="65" spans="3:14" x14ac:dyDescent="0.2">
      <c r="C65" s="430" t="s">
        <v>665</v>
      </c>
      <c r="D65" s="429">
        <f t="shared" ref="D65:N65" si="35">+D63-D64</f>
        <v>-6648468.998082363</v>
      </c>
      <c r="E65" s="429">
        <f t="shared" si="35"/>
        <v>2193491.0127141709</v>
      </c>
      <c r="F65" s="429">
        <f t="shared" si="35"/>
        <v>2224914.966542738</v>
      </c>
      <c r="G65" s="429">
        <f t="shared" si="35"/>
        <v>-3538837.1061475528</v>
      </c>
      <c r="H65" s="429">
        <f t="shared" si="35"/>
        <v>2916632.8034278029</v>
      </c>
      <c r="I65" s="429">
        <f t="shared" si="35"/>
        <v>2943016.1036706362</v>
      </c>
      <c r="J65" s="429">
        <f t="shared" si="35"/>
        <v>-3731386.800022711</v>
      </c>
      <c r="K65" s="429">
        <f t="shared" si="35"/>
        <v>2239687.4081953284</v>
      </c>
      <c r="L65" s="429">
        <f t="shared" si="35"/>
        <v>2268517.1527197799</v>
      </c>
      <c r="M65" s="429">
        <f t="shared" si="35"/>
        <v>-4604630.5397446863</v>
      </c>
      <c r="N65" s="429">
        <f t="shared" si="35"/>
        <v>8863296.7666609213</v>
      </c>
    </row>
    <row r="68" spans="3:14" x14ac:dyDescent="0.2">
      <c r="C68" s="430" t="s">
        <v>658</v>
      </c>
      <c r="D68" s="429">
        <f>NPV($E$1,E65:N65)+D65</f>
        <v>0</v>
      </c>
    </row>
    <row r="69" spans="3:14" x14ac:dyDescent="0.2">
      <c r="C69" s="430" t="s">
        <v>771</v>
      </c>
      <c r="D69" s="429">
        <f>NPV($E$1,E65,F65,0,H65,I65,0,K65,L65,0,N65)</f>
        <v>13462739.037581459</v>
      </c>
    </row>
    <row r="70" spans="3:14" x14ac:dyDescent="0.2">
      <c r="C70" s="430" t="s">
        <v>772</v>
      </c>
      <c r="D70" s="429">
        <f>-(NPV($E$1,0,0,G65,0,0,J65,0,0,M65)+D65)</f>
        <v>13462739.037581462</v>
      </c>
    </row>
    <row r="71" spans="3:14" x14ac:dyDescent="0.2">
      <c r="C71" s="430" t="s">
        <v>667</v>
      </c>
      <c r="D71" s="440">
        <f>D69/D70</f>
        <v>0.99999999999999978</v>
      </c>
    </row>
    <row r="72" spans="3:14" x14ac:dyDescent="0.2">
      <c r="C72" s="430" t="s">
        <v>666</v>
      </c>
      <c r="D72" s="453">
        <f>IRR(D65:N65)</f>
        <v>9.7249999999999837E-2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2:AE32"/>
  <sheetViews>
    <sheetView topLeftCell="B3" workbookViewId="0">
      <selection activeCell="AG14" sqref="AG14"/>
    </sheetView>
  </sheetViews>
  <sheetFormatPr baseColWidth="10" defaultRowHeight="15" x14ac:dyDescent="0.25"/>
  <cols>
    <col min="2" max="2" width="11.42578125" style="1"/>
    <col min="8" max="31" width="3.28515625" customWidth="1"/>
  </cols>
  <sheetData>
    <row r="2" spans="2:31" ht="15.75" thickBot="1" x14ac:dyDescent="0.3"/>
    <row r="3" spans="2:31" x14ac:dyDescent="0.25">
      <c r="B3" s="526" t="s">
        <v>9</v>
      </c>
      <c r="C3" s="527"/>
      <c r="D3" s="527"/>
      <c r="E3" s="527"/>
      <c r="F3" s="527"/>
      <c r="G3" s="528"/>
      <c r="H3" s="523" t="s">
        <v>10</v>
      </c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5"/>
    </row>
    <row r="4" spans="2:31" ht="15.75" thickBot="1" x14ac:dyDescent="0.3">
      <c r="B4" s="529"/>
      <c r="C4" s="530"/>
      <c r="D4" s="530"/>
      <c r="E4" s="530"/>
      <c r="F4" s="530"/>
      <c r="G4" s="530"/>
      <c r="H4" s="531" t="s">
        <v>116</v>
      </c>
      <c r="I4" s="532"/>
      <c r="J4" s="532"/>
      <c r="K4" s="533"/>
      <c r="L4" s="531" t="s">
        <v>117</v>
      </c>
      <c r="M4" s="532"/>
      <c r="N4" s="532"/>
      <c r="O4" s="533"/>
      <c r="P4" s="531" t="s">
        <v>118</v>
      </c>
      <c r="Q4" s="532"/>
      <c r="R4" s="532"/>
      <c r="S4" s="533"/>
      <c r="T4" s="531" t="s">
        <v>119</v>
      </c>
      <c r="U4" s="532"/>
      <c r="V4" s="532"/>
      <c r="W4" s="533"/>
      <c r="X4" s="531" t="s">
        <v>120</v>
      </c>
      <c r="Y4" s="532"/>
      <c r="Z4" s="532"/>
      <c r="AA4" s="533"/>
      <c r="AB4" s="531" t="s">
        <v>121</v>
      </c>
      <c r="AC4" s="532"/>
      <c r="AD4" s="532"/>
      <c r="AE4" s="533"/>
    </row>
    <row r="5" spans="2:31" ht="15" customHeight="1" x14ac:dyDescent="0.25">
      <c r="B5" s="43">
        <v>1</v>
      </c>
      <c r="C5" s="552" t="s">
        <v>74</v>
      </c>
      <c r="D5" s="553"/>
      <c r="E5" s="553"/>
      <c r="F5" s="553"/>
      <c r="G5" s="553"/>
      <c r="H5" s="4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39"/>
      <c r="AB5" s="39"/>
      <c r="AC5" s="39"/>
      <c r="AD5" s="39"/>
      <c r="AE5" s="39"/>
    </row>
    <row r="6" spans="2:31" ht="15" customHeight="1" x14ac:dyDescent="0.25">
      <c r="B6" s="44">
        <v>2</v>
      </c>
      <c r="C6" s="545" t="s">
        <v>75</v>
      </c>
      <c r="D6" s="546"/>
      <c r="E6" s="546"/>
      <c r="F6" s="546"/>
      <c r="G6" s="547"/>
      <c r="H6" s="41"/>
      <c r="I6" s="41"/>
      <c r="J6" s="41"/>
      <c r="K6" s="41"/>
      <c r="L6" s="41"/>
      <c r="M6" s="41"/>
      <c r="N6" s="4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9"/>
      <c r="AB6" s="39"/>
      <c r="AC6" s="39"/>
      <c r="AD6" s="39"/>
      <c r="AE6" s="39"/>
    </row>
    <row r="7" spans="2:31" ht="15" customHeight="1" x14ac:dyDescent="0.25">
      <c r="B7" s="45" t="s">
        <v>0</v>
      </c>
      <c r="C7" s="548" t="s">
        <v>114</v>
      </c>
      <c r="D7" s="543"/>
      <c r="E7" s="543"/>
      <c r="F7" s="543"/>
      <c r="G7" s="544"/>
      <c r="H7" s="4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40"/>
      <c r="AB7" s="40"/>
      <c r="AC7" s="39"/>
      <c r="AD7" s="39"/>
      <c r="AE7" s="39"/>
    </row>
    <row r="8" spans="2:31" ht="15" customHeight="1" x14ac:dyDescent="0.25">
      <c r="B8" s="45" t="s">
        <v>1</v>
      </c>
      <c r="C8" s="548" t="s">
        <v>76</v>
      </c>
      <c r="D8" s="543"/>
      <c r="E8" s="543"/>
      <c r="F8" s="543"/>
      <c r="G8" s="544"/>
      <c r="H8" s="4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40"/>
      <c r="AB8" s="40"/>
      <c r="AC8" s="39"/>
      <c r="AD8" s="39"/>
      <c r="AE8" s="39"/>
    </row>
    <row r="9" spans="2:31" ht="15" customHeight="1" x14ac:dyDescent="0.25">
      <c r="B9" s="45" t="s">
        <v>2</v>
      </c>
      <c r="C9" s="542" t="s">
        <v>77</v>
      </c>
      <c r="D9" s="543"/>
      <c r="E9" s="543"/>
      <c r="F9" s="543"/>
      <c r="G9" s="544"/>
      <c r="H9" s="42"/>
      <c r="I9" s="4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40"/>
      <c r="AB9" s="40"/>
      <c r="AC9" s="39"/>
      <c r="AD9" s="39"/>
      <c r="AE9" s="39"/>
    </row>
    <row r="10" spans="2:31" ht="15" customHeight="1" x14ac:dyDescent="0.25">
      <c r="B10" s="45" t="s">
        <v>93</v>
      </c>
      <c r="C10" s="542" t="s">
        <v>78</v>
      </c>
      <c r="D10" s="543"/>
      <c r="E10" s="543"/>
      <c r="F10" s="543"/>
      <c r="G10" s="544"/>
      <c r="H10" s="2"/>
      <c r="I10" s="4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40"/>
      <c r="AB10" s="40"/>
      <c r="AC10" s="39"/>
      <c r="AD10" s="39"/>
      <c r="AE10" s="39"/>
    </row>
    <row r="11" spans="2:31" ht="30" customHeight="1" x14ac:dyDescent="0.25">
      <c r="B11" s="45" t="s">
        <v>94</v>
      </c>
      <c r="C11" s="539" t="s">
        <v>79</v>
      </c>
      <c r="D11" s="540"/>
      <c r="E11" s="540"/>
      <c r="F11" s="540"/>
      <c r="G11" s="541"/>
      <c r="H11" s="2"/>
      <c r="I11" s="2"/>
      <c r="J11" s="42"/>
      <c r="K11" s="4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40"/>
      <c r="AB11" s="40"/>
      <c r="AC11" s="39"/>
      <c r="AD11" s="39"/>
      <c r="AE11" s="39"/>
    </row>
    <row r="12" spans="2:31" ht="15" customHeight="1" x14ac:dyDescent="0.25">
      <c r="B12" s="45" t="s">
        <v>95</v>
      </c>
      <c r="C12" s="539" t="s">
        <v>80</v>
      </c>
      <c r="D12" s="540"/>
      <c r="E12" s="540"/>
      <c r="F12" s="540"/>
      <c r="G12" s="541"/>
      <c r="H12" s="2"/>
      <c r="I12" s="2"/>
      <c r="J12" s="2"/>
      <c r="K12" s="4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40"/>
      <c r="AB12" s="40"/>
      <c r="AC12" s="39"/>
      <c r="AD12" s="39"/>
      <c r="AE12" s="39"/>
    </row>
    <row r="13" spans="2:31" ht="15" customHeight="1" x14ac:dyDescent="0.25">
      <c r="B13" s="45" t="s">
        <v>106</v>
      </c>
      <c r="C13" s="539" t="s">
        <v>81</v>
      </c>
      <c r="D13" s="540"/>
      <c r="E13" s="540"/>
      <c r="F13" s="540"/>
      <c r="G13" s="541"/>
      <c r="H13" s="2"/>
      <c r="I13" s="2"/>
      <c r="J13" s="2"/>
      <c r="K13" s="42"/>
      <c r="L13" s="4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40"/>
      <c r="AB13" s="40"/>
      <c r="AC13" s="39"/>
      <c r="AD13" s="39"/>
      <c r="AE13" s="39"/>
    </row>
    <row r="14" spans="2:31" ht="15" customHeight="1" x14ac:dyDescent="0.25">
      <c r="B14" s="45" t="s">
        <v>107</v>
      </c>
      <c r="C14" s="539" t="s">
        <v>82</v>
      </c>
      <c r="D14" s="540"/>
      <c r="E14" s="540"/>
      <c r="F14" s="540"/>
      <c r="G14" s="541"/>
      <c r="H14" s="2"/>
      <c r="I14" s="2"/>
      <c r="J14" s="2"/>
      <c r="K14" s="2"/>
      <c r="L14" s="4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40"/>
      <c r="AB14" s="40"/>
      <c r="AC14" s="39"/>
      <c r="AD14" s="39"/>
      <c r="AE14" s="39"/>
    </row>
    <row r="15" spans="2:31" ht="15" customHeight="1" x14ac:dyDescent="0.25">
      <c r="B15" s="45" t="s">
        <v>108</v>
      </c>
      <c r="C15" s="539" t="s">
        <v>83</v>
      </c>
      <c r="D15" s="540"/>
      <c r="E15" s="540"/>
      <c r="F15" s="540"/>
      <c r="G15" s="541"/>
      <c r="H15" s="2"/>
      <c r="I15" s="2"/>
      <c r="J15" s="2"/>
      <c r="K15" s="2"/>
      <c r="L15" s="2"/>
      <c r="M15" s="4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40"/>
      <c r="AB15" s="40"/>
      <c r="AC15" s="39"/>
      <c r="AD15" s="39"/>
      <c r="AE15" s="39"/>
    </row>
    <row r="16" spans="2:31" ht="15" customHeight="1" x14ac:dyDescent="0.25">
      <c r="B16" s="45" t="s">
        <v>109</v>
      </c>
      <c r="C16" s="539" t="s">
        <v>84</v>
      </c>
      <c r="D16" s="540"/>
      <c r="E16" s="540"/>
      <c r="F16" s="540"/>
      <c r="G16" s="541"/>
      <c r="H16" s="2"/>
      <c r="I16" s="2"/>
      <c r="J16" s="2"/>
      <c r="K16" s="2"/>
      <c r="L16" s="2"/>
      <c r="M16" s="4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40"/>
      <c r="AB16" s="40"/>
      <c r="AC16" s="39"/>
      <c r="AD16" s="39"/>
      <c r="AE16" s="39"/>
    </row>
    <row r="17" spans="2:31" ht="30" customHeight="1" x14ac:dyDescent="0.25">
      <c r="B17" s="45" t="s">
        <v>110</v>
      </c>
      <c r="C17" s="539" t="s">
        <v>85</v>
      </c>
      <c r="D17" s="540"/>
      <c r="E17" s="540"/>
      <c r="F17" s="540"/>
      <c r="G17" s="541"/>
      <c r="H17" s="2"/>
      <c r="I17" s="2"/>
      <c r="J17" s="2"/>
      <c r="K17" s="2"/>
      <c r="L17" s="2"/>
      <c r="M17" s="2"/>
      <c r="N17" s="4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40"/>
      <c r="AB17" s="40"/>
      <c r="AC17" s="39"/>
      <c r="AD17" s="39"/>
      <c r="AE17" s="39"/>
    </row>
    <row r="18" spans="2:31" ht="15" customHeight="1" x14ac:dyDescent="0.25">
      <c r="B18" s="44">
        <v>3</v>
      </c>
      <c r="C18" s="549" t="s">
        <v>785</v>
      </c>
      <c r="D18" s="550"/>
      <c r="E18" s="550"/>
      <c r="F18" s="550"/>
      <c r="G18" s="551"/>
      <c r="H18" s="2"/>
      <c r="I18" s="2"/>
      <c r="J18" s="2"/>
      <c r="K18" s="2"/>
      <c r="L18" s="2"/>
      <c r="M18" s="2"/>
      <c r="N18" s="2"/>
      <c r="O18" s="41"/>
      <c r="P18" s="41"/>
      <c r="Q18" s="41"/>
      <c r="R18" s="41"/>
      <c r="S18" s="41"/>
      <c r="T18" s="41"/>
      <c r="U18" s="41"/>
      <c r="V18" s="41"/>
      <c r="W18" s="2"/>
      <c r="X18" s="2"/>
      <c r="Y18" s="2"/>
      <c r="Z18" s="2"/>
      <c r="AA18" s="40"/>
      <c r="AB18" s="40"/>
      <c r="AC18" s="39"/>
      <c r="AD18" s="39"/>
      <c r="AE18" s="39"/>
    </row>
    <row r="19" spans="2:31" ht="15" customHeight="1" x14ac:dyDescent="0.25">
      <c r="B19" s="45" t="s">
        <v>3</v>
      </c>
      <c r="C19" s="539" t="s">
        <v>87</v>
      </c>
      <c r="D19" s="540"/>
      <c r="E19" s="540"/>
      <c r="F19" s="540"/>
      <c r="G19" s="541"/>
      <c r="H19" s="2"/>
      <c r="I19" s="2"/>
      <c r="J19" s="2"/>
      <c r="K19" s="2"/>
      <c r="L19" s="2"/>
      <c r="M19" s="2"/>
      <c r="N19" s="2"/>
      <c r="O19" s="42"/>
      <c r="P19" s="42"/>
      <c r="Q19" s="2"/>
      <c r="R19" s="2"/>
      <c r="S19" s="2"/>
      <c r="T19" s="2"/>
      <c r="U19" s="2"/>
      <c r="V19" s="2"/>
      <c r="W19" s="2"/>
      <c r="X19" s="2"/>
      <c r="Y19" s="2"/>
      <c r="Z19" s="2"/>
      <c r="AA19" s="40"/>
      <c r="AB19" s="40"/>
      <c r="AC19" s="39"/>
      <c r="AD19" s="39"/>
      <c r="AE19" s="39"/>
    </row>
    <row r="20" spans="2:31" ht="15" customHeight="1" x14ac:dyDescent="0.25">
      <c r="B20" s="45" t="s">
        <v>4</v>
      </c>
      <c r="C20" s="539" t="s">
        <v>88</v>
      </c>
      <c r="D20" s="540"/>
      <c r="E20" s="540"/>
      <c r="F20" s="540"/>
      <c r="G20" s="541"/>
      <c r="H20" s="2"/>
      <c r="I20" s="2"/>
      <c r="J20" s="2"/>
      <c r="K20" s="2"/>
      <c r="L20" s="2"/>
      <c r="M20" s="2"/>
      <c r="N20" s="2"/>
      <c r="O20" s="2"/>
      <c r="P20" s="2"/>
      <c r="Q20" s="42"/>
      <c r="R20" s="2"/>
      <c r="S20" s="2"/>
      <c r="T20" s="2"/>
      <c r="U20" s="2"/>
      <c r="V20" s="2"/>
      <c r="W20" s="2"/>
      <c r="X20" s="2"/>
      <c r="Y20" s="2"/>
      <c r="Z20" s="2"/>
      <c r="AA20" s="40"/>
      <c r="AB20" s="40"/>
      <c r="AC20" s="39"/>
      <c r="AD20" s="39"/>
      <c r="AE20" s="39"/>
    </row>
    <row r="21" spans="2:31" ht="15" customHeight="1" x14ac:dyDescent="0.25">
      <c r="B21" s="45" t="s">
        <v>5</v>
      </c>
      <c r="C21" s="539" t="s">
        <v>89</v>
      </c>
      <c r="D21" s="540"/>
      <c r="E21" s="540"/>
      <c r="F21" s="540"/>
      <c r="G21" s="541"/>
      <c r="H21" s="2"/>
      <c r="I21" s="2"/>
      <c r="J21" s="2"/>
      <c r="K21" s="2"/>
      <c r="L21" s="2"/>
      <c r="M21" s="2"/>
      <c r="N21" s="2"/>
      <c r="O21" s="2"/>
      <c r="P21" s="2"/>
      <c r="Q21" s="2"/>
      <c r="R21" s="42"/>
      <c r="S21" s="2"/>
      <c r="T21" s="2"/>
      <c r="U21" s="2"/>
      <c r="V21" s="2"/>
      <c r="W21" s="2"/>
      <c r="X21" s="2"/>
      <c r="Y21" s="2"/>
      <c r="Z21" s="2"/>
      <c r="AA21" s="39"/>
      <c r="AB21" s="39"/>
      <c r="AC21" s="39"/>
      <c r="AD21" s="39"/>
      <c r="AE21" s="39"/>
    </row>
    <row r="22" spans="2:31" ht="15" customHeight="1" x14ac:dyDescent="0.25">
      <c r="B22" s="45" t="s">
        <v>102</v>
      </c>
      <c r="C22" s="539" t="s">
        <v>90</v>
      </c>
      <c r="D22" s="540"/>
      <c r="E22" s="540"/>
      <c r="F22" s="540"/>
      <c r="G22" s="541"/>
      <c r="H22" s="2"/>
      <c r="I22" s="2"/>
      <c r="J22" s="2"/>
      <c r="K22" s="2"/>
      <c r="L22" s="2"/>
      <c r="M22" s="2"/>
      <c r="N22" s="2"/>
      <c r="O22" s="2"/>
      <c r="P22" s="2"/>
      <c r="Q22" s="2"/>
      <c r="R22" s="42"/>
      <c r="S22" s="42"/>
      <c r="T22" s="2"/>
      <c r="U22" s="2"/>
      <c r="V22" s="2"/>
      <c r="W22" s="2"/>
      <c r="X22" s="2"/>
      <c r="Y22" s="2"/>
      <c r="Z22" s="2"/>
      <c r="AA22" s="39"/>
      <c r="AB22" s="39"/>
      <c r="AC22" s="39"/>
      <c r="AD22" s="39"/>
      <c r="AE22" s="39"/>
    </row>
    <row r="23" spans="2:31" ht="15" customHeight="1" x14ac:dyDescent="0.25">
      <c r="B23" s="45" t="s">
        <v>111</v>
      </c>
      <c r="C23" s="539" t="s">
        <v>91</v>
      </c>
      <c r="D23" s="540"/>
      <c r="E23" s="540"/>
      <c r="F23" s="540"/>
      <c r="G23" s="54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42"/>
      <c r="T23" s="42"/>
      <c r="U23" s="2"/>
      <c r="V23" s="2"/>
      <c r="W23" s="2"/>
      <c r="X23" s="2"/>
      <c r="Y23" s="2"/>
      <c r="Z23" s="2"/>
      <c r="AA23" s="39"/>
      <c r="AB23" s="39"/>
      <c r="AC23" s="39"/>
      <c r="AD23" s="39"/>
      <c r="AE23" s="39"/>
    </row>
    <row r="24" spans="2:31" ht="15" customHeight="1" x14ac:dyDescent="0.25">
      <c r="B24" s="45" t="s">
        <v>112</v>
      </c>
      <c r="C24" s="539" t="s">
        <v>92</v>
      </c>
      <c r="D24" s="540"/>
      <c r="E24" s="540"/>
      <c r="F24" s="540"/>
      <c r="G24" s="54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42"/>
      <c r="U24" s="42"/>
      <c r="V24" s="42"/>
      <c r="W24" s="2"/>
      <c r="X24" s="2"/>
      <c r="Y24" s="2"/>
      <c r="Z24" s="2"/>
      <c r="AA24" s="39"/>
      <c r="AB24" s="39"/>
      <c r="AC24" s="39"/>
      <c r="AD24" s="39"/>
      <c r="AE24" s="39"/>
    </row>
    <row r="25" spans="2:31" ht="15" customHeight="1" x14ac:dyDescent="0.25">
      <c r="B25" s="44">
        <v>4</v>
      </c>
      <c r="C25" s="549" t="s">
        <v>96</v>
      </c>
      <c r="D25" s="550"/>
      <c r="E25" s="550"/>
      <c r="F25" s="550"/>
      <c r="G25" s="55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41"/>
      <c r="X25" s="41"/>
      <c r="Y25" s="41"/>
      <c r="Z25" s="41"/>
      <c r="AA25" s="41"/>
      <c r="AB25" s="39"/>
      <c r="AC25" s="39"/>
      <c r="AD25" s="39"/>
      <c r="AE25" s="39"/>
    </row>
    <row r="26" spans="2:31" ht="15" customHeight="1" x14ac:dyDescent="0.25">
      <c r="B26" s="45" t="s">
        <v>7</v>
      </c>
      <c r="C26" s="539" t="s">
        <v>97</v>
      </c>
      <c r="D26" s="540"/>
      <c r="E26" s="540"/>
      <c r="F26" s="540"/>
      <c r="G26" s="54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42"/>
      <c r="X26" s="42"/>
      <c r="Y26" s="2"/>
      <c r="Z26" s="2"/>
      <c r="AA26" s="39"/>
      <c r="AB26" s="39"/>
      <c r="AC26" s="39"/>
      <c r="AD26" s="39"/>
      <c r="AE26" s="39"/>
    </row>
    <row r="27" spans="2:31" ht="15" customHeight="1" x14ac:dyDescent="0.25">
      <c r="B27" s="45" t="s">
        <v>6</v>
      </c>
      <c r="C27" s="539" t="s">
        <v>98</v>
      </c>
      <c r="D27" s="540"/>
      <c r="E27" s="540"/>
      <c r="F27" s="540"/>
      <c r="G27" s="54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42"/>
      <c r="Y27" s="42"/>
      <c r="Z27" s="2"/>
      <c r="AA27" s="39"/>
      <c r="AB27" s="39"/>
      <c r="AC27" s="39"/>
      <c r="AD27" s="39"/>
      <c r="AE27" s="39"/>
    </row>
    <row r="28" spans="2:31" ht="15" customHeight="1" x14ac:dyDescent="0.25">
      <c r="B28" s="45" t="s">
        <v>8</v>
      </c>
      <c r="C28" s="539" t="s">
        <v>99</v>
      </c>
      <c r="D28" s="540"/>
      <c r="E28" s="540"/>
      <c r="F28" s="540"/>
      <c r="G28" s="54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42"/>
      <c r="Z28" s="42"/>
      <c r="AA28" s="39"/>
      <c r="AB28" s="39"/>
      <c r="AC28" s="39"/>
      <c r="AD28" s="39"/>
      <c r="AE28" s="39"/>
    </row>
    <row r="29" spans="2:31" ht="15" customHeight="1" x14ac:dyDescent="0.25">
      <c r="B29" s="45" t="s">
        <v>113</v>
      </c>
      <c r="C29" s="539" t="s">
        <v>100</v>
      </c>
      <c r="D29" s="540"/>
      <c r="E29" s="540"/>
      <c r="F29" s="540"/>
      <c r="G29" s="54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2"/>
      <c r="AA29" s="42"/>
      <c r="AB29" s="39"/>
      <c r="AC29" s="39"/>
      <c r="AD29" s="39"/>
      <c r="AE29" s="39"/>
    </row>
    <row r="30" spans="2:31" ht="15" customHeight="1" x14ac:dyDescent="0.25">
      <c r="B30" s="44">
        <v>5</v>
      </c>
      <c r="C30" s="537" t="s">
        <v>104</v>
      </c>
      <c r="D30" s="538"/>
      <c r="E30" s="538"/>
      <c r="F30" s="538"/>
      <c r="G30" s="538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39"/>
      <c r="AB30" s="41"/>
      <c r="AC30" s="41"/>
      <c r="AD30" s="39"/>
      <c r="AE30" s="39"/>
    </row>
    <row r="31" spans="2:31" ht="15" customHeight="1" x14ac:dyDescent="0.25">
      <c r="B31" s="44">
        <v>6</v>
      </c>
      <c r="C31" s="537" t="s">
        <v>105</v>
      </c>
      <c r="D31" s="538"/>
      <c r="E31" s="538"/>
      <c r="F31" s="538"/>
      <c r="G31" s="538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39"/>
      <c r="AB31" s="39"/>
      <c r="AC31" s="39"/>
      <c r="AD31" s="41"/>
      <c r="AE31" s="39"/>
    </row>
    <row r="32" spans="2:31" ht="15" customHeight="1" thickBot="1" x14ac:dyDescent="0.3">
      <c r="B32" s="46">
        <v>7</v>
      </c>
      <c r="C32" s="534" t="s">
        <v>103</v>
      </c>
      <c r="D32" s="535"/>
      <c r="E32" s="535"/>
      <c r="F32" s="535"/>
      <c r="G32" s="53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39"/>
      <c r="AB32" s="39"/>
      <c r="AC32" s="39"/>
      <c r="AD32" s="39"/>
      <c r="AE32" s="41"/>
    </row>
  </sheetData>
  <mergeCells count="36">
    <mergeCell ref="C5:G5"/>
    <mergeCell ref="C30:G30"/>
    <mergeCell ref="C19:G19"/>
    <mergeCell ref="C20:G20"/>
    <mergeCell ref="C21:G21"/>
    <mergeCell ref="C22:G22"/>
    <mergeCell ref="C11:G11"/>
    <mergeCell ref="C12:G12"/>
    <mergeCell ref="C13:G13"/>
    <mergeCell ref="C14:G14"/>
    <mergeCell ref="C16:G16"/>
    <mergeCell ref="C29:G29"/>
    <mergeCell ref="C32:G32"/>
    <mergeCell ref="C31:G31"/>
    <mergeCell ref="C15:G15"/>
    <mergeCell ref="C10:G10"/>
    <mergeCell ref="C6:G6"/>
    <mergeCell ref="C8:G8"/>
    <mergeCell ref="C9:G9"/>
    <mergeCell ref="C7:G7"/>
    <mergeCell ref="C23:G23"/>
    <mergeCell ref="C24:G24"/>
    <mergeCell ref="C25:G25"/>
    <mergeCell ref="C26:G26"/>
    <mergeCell ref="C27:G27"/>
    <mergeCell ref="C28:G28"/>
    <mergeCell ref="C17:G17"/>
    <mergeCell ref="C18:G18"/>
    <mergeCell ref="H3:AE3"/>
    <mergeCell ref="B3:G4"/>
    <mergeCell ref="H4:K4"/>
    <mergeCell ref="L4:O4"/>
    <mergeCell ref="P4:S4"/>
    <mergeCell ref="T4:W4"/>
    <mergeCell ref="X4:AA4"/>
    <mergeCell ref="AB4:AE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2:F26"/>
  <sheetViews>
    <sheetView topLeftCell="A10" zoomScale="85" zoomScaleNormal="85" workbookViewId="0">
      <selection activeCell="D14" sqref="D14"/>
    </sheetView>
  </sheetViews>
  <sheetFormatPr baseColWidth="10" defaultRowHeight="15" x14ac:dyDescent="0.25"/>
  <cols>
    <col min="2" max="2" width="18.7109375" customWidth="1"/>
    <col min="3" max="3" width="33.28515625" customWidth="1"/>
    <col min="4" max="4" width="11.42578125" style="1"/>
    <col min="5" max="5" width="14.42578125" customWidth="1"/>
    <col min="6" max="6" width="60.140625" customWidth="1"/>
  </cols>
  <sheetData>
    <row r="2" spans="2:6" ht="15.75" thickBot="1" x14ac:dyDescent="0.3"/>
    <row r="3" spans="2:6" ht="30" customHeight="1" thickBot="1" x14ac:dyDescent="0.3">
      <c r="B3" s="3" t="s">
        <v>11</v>
      </c>
      <c r="C3" s="3" t="s">
        <v>12</v>
      </c>
      <c r="D3" s="3" t="s">
        <v>13</v>
      </c>
      <c r="E3" s="3" t="s">
        <v>14</v>
      </c>
      <c r="F3" s="3" t="s">
        <v>15</v>
      </c>
    </row>
    <row r="4" spans="2:6" ht="15.75" thickBot="1" x14ac:dyDescent="0.3">
      <c r="B4" s="554" t="s">
        <v>16</v>
      </c>
      <c r="C4" s="555"/>
      <c r="D4" s="555"/>
      <c r="E4" s="555"/>
      <c r="F4" s="556"/>
    </row>
    <row r="5" spans="2:6" ht="15.75" thickTop="1" x14ac:dyDescent="0.25">
      <c r="B5" s="47" t="s">
        <v>17</v>
      </c>
      <c r="C5" s="4" t="s">
        <v>20</v>
      </c>
      <c r="D5" s="5">
        <v>1</v>
      </c>
      <c r="E5" s="4" t="s">
        <v>23</v>
      </c>
      <c r="F5" s="4" t="s">
        <v>35</v>
      </c>
    </row>
    <row r="6" spans="2:6" ht="108" customHeight="1" x14ac:dyDescent="0.25">
      <c r="B6" s="48" t="s">
        <v>18</v>
      </c>
      <c r="C6" s="7" t="s">
        <v>21</v>
      </c>
      <c r="D6" s="8">
        <v>1</v>
      </c>
      <c r="E6" s="7" t="s">
        <v>23</v>
      </c>
      <c r="F6" s="9" t="s">
        <v>33</v>
      </c>
    </row>
    <row r="7" spans="2:6" ht="60.75" thickBot="1" x14ac:dyDescent="0.3">
      <c r="B7" s="49" t="s">
        <v>19</v>
      </c>
      <c r="C7" s="11" t="s">
        <v>22</v>
      </c>
      <c r="D7" s="12">
        <v>1</v>
      </c>
      <c r="E7" s="11" t="s">
        <v>24</v>
      </c>
      <c r="F7" s="13" t="s">
        <v>34</v>
      </c>
    </row>
    <row r="8" spans="2:6" ht="15.75" thickBot="1" x14ac:dyDescent="0.3">
      <c r="B8" s="562" t="s">
        <v>25</v>
      </c>
      <c r="C8" s="563"/>
      <c r="D8" s="563"/>
      <c r="E8" s="563"/>
      <c r="F8" s="564"/>
    </row>
    <row r="9" spans="2:6" ht="30" x14ac:dyDescent="0.25">
      <c r="B9" s="50" t="s">
        <v>26</v>
      </c>
      <c r="C9" s="14" t="s">
        <v>27</v>
      </c>
      <c r="D9" s="15">
        <v>1</v>
      </c>
      <c r="E9" s="16" t="s">
        <v>24</v>
      </c>
      <c r="F9" s="14" t="s">
        <v>36</v>
      </c>
    </row>
    <row r="10" spans="2:6" ht="30" x14ac:dyDescent="0.25">
      <c r="B10" s="48" t="s">
        <v>28</v>
      </c>
      <c r="C10" s="6" t="s">
        <v>29</v>
      </c>
      <c r="D10" s="17">
        <v>1</v>
      </c>
      <c r="E10" s="18" t="s">
        <v>23</v>
      </c>
      <c r="F10" s="6" t="s">
        <v>37</v>
      </c>
    </row>
    <row r="11" spans="2:6" ht="30.75" thickBot="1" x14ac:dyDescent="0.3">
      <c r="B11" s="49" t="s">
        <v>30</v>
      </c>
      <c r="C11" s="10" t="s">
        <v>31</v>
      </c>
      <c r="D11" s="19">
        <v>1</v>
      </c>
      <c r="E11" s="20" t="s">
        <v>24</v>
      </c>
      <c r="F11" s="10" t="s">
        <v>38</v>
      </c>
    </row>
    <row r="12" spans="2:6" ht="15.75" thickBot="1" x14ac:dyDescent="0.3">
      <c r="B12" s="562" t="s">
        <v>32</v>
      </c>
      <c r="C12" s="563"/>
      <c r="D12" s="563"/>
      <c r="E12" s="563"/>
      <c r="F12" s="564"/>
    </row>
    <row r="13" spans="2:6" x14ac:dyDescent="0.25">
      <c r="B13" s="560" t="s">
        <v>47</v>
      </c>
      <c r="C13" s="16" t="s">
        <v>39</v>
      </c>
      <c r="D13" s="15">
        <v>30</v>
      </c>
      <c r="E13" s="16" t="s">
        <v>24</v>
      </c>
      <c r="F13" s="14" t="s">
        <v>55</v>
      </c>
    </row>
    <row r="14" spans="2:6" x14ac:dyDescent="0.25">
      <c r="B14" s="561"/>
      <c r="C14" s="18" t="s">
        <v>40</v>
      </c>
      <c r="D14" s="17">
        <v>100</v>
      </c>
      <c r="E14" s="18" t="s">
        <v>24</v>
      </c>
      <c r="F14" s="6" t="s">
        <v>54</v>
      </c>
    </row>
    <row r="15" spans="2:6" x14ac:dyDescent="0.25">
      <c r="B15" s="561"/>
      <c r="C15" s="18" t="s">
        <v>41</v>
      </c>
      <c r="D15" s="17">
        <v>1</v>
      </c>
      <c r="E15" s="18" t="s">
        <v>23</v>
      </c>
      <c r="F15" s="6" t="s">
        <v>56</v>
      </c>
    </row>
    <row r="16" spans="2:6" ht="30" x14ac:dyDescent="0.25">
      <c r="B16" s="561"/>
      <c r="C16" s="18" t="s">
        <v>42</v>
      </c>
      <c r="D16" s="17">
        <v>1</v>
      </c>
      <c r="E16" s="18" t="s">
        <v>23</v>
      </c>
      <c r="F16" s="6" t="s">
        <v>57</v>
      </c>
    </row>
    <row r="17" spans="2:6" x14ac:dyDescent="0.25">
      <c r="B17" s="561"/>
      <c r="C17" s="18" t="s">
        <v>43</v>
      </c>
      <c r="D17" s="17">
        <v>3</v>
      </c>
      <c r="E17" s="18" t="s">
        <v>24</v>
      </c>
      <c r="F17" s="6" t="s">
        <v>58</v>
      </c>
    </row>
    <row r="18" spans="2:6" x14ac:dyDescent="0.25">
      <c r="B18" s="561"/>
      <c r="C18" s="18" t="s">
        <v>44</v>
      </c>
      <c r="D18" s="17">
        <v>2</v>
      </c>
      <c r="E18" s="18" t="s">
        <v>24</v>
      </c>
      <c r="F18" s="6" t="s">
        <v>59</v>
      </c>
    </row>
    <row r="19" spans="2:6" x14ac:dyDescent="0.25">
      <c r="B19" s="561" t="s">
        <v>48</v>
      </c>
      <c r="C19" s="18" t="s">
        <v>45</v>
      </c>
      <c r="D19" s="17">
        <v>1</v>
      </c>
      <c r="E19" s="18" t="s">
        <v>23</v>
      </c>
      <c r="F19" s="6" t="s">
        <v>60</v>
      </c>
    </row>
    <row r="20" spans="2:6" ht="30" x14ac:dyDescent="0.25">
      <c r="B20" s="561"/>
      <c r="C20" s="18" t="s">
        <v>46</v>
      </c>
      <c r="D20" s="17">
        <v>1</v>
      </c>
      <c r="E20" s="18" t="s">
        <v>24</v>
      </c>
      <c r="F20" s="6" t="s">
        <v>61</v>
      </c>
    </row>
    <row r="21" spans="2:6" ht="30.75" thickBot="1" x14ac:dyDescent="0.3">
      <c r="B21" s="565"/>
      <c r="C21" s="20" t="s">
        <v>50</v>
      </c>
      <c r="D21" s="19">
        <v>1</v>
      </c>
      <c r="E21" s="20" t="s">
        <v>24</v>
      </c>
      <c r="F21" s="10" t="s">
        <v>62</v>
      </c>
    </row>
    <row r="22" spans="2:6" ht="15.75" thickBot="1" x14ac:dyDescent="0.3">
      <c r="B22" s="562" t="s">
        <v>49</v>
      </c>
      <c r="C22" s="563"/>
      <c r="D22" s="563"/>
      <c r="E22" s="563"/>
      <c r="F22" s="564"/>
    </row>
    <row r="23" spans="2:6" ht="30" x14ac:dyDescent="0.25">
      <c r="B23" s="557"/>
      <c r="C23" s="21" t="s">
        <v>67</v>
      </c>
      <c r="D23" s="15">
        <v>5</v>
      </c>
      <c r="E23" s="16" t="s">
        <v>23</v>
      </c>
      <c r="F23" s="14" t="s">
        <v>63</v>
      </c>
    </row>
    <row r="24" spans="2:6" x14ac:dyDescent="0.25">
      <c r="B24" s="558"/>
      <c r="C24" s="22" t="s">
        <v>51</v>
      </c>
      <c r="D24" s="17">
        <v>5</v>
      </c>
      <c r="E24" s="18" t="s">
        <v>23</v>
      </c>
      <c r="F24" s="6" t="s">
        <v>64</v>
      </c>
    </row>
    <row r="25" spans="2:6" ht="45" x14ac:dyDescent="0.25">
      <c r="B25" s="558"/>
      <c r="C25" s="22" t="s">
        <v>52</v>
      </c>
      <c r="D25" s="17">
        <v>40</v>
      </c>
      <c r="E25" s="18" t="s">
        <v>24</v>
      </c>
      <c r="F25" s="6" t="s">
        <v>65</v>
      </c>
    </row>
    <row r="26" spans="2:6" ht="30.75" thickBot="1" x14ac:dyDescent="0.3">
      <c r="B26" s="559"/>
      <c r="C26" s="23" t="s">
        <v>53</v>
      </c>
      <c r="D26" s="19">
        <v>20</v>
      </c>
      <c r="E26" s="20" t="s">
        <v>24</v>
      </c>
      <c r="F26" s="10" t="s">
        <v>66</v>
      </c>
    </row>
  </sheetData>
  <mergeCells count="7">
    <mergeCell ref="B4:F4"/>
    <mergeCell ref="B23:B26"/>
    <mergeCell ref="B13:B18"/>
    <mergeCell ref="B22:F22"/>
    <mergeCell ref="B12:F12"/>
    <mergeCell ref="B8:F8"/>
    <mergeCell ref="B19:B2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C2:I33"/>
  <sheetViews>
    <sheetView topLeftCell="A5" workbookViewId="0">
      <selection activeCell="I8" sqref="I8"/>
    </sheetView>
  </sheetViews>
  <sheetFormatPr baseColWidth="10" defaultRowHeight="15" x14ac:dyDescent="0.25"/>
  <cols>
    <col min="3" max="3" width="13" style="24" customWidth="1"/>
    <col min="4" max="4" width="29.5703125" style="24" bestFit="1" customWidth="1"/>
    <col min="5" max="6" width="11.42578125" style="1"/>
    <col min="7" max="7" width="11.140625" style="54" customWidth="1"/>
    <col min="8" max="8" width="12.28515625" style="54" customWidth="1"/>
    <col min="9" max="9" width="11.42578125" style="24"/>
  </cols>
  <sheetData>
    <row r="2" spans="3:8" ht="15.75" thickBot="1" x14ac:dyDescent="0.3"/>
    <row r="3" spans="3:8" ht="45.75" thickBot="1" x14ac:dyDescent="0.3">
      <c r="C3" s="38" t="s">
        <v>11</v>
      </c>
      <c r="D3" s="38" t="s">
        <v>12</v>
      </c>
      <c r="E3" s="38" t="s">
        <v>13</v>
      </c>
      <c r="F3" s="38" t="s">
        <v>124</v>
      </c>
      <c r="G3" s="55" t="s">
        <v>122</v>
      </c>
      <c r="H3" s="55" t="s">
        <v>123</v>
      </c>
    </row>
    <row r="4" spans="3:8" ht="15.75" thickBot="1" x14ac:dyDescent="0.3">
      <c r="C4" s="570" t="s">
        <v>16</v>
      </c>
      <c r="D4" s="571"/>
      <c r="E4" s="571"/>
      <c r="F4" s="571"/>
      <c r="G4" s="571"/>
      <c r="H4" s="572"/>
    </row>
    <row r="5" spans="3:8" x14ac:dyDescent="0.25">
      <c r="C5" s="566"/>
      <c r="D5" s="25" t="s">
        <v>20</v>
      </c>
      <c r="E5" s="15">
        <v>1</v>
      </c>
      <c r="F5" s="51" t="s">
        <v>125</v>
      </c>
      <c r="G5" s="56">
        <v>0</v>
      </c>
      <c r="H5" s="56">
        <f>E5*G5</f>
        <v>0</v>
      </c>
    </row>
    <row r="6" spans="3:8" x14ac:dyDescent="0.25">
      <c r="C6" s="567"/>
      <c r="D6" s="26" t="s">
        <v>21</v>
      </c>
      <c r="E6" s="17">
        <v>1</v>
      </c>
      <c r="F6" s="52" t="s">
        <v>125</v>
      </c>
      <c r="G6" s="57">
        <v>0</v>
      </c>
      <c r="H6" s="57">
        <f t="shared" ref="H6:H31" si="0">E6*G6</f>
        <v>0</v>
      </c>
    </row>
    <row r="7" spans="3:8" x14ac:dyDescent="0.25">
      <c r="C7" s="567"/>
      <c r="D7" s="26" t="s">
        <v>22</v>
      </c>
      <c r="E7" s="17">
        <v>1</v>
      </c>
      <c r="F7" s="52" t="s">
        <v>125</v>
      </c>
      <c r="G7" s="57">
        <v>0</v>
      </c>
      <c r="H7" s="57">
        <f t="shared" si="0"/>
        <v>0</v>
      </c>
    </row>
    <row r="8" spans="3:8" ht="15.75" thickBot="1" x14ac:dyDescent="0.3">
      <c r="C8" s="29"/>
      <c r="D8" s="32"/>
      <c r="E8" s="33"/>
      <c r="F8" s="33"/>
      <c r="G8" s="58">
        <f>SUM(G5:G7)</f>
        <v>0</v>
      </c>
      <c r="H8" s="58">
        <f>SUM(H5:H7)</f>
        <v>0</v>
      </c>
    </row>
    <row r="9" spans="3:8" ht="15.75" thickBot="1" x14ac:dyDescent="0.3">
      <c r="C9" s="573" t="s">
        <v>25</v>
      </c>
      <c r="D9" s="574"/>
      <c r="E9" s="574"/>
      <c r="F9" s="574"/>
      <c r="G9" s="574"/>
      <c r="H9" s="575"/>
    </row>
    <row r="10" spans="3:8" x14ac:dyDescent="0.25">
      <c r="C10" s="566"/>
      <c r="D10" s="25" t="s">
        <v>26</v>
      </c>
      <c r="E10" s="15">
        <v>1</v>
      </c>
      <c r="F10" s="51" t="s">
        <v>126</v>
      </c>
      <c r="G10" s="56">
        <v>0</v>
      </c>
      <c r="H10" s="56">
        <f t="shared" si="0"/>
        <v>0</v>
      </c>
    </row>
    <row r="11" spans="3:8" x14ac:dyDescent="0.25">
      <c r="C11" s="567"/>
      <c r="D11" s="26" t="s">
        <v>28</v>
      </c>
      <c r="E11" s="17">
        <v>1</v>
      </c>
      <c r="F11" s="52" t="s">
        <v>126</v>
      </c>
      <c r="G11" s="57">
        <v>0</v>
      </c>
      <c r="H11" s="57">
        <f t="shared" si="0"/>
        <v>0</v>
      </c>
    </row>
    <row r="12" spans="3:8" x14ac:dyDescent="0.25">
      <c r="C12" s="567"/>
      <c r="D12" s="26" t="s">
        <v>30</v>
      </c>
      <c r="E12" s="17">
        <v>1</v>
      </c>
      <c r="F12" s="52" t="s">
        <v>126</v>
      </c>
      <c r="G12" s="57">
        <v>0</v>
      </c>
      <c r="H12" s="57">
        <f t="shared" si="0"/>
        <v>0</v>
      </c>
    </row>
    <row r="13" spans="3:8" ht="15.75" thickBot="1" x14ac:dyDescent="0.3">
      <c r="C13" s="29"/>
      <c r="D13" s="27"/>
      <c r="E13" s="19"/>
      <c r="F13" s="53"/>
      <c r="G13" s="59">
        <f>SUM(G10:G12)</f>
        <v>0</v>
      </c>
      <c r="H13" s="59">
        <f>SUM(H10:H12)</f>
        <v>0</v>
      </c>
    </row>
    <row r="14" spans="3:8" ht="15.75" thickBot="1" x14ac:dyDescent="0.3">
      <c r="C14" s="573" t="s">
        <v>32</v>
      </c>
      <c r="D14" s="574"/>
      <c r="E14" s="574"/>
      <c r="F14" s="574"/>
      <c r="G14" s="574"/>
      <c r="H14" s="575"/>
    </row>
    <row r="15" spans="3:8" x14ac:dyDescent="0.25">
      <c r="C15" s="566" t="s">
        <v>47</v>
      </c>
      <c r="D15" s="25" t="s">
        <v>39</v>
      </c>
      <c r="E15" s="15">
        <v>90</v>
      </c>
      <c r="F15" s="51" t="s">
        <v>126</v>
      </c>
      <c r="G15" s="56">
        <v>100</v>
      </c>
      <c r="H15" s="56">
        <f t="shared" si="0"/>
        <v>9000</v>
      </c>
    </row>
    <row r="16" spans="3:8" x14ac:dyDescent="0.25">
      <c r="C16" s="567"/>
      <c r="D16" s="26" t="s">
        <v>40</v>
      </c>
      <c r="E16" s="17">
        <v>300</v>
      </c>
      <c r="F16" s="52" t="s">
        <v>126</v>
      </c>
      <c r="G16" s="57">
        <v>300</v>
      </c>
      <c r="H16" s="57">
        <f t="shared" si="0"/>
        <v>90000</v>
      </c>
    </row>
    <row r="17" spans="3:8" x14ac:dyDescent="0.25">
      <c r="C17" s="567"/>
      <c r="D17" s="26" t="s">
        <v>41</v>
      </c>
      <c r="E17" s="17">
        <v>1</v>
      </c>
      <c r="F17" s="52" t="s">
        <v>126</v>
      </c>
      <c r="G17" s="57">
        <v>0</v>
      </c>
      <c r="H17" s="57">
        <f t="shared" si="0"/>
        <v>0</v>
      </c>
    </row>
    <row r="18" spans="3:8" x14ac:dyDescent="0.25">
      <c r="C18" s="567"/>
      <c r="D18" s="26" t="s">
        <v>42</v>
      </c>
      <c r="E18" s="17">
        <v>1</v>
      </c>
      <c r="F18" s="52" t="s">
        <v>126</v>
      </c>
      <c r="G18" s="57">
        <v>0</v>
      </c>
      <c r="H18" s="57">
        <f t="shared" si="0"/>
        <v>0</v>
      </c>
    </row>
    <row r="19" spans="3:8" x14ac:dyDescent="0.25">
      <c r="C19" s="567"/>
      <c r="D19" s="26" t="s">
        <v>43</v>
      </c>
      <c r="E19" s="17">
        <v>3</v>
      </c>
      <c r="F19" s="52" t="s">
        <v>126</v>
      </c>
      <c r="G19" s="57">
        <v>0</v>
      </c>
      <c r="H19" s="57">
        <f t="shared" si="0"/>
        <v>0</v>
      </c>
    </row>
    <row r="20" spans="3:8" x14ac:dyDescent="0.25">
      <c r="C20" s="567"/>
      <c r="D20" s="26" t="s">
        <v>44</v>
      </c>
      <c r="E20" s="17">
        <v>2</v>
      </c>
      <c r="F20" s="52" t="s">
        <v>126</v>
      </c>
      <c r="G20" s="57">
        <v>1000</v>
      </c>
      <c r="H20" s="57">
        <f t="shared" si="0"/>
        <v>2000</v>
      </c>
    </row>
    <row r="21" spans="3:8" ht="15.75" thickBot="1" x14ac:dyDescent="0.3">
      <c r="C21" s="29"/>
      <c r="D21" s="27"/>
      <c r="E21" s="19"/>
      <c r="F21" s="53"/>
      <c r="G21" s="60">
        <f>SUM(G15:G20)</f>
        <v>1400</v>
      </c>
      <c r="H21" s="60">
        <f>SUM(H15:H20)</f>
        <v>101000</v>
      </c>
    </row>
    <row r="22" spans="3:8" x14ac:dyDescent="0.25">
      <c r="C22" s="576" t="s">
        <v>48</v>
      </c>
      <c r="D22" s="25" t="s">
        <v>45</v>
      </c>
      <c r="E22" s="15">
        <v>1</v>
      </c>
      <c r="F22" s="51" t="s">
        <v>126</v>
      </c>
      <c r="G22" s="56">
        <v>0</v>
      </c>
      <c r="H22" s="56">
        <f t="shared" si="0"/>
        <v>0</v>
      </c>
    </row>
    <row r="23" spans="3:8" x14ac:dyDescent="0.25">
      <c r="C23" s="576"/>
      <c r="D23" s="26" t="s">
        <v>46</v>
      </c>
      <c r="E23" s="17">
        <v>1</v>
      </c>
      <c r="F23" s="52" t="s">
        <v>126</v>
      </c>
      <c r="G23" s="57">
        <v>15000</v>
      </c>
      <c r="H23" s="57">
        <f t="shared" si="0"/>
        <v>15000</v>
      </c>
    </row>
    <row r="24" spans="3:8" x14ac:dyDescent="0.25">
      <c r="C24" s="576"/>
      <c r="D24" s="26" t="s">
        <v>50</v>
      </c>
      <c r="E24" s="17">
        <v>1</v>
      </c>
      <c r="F24" s="52" t="s">
        <v>126</v>
      </c>
      <c r="G24" s="57">
        <v>0</v>
      </c>
      <c r="H24" s="57">
        <f t="shared" si="0"/>
        <v>0</v>
      </c>
    </row>
    <row r="25" spans="3:8" x14ac:dyDescent="0.25">
      <c r="C25" s="30"/>
      <c r="D25" s="26"/>
      <c r="E25" s="17"/>
      <c r="F25" s="52"/>
      <c r="G25" s="61">
        <f>SUM(G22:G24)</f>
        <v>15000</v>
      </c>
      <c r="H25" s="61">
        <f>SUM(H22:H24)</f>
        <v>15000</v>
      </c>
    </row>
    <row r="26" spans="3:8" ht="15.75" thickBot="1" x14ac:dyDescent="0.3">
      <c r="C26" s="31"/>
      <c r="D26" s="32"/>
      <c r="E26" s="33"/>
      <c r="F26" s="33"/>
      <c r="G26" s="58">
        <f>G25+G21</f>
        <v>16400</v>
      </c>
      <c r="H26" s="58">
        <f>H25+H21</f>
        <v>116000</v>
      </c>
    </row>
    <row r="27" spans="3:8" ht="15.75" thickBot="1" x14ac:dyDescent="0.3">
      <c r="C27" s="570" t="s">
        <v>49</v>
      </c>
      <c r="D27" s="571"/>
      <c r="E27" s="571"/>
      <c r="F27" s="571"/>
      <c r="G27" s="571"/>
      <c r="H27" s="572"/>
    </row>
    <row r="28" spans="3:8" x14ac:dyDescent="0.25">
      <c r="C28" s="566"/>
      <c r="D28" s="25" t="s">
        <v>130</v>
      </c>
      <c r="E28" s="15">
        <v>5</v>
      </c>
      <c r="F28" s="51" t="s">
        <v>127</v>
      </c>
      <c r="G28" s="56">
        <v>19800</v>
      </c>
      <c r="H28" s="56">
        <f t="shared" si="0"/>
        <v>99000</v>
      </c>
    </row>
    <row r="29" spans="3:8" x14ac:dyDescent="0.25">
      <c r="C29" s="567"/>
      <c r="D29" s="26" t="s">
        <v>133</v>
      </c>
      <c r="E29" s="17">
        <v>5</v>
      </c>
      <c r="F29" s="52" t="s">
        <v>127</v>
      </c>
      <c r="G29" s="57">
        <v>55000</v>
      </c>
      <c r="H29" s="57">
        <f t="shared" si="0"/>
        <v>275000</v>
      </c>
    </row>
    <row r="30" spans="3:8" x14ac:dyDescent="0.25">
      <c r="C30" s="567"/>
      <c r="D30" s="26" t="s">
        <v>131</v>
      </c>
      <c r="E30" s="17">
        <v>54</v>
      </c>
      <c r="F30" s="52" t="s">
        <v>128</v>
      </c>
      <c r="G30" s="57">
        <v>2200</v>
      </c>
      <c r="H30" s="57">
        <f t="shared" si="0"/>
        <v>118800</v>
      </c>
    </row>
    <row r="31" spans="3:8" ht="15.75" thickBot="1" x14ac:dyDescent="0.3">
      <c r="C31" s="567"/>
      <c r="D31" s="34" t="s">
        <v>132</v>
      </c>
      <c r="E31" s="35">
        <v>50</v>
      </c>
      <c r="F31" s="35" t="s">
        <v>129</v>
      </c>
      <c r="G31" s="62">
        <v>349</v>
      </c>
      <c r="H31" s="62">
        <f t="shared" si="0"/>
        <v>17450</v>
      </c>
    </row>
    <row r="32" spans="3:8" ht="15.75" thickBot="1" x14ac:dyDescent="0.3">
      <c r="C32" s="28"/>
      <c r="D32" s="37"/>
      <c r="E32" s="36"/>
      <c r="F32" s="36"/>
      <c r="G32" s="63">
        <f>SUM(G28:G31)</f>
        <v>77349</v>
      </c>
      <c r="H32" s="63">
        <f>SUM(H28:H31)</f>
        <v>510250</v>
      </c>
    </row>
    <row r="33" spans="3:8" ht="15.75" thickBot="1" x14ac:dyDescent="0.3">
      <c r="C33" s="568" t="s">
        <v>68</v>
      </c>
      <c r="D33" s="569"/>
      <c r="E33" s="569"/>
      <c r="F33" s="569"/>
      <c r="G33" s="569"/>
      <c r="H33" s="64">
        <f>H32+H26+H13+H8</f>
        <v>626250</v>
      </c>
    </row>
  </sheetData>
  <mergeCells count="10">
    <mergeCell ref="C28:C31"/>
    <mergeCell ref="C33:G33"/>
    <mergeCell ref="C5:C7"/>
    <mergeCell ref="C4:H4"/>
    <mergeCell ref="C9:H9"/>
    <mergeCell ref="C14:H14"/>
    <mergeCell ref="C27:H27"/>
    <mergeCell ref="C10:C12"/>
    <mergeCell ref="C15:C20"/>
    <mergeCell ref="C22:C24"/>
  </mergeCells>
  <pageMargins left="0.7" right="0.7" top="0.75" bottom="0.75" header="0.3" footer="0.3"/>
  <ignoredErrors>
    <ignoredError sqref="H2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C1:V40"/>
  <sheetViews>
    <sheetView topLeftCell="A17" workbookViewId="0">
      <selection activeCell="I22" sqref="I22"/>
    </sheetView>
  </sheetViews>
  <sheetFormatPr baseColWidth="10" defaultRowHeight="15" x14ac:dyDescent="0.25"/>
  <cols>
    <col min="5" max="5" width="11.85546875" bestFit="1" customWidth="1"/>
    <col min="6" max="6" width="11.42578125" style="65"/>
    <col min="7" max="7" width="13.140625" style="65" customWidth="1"/>
    <col min="10" max="10" width="15.5703125" customWidth="1"/>
  </cols>
  <sheetData>
    <row r="1" spans="3:22" x14ac:dyDescent="0.25">
      <c r="V1" t="s">
        <v>135</v>
      </c>
    </row>
    <row r="2" spans="3:22" ht="28.5" customHeight="1" x14ac:dyDescent="0.25">
      <c r="C2" s="577" t="s">
        <v>160</v>
      </c>
      <c r="D2" s="577"/>
      <c r="E2" s="577"/>
      <c r="F2" s="577"/>
      <c r="G2" s="66"/>
      <c r="J2" s="577" t="s">
        <v>278</v>
      </c>
      <c r="K2" s="577"/>
      <c r="L2" s="577"/>
      <c r="M2" s="577"/>
      <c r="P2" s="577" t="s">
        <v>161</v>
      </c>
      <c r="Q2" s="577"/>
      <c r="R2" s="577"/>
      <c r="S2" s="577"/>
    </row>
    <row r="3" spans="3:22" x14ac:dyDescent="0.25">
      <c r="C3" s="462" t="s">
        <v>136</v>
      </c>
      <c r="D3" s="462" t="s">
        <v>137</v>
      </c>
      <c r="E3" s="462" t="s">
        <v>138</v>
      </c>
      <c r="F3" s="463" t="s">
        <v>139</v>
      </c>
      <c r="J3" s="462" t="s">
        <v>136</v>
      </c>
      <c r="K3" s="462" t="s">
        <v>137</v>
      </c>
      <c r="L3" s="462" t="s">
        <v>138</v>
      </c>
      <c r="M3" s="463" t="s">
        <v>139</v>
      </c>
      <c r="P3" s="462" t="s">
        <v>136</v>
      </c>
      <c r="Q3" s="462" t="s">
        <v>137</v>
      </c>
      <c r="R3" s="462" t="s">
        <v>138</v>
      </c>
      <c r="S3" s="463" t="s">
        <v>139</v>
      </c>
    </row>
    <row r="4" spans="3:22" x14ac:dyDescent="0.25">
      <c r="C4" s="39"/>
      <c r="D4" s="39"/>
      <c r="E4" s="39">
        <v>139</v>
      </c>
      <c r="F4" s="67"/>
      <c r="J4" s="39"/>
      <c r="K4" s="39"/>
      <c r="L4" s="39">
        <v>57</v>
      </c>
      <c r="M4" s="67"/>
      <c r="P4" s="39"/>
      <c r="Q4" s="39"/>
      <c r="R4" s="39">
        <v>172</v>
      </c>
      <c r="S4" s="67"/>
    </row>
    <row r="5" spans="3:22" x14ac:dyDescent="0.25">
      <c r="C5" s="39"/>
      <c r="D5" s="39"/>
      <c r="E5" s="39">
        <v>147</v>
      </c>
      <c r="F5" s="67"/>
      <c r="J5" s="39"/>
      <c r="K5" s="39"/>
      <c r="L5" s="39">
        <v>40</v>
      </c>
      <c r="M5" s="67"/>
      <c r="P5" s="39"/>
      <c r="Q5" s="39"/>
      <c r="R5" s="39">
        <v>160</v>
      </c>
      <c r="S5" s="67"/>
    </row>
    <row r="6" spans="3:22" x14ac:dyDescent="0.25">
      <c r="C6" s="39"/>
      <c r="D6" s="39"/>
      <c r="E6" s="39">
        <v>162</v>
      </c>
      <c r="F6" s="67"/>
      <c r="J6" s="39"/>
      <c r="K6" s="39"/>
      <c r="L6" s="39">
        <v>32</v>
      </c>
      <c r="M6" s="67"/>
      <c r="P6" s="39"/>
      <c r="Q6" s="39"/>
      <c r="R6" s="39">
        <v>159</v>
      </c>
      <c r="S6" s="67"/>
    </row>
    <row r="7" spans="3:22" x14ac:dyDescent="0.25">
      <c r="C7" s="39"/>
      <c r="D7" s="39"/>
      <c r="E7" s="39">
        <v>122</v>
      </c>
      <c r="F7" s="67"/>
      <c r="J7" s="39"/>
      <c r="K7" s="39"/>
      <c r="L7" s="39">
        <v>30</v>
      </c>
      <c r="M7" s="67"/>
      <c r="P7" s="39"/>
      <c r="Q7" s="39"/>
      <c r="R7" s="39">
        <v>226</v>
      </c>
      <c r="S7" s="67"/>
    </row>
    <row r="8" spans="3:22" x14ac:dyDescent="0.25">
      <c r="C8" s="39"/>
      <c r="D8" s="39"/>
      <c r="E8" s="39">
        <v>148</v>
      </c>
      <c r="F8" s="67"/>
      <c r="J8" s="39"/>
      <c r="K8" s="39"/>
      <c r="L8" s="39">
        <v>38</v>
      </c>
      <c r="M8" s="67"/>
      <c r="P8" s="39"/>
      <c r="Q8" s="39"/>
      <c r="R8" s="39">
        <v>217</v>
      </c>
      <c r="S8" s="67"/>
    </row>
    <row r="9" spans="3:22" x14ac:dyDescent="0.25">
      <c r="C9" s="39"/>
      <c r="D9" s="39"/>
      <c r="E9" s="39">
        <v>109</v>
      </c>
      <c r="F9" s="67"/>
      <c r="J9" s="39"/>
      <c r="K9" s="39"/>
      <c r="L9" s="39">
        <v>40</v>
      </c>
      <c r="M9" s="67"/>
      <c r="P9" s="39"/>
      <c r="Q9" s="39"/>
      <c r="R9" s="39">
        <v>242</v>
      </c>
      <c r="S9" s="67"/>
    </row>
    <row r="10" spans="3:22" x14ac:dyDescent="0.25">
      <c r="C10" s="68">
        <v>42552</v>
      </c>
      <c r="D10" s="68">
        <v>42584</v>
      </c>
      <c r="E10" s="39">
        <v>81</v>
      </c>
      <c r="F10" s="67">
        <v>438.95</v>
      </c>
      <c r="J10" s="68">
        <v>43011</v>
      </c>
      <c r="K10" s="68">
        <v>43040</v>
      </c>
      <c r="L10" s="39">
        <v>47</v>
      </c>
      <c r="M10" s="67">
        <v>454.07</v>
      </c>
      <c r="P10" s="68">
        <v>42646</v>
      </c>
      <c r="Q10" s="68">
        <v>42675</v>
      </c>
      <c r="R10" s="39">
        <v>235</v>
      </c>
      <c r="S10" s="67">
        <v>444.45</v>
      </c>
    </row>
    <row r="11" spans="3:22" x14ac:dyDescent="0.25">
      <c r="C11" s="68">
        <v>42584</v>
      </c>
      <c r="D11" s="68">
        <v>42614</v>
      </c>
      <c r="E11" s="39">
        <v>130</v>
      </c>
      <c r="F11" s="67">
        <v>445.38</v>
      </c>
      <c r="K11" s="498" t="s">
        <v>141</v>
      </c>
      <c r="L11" s="498">
        <f>AVERAGE(L4:L10)</f>
        <v>40.571428571428569</v>
      </c>
      <c r="M11" s="801">
        <f>AVERAGE(M4:M10)</f>
        <v>454.07</v>
      </c>
      <c r="P11" s="39"/>
      <c r="Q11" s="39" t="s">
        <v>140</v>
      </c>
      <c r="R11" s="39">
        <v>203</v>
      </c>
      <c r="S11" s="39"/>
    </row>
    <row r="12" spans="3:22" x14ac:dyDescent="0.25">
      <c r="C12" s="68">
        <v>42614</v>
      </c>
      <c r="D12" s="68">
        <v>42646</v>
      </c>
      <c r="E12" s="39">
        <v>178</v>
      </c>
      <c r="F12" s="67">
        <v>444.45</v>
      </c>
      <c r="P12" s="39"/>
      <c r="Q12" s="39"/>
      <c r="R12" s="39">
        <v>216</v>
      </c>
      <c r="S12" s="39"/>
    </row>
    <row r="13" spans="3:22" x14ac:dyDescent="0.25">
      <c r="C13" s="68">
        <v>42646</v>
      </c>
      <c r="D13" s="68">
        <v>42675</v>
      </c>
      <c r="E13" s="39">
        <v>167</v>
      </c>
      <c r="F13" s="67">
        <v>444.45</v>
      </c>
      <c r="P13" s="39"/>
      <c r="Q13" s="39"/>
      <c r="R13" s="39">
        <v>208</v>
      </c>
      <c r="S13" s="39"/>
    </row>
    <row r="14" spans="3:22" x14ac:dyDescent="0.25">
      <c r="C14" s="68">
        <v>42675</v>
      </c>
      <c r="D14" s="68">
        <v>42705</v>
      </c>
      <c r="E14" s="39">
        <v>169</v>
      </c>
      <c r="F14" s="67">
        <v>432.98</v>
      </c>
      <c r="J14" s="577" t="s">
        <v>159</v>
      </c>
      <c r="K14" s="577"/>
      <c r="P14" s="39"/>
      <c r="Q14" s="39"/>
      <c r="R14" s="39">
        <v>174</v>
      </c>
      <c r="S14" s="39"/>
    </row>
    <row r="15" spans="3:22" x14ac:dyDescent="0.25">
      <c r="C15" s="68">
        <v>43070</v>
      </c>
      <c r="D15" s="68">
        <v>42739</v>
      </c>
      <c r="E15" s="39">
        <v>177</v>
      </c>
      <c r="F15" s="67">
        <v>454.21</v>
      </c>
      <c r="J15" s="577"/>
      <c r="K15" s="577"/>
      <c r="P15" s="39"/>
      <c r="Q15" s="39"/>
      <c r="R15" s="39">
        <v>182</v>
      </c>
      <c r="S15" s="39"/>
    </row>
    <row r="16" spans="3:22" x14ac:dyDescent="0.25">
      <c r="C16" s="68">
        <v>42739</v>
      </c>
      <c r="D16" s="68">
        <v>42768</v>
      </c>
      <c r="E16" s="39">
        <v>182</v>
      </c>
      <c r="F16" s="67">
        <v>454.21</v>
      </c>
      <c r="J16" s="39" t="s">
        <v>154</v>
      </c>
      <c r="K16" s="75">
        <f>F22</f>
        <v>444.79500000000002</v>
      </c>
      <c r="P16" s="39"/>
      <c r="Q16" s="68">
        <v>42858</v>
      </c>
      <c r="R16" s="39">
        <v>184</v>
      </c>
      <c r="S16" s="39"/>
    </row>
    <row r="17" spans="3:19" x14ac:dyDescent="0.25">
      <c r="C17" s="68">
        <v>42768</v>
      </c>
      <c r="D17" s="68">
        <v>42796</v>
      </c>
      <c r="E17" s="39">
        <v>195</v>
      </c>
      <c r="F17" s="67">
        <v>440.84</v>
      </c>
      <c r="J17" s="39" t="s">
        <v>155</v>
      </c>
      <c r="K17" s="75">
        <f>('Inventario de cargas (WORD)'!K52)/1000</f>
        <v>131.48261500000001</v>
      </c>
      <c r="P17" s="68">
        <v>42858</v>
      </c>
      <c r="Q17" s="68">
        <v>42891</v>
      </c>
      <c r="R17" s="39">
        <v>224</v>
      </c>
      <c r="S17" s="39">
        <v>450.49</v>
      </c>
    </row>
    <row r="18" spans="3:19" x14ac:dyDescent="0.25">
      <c r="C18" s="68">
        <v>42796</v>
      </c>
      <c r="D18" s="68">
        <v>42828</v>
      </c>
      <c r="E18" s="39">
        <v>207</v>
      </c>
      <c r="F18" s="67">
        <v>453.72</v>
      </c>
      <c r="G18" s="66"/>
      <c r="J18" s="39" t="s">
        <v>156</v>
      </c>
      <c r="K18" s="75">
        <f>L11</f>
        <v>40.571428571428569</v>
      </c>
      <c r="Q18" s="69" t="s">
        <v>141</v>
      </c>
      <c r="R18" s="69">
        <f>AVERAGE(R4:R17)</f>
        <v>200.14285714285714</v>
      </c>
      <c r="S18" s="74">
        <f>AVERAGE(S4:S17)</f>
        <v>447.47</v>
      </c>
    </row>
    <row r="19" spans="3:19" x14ac:dyDescent="0.25">
      <c r="C19" s="68">
        <v>42828</v>
      </c>
      <c r="D19" s="68">
        <v>42858</v>
      </c>
      <c r="E19" s="39">
        <v>187</v>
      </c>
      <c r="F19" s="67">
        <v>445.04</v>
      </c>
      <c r="J19" s="39" t="s">
        <v>157</v>
      </c>
      <c r="K19" s="75">
        <f>S18</f>
        <v>447.47</v>
      </c>
    </row>
    <row r="20" spans="3:19" x14ac:dyDescent="0.25">
      <c r="C20" s="70" t="s">
        <v>142</v>
      </c>
      <c r="D20" s="68">
        <v>42891</v>
      </c>
      <c r="E20" s="39">
        <v>202</v>
      </c>
      <c r="F20" s="67">
        <v>450.49</v>
      </c>
      <c r="J20" s="462" t="s">
        <v>158</v>
      </c>
      <c r="K20" s="464">
        <f>SUM(K16:K19)</f>
        <v>1064.3190435714287</v>
      </c>
    </row>
    <row r="21" spans="3:19" x14ac:dyDescent="0.25">
      <c r="C21" s="68">
        <v>42891</v>
      </c>
      <c r="D21" s="68">
        <v>42920</v>
      </c>
      <c r="E21" s="39">
        <v>156</v>
      </c>
      <c r="F21" s="67">
        <v>432.82</v>
      </c>
      <c r="J21" s="462" t="s">
        <v>163</v>
      </c>
      <c r="K21" s="462">
        <f>(K20/30)/24</f>
        <v>1.4782208938492065</v>
      </c>
    </row>
    <row r="22" spans="3:19" x14ac:dyDescent="0.25">
      <c r="D22" s="498" t="s">
        <v>141</v>
      </c>
      <c r="E22" s="498">
        <f>AVERAGE(E4:E21)</f>
        <v>158.77777777777777</v>
      </c>
      <c r="F22" s="801">
        <f>AVERAGE(F4:F21)</f>
        <v>444.79500000000002</v>
      </c>
      <c r="G22" s="73">
        <f>(F22/30)/24</f>
        <v>0.61777083333333338</v>
      </c>
    </row>
    <row r="23" spans="3:19" ht="45" x14ac:dyDescent="0.25">
      <c r="J23" s="457" t="s">
        <v>424</v>
      </c>
      <c r="K23" s="426" t="s">
        <v>709</v>
      </c>
      <c r="L23" s="426" t="s">
        <v>710</v>
      </c>
    </row>
    <row r="24" spans="3:19" x14ac:dyDescent="0.25">
      <c r="C24" s="578" t="s">
        <v>162</v>
      </c>
      <c r="D24" s="578"/>
      <c r="E24" s="578"/>
      <c r="F24" s="578"/>
      <c r="G24" s="578"/>
      <c r="J24" s="39" t="s">
        <v>195</v>
      </c>
      <c r="K24" s="458">
        <f>('Inventario de cargas (WORD)'!Y21)/1000</f>
        <v>76.367289358516501</v>
      </c>
      <c r="L24" s="75">
        <f>K16</f>
        <v>444.79500000000002</v>
      </c>
    </row>
    <row r="25" spans="3:19" x14ac:dyDescent="0.25">
      <c r="C25" s="462" t="s">
        <v>136</v>
      </c>
      <c r="D25" s="462" t="s">
        <v>137</v>
      </c>
      <c r="E25" s="462" t="s">
        <v>143</v>
      </c>
      <c r="F25" s="463" t="s">
        <v>144</v>
      </c>
      <c r="G25" s="463" t="s">
        <v>145</v>
      </c>
      <c r="J25" s="39" t="s">
        <v>199</v>
      </c>
      <c r="K25" s="458">
        <f>('Inventario de cargas (WORD)'!Y29)/1000</f>
        <v>47.389685000000007</v>
      </c>
      <c r="L25" s="75">
        <f>K17</f>
        <v>131.48261500000001</v>
      </c>
    </row>
    <row r="26" spans="3:19" x14ac:dyDescent="0.25">
      <c r="C26" s="39" t="s">
        <v>146</v>
      </c>
      <c r="D26" s="39" t="s">
        <v>147</v>
      </c>
      <c r="E26" s="39">
        <v>54</v>
      </c>
      <c r="F26" s="67"/>
      <c r="G26" s="67">
        <v>463658</v>
      </c>
      <c r="J26" s="76" t="s">
        <v>315</v>
      </c>
      <c r="K26" s="459">
        <f>SUM(K24:K25)</f>
        <v>123.75697435851652</v>
      </c>
      <c r="L26" s="460">
        <f>SUM(L24:L25)</f>
        <v>576.27761499999997</v>
      </c>
    </row>
    <row r="27" spans="3:19" x14ac:dyDescent="0.25">
      <c r="C27" s="39" t="s">
        <v>147</v>
      </c>
      <c r="D27" s="39" t="s">
        <v>148</v>
      </c>
      <c r="E27" s="39">
        <v>19</v>
      </c>
      <c r="F27" s="67"/>
      <c r="G27" s="67"/>
      <c r="J27" s="76" t="s">
        <v>778</v>
      </c>
      <c r="K27" s="461">
        <f>K26/L26</f>
        <v>0.21475235396487946</v>
      </c>
      <c r="L27" s="179"/>
    </row>
    <row r="28" spans="3:19" x14ac:dyDescent="0.25">
      <c r="C28" s="39" t="s">
        <v>148</v>
      </c>
      <c r="D28" s="39" t="s">
        <v>149</v>
      </c>
      <c r="E28" s="39">
        <v>33</v>
      </c>
      <c r="F28" s="67"/>
      <c r="G28" s="67"/>
    </row>
    <row r="29" spans="3:19" x14ac:dyDescent="0.25">
      <c r="C29" s="68">
        <v>42301</v>
      </c>
      <c r="D29" s="68">
        <v>42360</v>
      </c>
      <c r="E29" s="39">
        <v>37</v>
      </c>
      <c r="F29" s="67"/>
      <c r="G29" s="67"/>
    </row>
    <row r="30" spans="3:19" x14ac:dyDescent="0.25">
      <c r="C30" s="68">
        <v>42361</v>
      </c>
      <c r="D30" s="68">
        <v>42420</v>
      </c>
      <c r="E30" s="39">
        <v>21</v>
      </c>
      <c r="F30" s="67"/>
      <c r="G30" s="71">
        <v>186015</v>
      </c>
      <c r="H30" t="s">
        <v>150</v>
      </c>
    </row>
    <row r="31" spans="3:19" x14ac:dyDescent="0.25">
      <c r="C31" s="68">
        <v>42421</v>
      </c>
      <c r="D31" s="68">
        <v>42480</v>
      </c>
      <c r="E31" s="39">
        <v>23</v>
      </c>
      <c r="F31" s="67"/>
      <c r="G31" s="71"/>
      <c r="H31" t="s">
        <v>150</v>
      </c>
    </row>
    <row r="32" spans="3:19" x14ac:dyDescent="0.25">
      <c r="C32" s="68" t="s">
        <v>146</v>
      </c>
      <c r="D32" s="68" t="s">
        <v>147</v>
      </c>
      <c r="E32" s="39">
        <v>6</v>
      </c>
      <c r="F32" s="67"/>
      <c r="G32" s="71"/>
      <c r="H32" t="s">
        <v>150</v>
      </c>
    </row>
    <row r="33" spans="3:17" x14ac:dyDescent="0.25">
      <c r="C33" s="68">
        <v>42542</v>
      </c>
      <c r="D33" s="68">
        <v>42601</v>
      </c>
      <c r="E33" s="39">
        <v>17</v>
      </c>
      <c r="F33" s="67"/>
      <c r="G33" s="71">
        <v>186900</v>
      </c>
      <c r="H33" t="s">
        <v>150</v>
      </c>
      <c r="M33" s="220"/>
    </row>
    <row r="34" spans="3:17" x14ac:dyDescent="0.25">
      <c r="C34" s="68" t="s">
        <v>148</v>
      </c>
      <c r="D34" s="68" t="s">
        <v>149</v>
      </c>
      <c r="E34" s="39">
        <v>17</v>
      </c>
      <c r="F34" s="67"/>
      <c r="G34" s="67">
        <v>194410</v>
      </c>
      <c r="H34" t="s">
        <v>150</v>
      </c>
      <c r="O34" s="309"/>
    </row>
    <row r="35" spans="3:17" x14ac:dyDescent="0.25">
      <c r="C35" s="68" t="s">
        <v>149</v>
      </c>
      <c r="D35" s="68" t="s">
        <v>151</v>
      </c>
      <c r="E35" s="39">
        <v>17</v>
      </c>
      <c r="F35" s="67"/>
      <c r="G35" s="67"/>
    </row>
    <row r="36" spans="3:17" x14ac:dyDescent="0.25">
      <c r="C36" s="68">
        <v>42724</v>
      </c>
      <c r="D36" s="68">
        <v>42783</v>
      </c>
      <c r="E36" s="39">
        <v>17</v>
      </c>
      <c r="F36" s="67"/>
      <c r="G36" s="67"/>
    </row>
    <row r="37" spans="3:17" x14ac:dyDescent="0.25">
      <c r="C37" s="68">
        <v>42784</v>
      </c>
      <c r="D37" s="68">
        <v>42843</v>
      </c>
      <c r="E37" s="39">
        <v>17</v>
      </c>
      <c r="F37" s="67"/>
      <c r="G37" s="67"/>
      <c r="M37" s="221"/>
    </row>
    <row r="38" spans="3:17" x14ac:dyDescent="0.25">
      <c r="M38" s="305"/>
    </row>
    <row r="39" spans="3:17" x14ac:dyDescent="0.25">
      <c r="Q39" s="310"/>
    </row>
    <row r="40" spans="3:17" x14ac:dyDescent="0.25">
      <c r="Q40" s="310"/>
    </row>
  </sheetData>
  <mergeCells count="5">
    <mergeCell ref="C2:F2"/>
    <mergeCell ref="P2:S2"/>
    <mergeCell ref="C24:G24"/>
    <mergeCell ref="J14:K15"/>
    <mergeCell ref="J2:M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U53"/>
  <sheetViews>
    <sheetView tabSelected="1" zoomScale="70" zoomScaleNormal="70" workbookViewId="0">
      <pane xSplit="2" ySplit="1" topLeftCell="C8" activePane="bottomRight" state="frozen"/>
      <selection pane="topRight" activeCell="C1" sqref="C1"/>
      <selection pane="bottomLeft" activeCell="A2" sqref="A2"/>
      <selection pane="bottomRight" activeCell="K4" sqref="K4"/>
    </sheetView>
  </sheetViews>
  <sheetFormatPr baseColWidth="10" defaultRowHeight="15" x14ac:dyDescent="0.25"/>
  <cols>
    <col min="2" max="2" width="31" customWidth="1"/>
    <col min="3" max="3" width="29.140625" customWidth="1"/>
    <col min="4" max="4" width="29.42578125" customWidth="1"/>
    <col min="5" max="5" width="3.42578125" customWidth="1"/>
    <col min="7" max="7" width="4" customWidth="1"/>
    <col min="8" max="8" width="9.42578125" customWidth="1"/>
    <col min="9" max="9" width="5.7109375" customWidth="1"/>
    <col min="10" max="10" width="9.7109375" customWidth="1"/>
    <col min="11" max="11" width="16.5703125" customWidth="1"/>
    <col min="12" max="14" width="13.42578125" customWidth="1"/>
    <col min="19" max="19" width="17.140625" customWidth="1"/>
  </cols>
  <sheetData>
    <row r="1" spans="1:21" x14ac:dyDescent="0.25">
      <c r="A1" s="580" t="s">
        <v>134</v>
      </c>
      <c r="B1" s="580"/>
      <c r="C1" s="509" t="s">
        <v>344</v>
      </c>
      <c r="D1" s="509" t="s">
        <v>345</v>
      </c>
    </row>
    <row r="2" spans="1:21" x14ac:dyDescent="0.25">
      <c r="A2" s="579" t="s">
        <v>173</v>
      </c>
      <c r="B2" s="579"/>
      <c r="C2" s="505" t="s">
        <v>581</v>
      </c>
      <c r="D2" s="505" t="s">
        <v>373</v>
      </c>
      <c r="T2" s="72" t="s">
        <v>152</v>
      </c>
      <c r="U2" t="s">
        <v>153</v>
      </c>
    </row>
    <row r="3" spans="1:21" x14ac:dyDescent="0.25">
      <c r="A3" s="579" t="s">
        <v>178</v>
      </c>
      <c r="B3" s="579"/>
      <c r="C3" s="506" t="s">
        <v>391</v>
      </c>
      <c r="D3" s="506" t="s">
        <v>385</v>
      </c>
      <c r="L3" s="583" t="s">
        <v>407</v>
      </c>
      <c r="M3" s="583"/>
    </row>
    <row r="4" spans="1:21" x14ac:dyDescent="0.25">
      <c r="A4" s="579" t="s">
        <v>164</v>
      </c>
      <c r="B4" s="579"/>
      <c r="C4" s="506" t="s">
        <v>381</v>
      </c>
      <c r="D4" s="506" t="s">
        <v>381</v>
      </c>
      <c r="H4" s="72" t="s">
        <v>152</v>
      </c>
      <c r="I4" t="s">
        <v>153</v>
      </c>
      <c r="L4" s="584"/>
      <c r="M4" s="584"/>
    </row>
    <row r="5" spans="1:21" ht="45" customHeight="1" x14ac:dyDescent="0.25">
      <c r="A5" s="579" t="s">
        <v>328</v>
      </c>
      <c r="B5" s="579"/>
      <c r="C5" s="506" t="s">
        <v>392</v>
      </c>
      <c r="D5" s="506" t="s">
        <v>386</v>
      </c>
      <c r="G5" s="581" t="s">
        <v>439</v>
      </c>
      <c r="H5" s="581"/>
      <c r="I5" s="581"/>
      <c r="J5" s="581"/>
      <c r="K5" s="211" t="s">
        <v>405</v>
      </c>
      <c r="L5" s="211" t="s">
        <v>675</v>
      </c>
      <c r="M5" s="211" t="s">
        <v>676</v>
      </c>
      <c r="N5" s="211" t="s">
        <v>404</v>
      </c>
    </row>
    <row r="6" spans="1:21" x14ac:dyDescent="0.25">
      <c r="A6" s="579" t="s">
        <v>174</v>
      </c>
      <c r="B6" s="579"/>
      <c r="C6" s="506" t="s">
        <v>383</v>
      </c>
      <c r="D6" s="506"/>
      <c r="G6" s="582" t="s">
        <v>327</v>
      </c>
      <c r="H6" s="582"/>
      <c r="I6" s="582"/>
      <c r="J6" s="582"/>
      <c r="K6" s="316">
        <v>6</v>
      </c>
      <c r="L6" s="316">
        <v>50</v>
      </c>
      <c r="M6" s="316">
        <v>40</v>
      </c>
      <c r="N6" s="317">
        <f t="shared" ref="N6:N17" si="0">+(L6/M6)^K6</f>
        <v>3.814697265625</v>
      </c>
    </row>
    <row r="7" spans="1:21" x14ac:dyDescent="0.25">
      <c r="A7" s="579" t="s">
        <v>172</v>
      </c>
      <c r="B7" s="579"/>
      <c r="C7" s="506" t="s">
        <v>383</v>
      </c>
      <c r="D7" s="506"/>
      <c r="G7" s="582" t="s">
        <v>347</v>
      </c>
      <c r="H7" s="582" t="s">
        <v>170</v>
      </c>
      <c r="I7" s="582" t="s">
        <v>170</v>
      </c>
      <c r="J7" s="582" t="s">
        <v>170</v>
      </c>
      <c r="K7" s="316">
        <v>8</v>
      </c>
      <c r="L7" s="316">
        <v>20</v>
      </c>
      <c r="M7" s="316">
        <v>65</v>
      </c>
      <c r="N7" s="317">
        <f t="shared" si="0"/>
        <v>8.0340237670171094E-5</v>
      </c>
    </row>
    <row r="8" spans="1:21" x14ac:dyDescent="0.25">
      <c r="A8" s="579" t="s">
        <v>176</v>
      </c>
      <c r="B8" s="579"/>
      <c r="C8" s="506" t="s">
        <v>383</v>
      </c>
      <c r="D8" s="506"/>
      <c r="G8" s="582" t="s">
        <v>437</v>
      </c>
      <c r="H8" s="582" t="s">
        <v>319</v>
      </c>
      <c r="I8" s="582" t="s">
        <v>319</v>
      </c>
      <c r="J8" s="582" t="s">
        <v>319</v>
      </c>
      <c r="K8" s="316">
        <v>4</v>
      </c>
      <c r="L8" s="316">
        <v>60</v>
      </c>
      <c r="M8" s="316">
        <v>40</v>
      </c>
      <c r="N8" s="317">
        <f t="shared" si="0"/>
        <v>5.0625</v>
      </c>
    </row>
    <row r="9" spans="1:21" x14ac:dyDescent="0.25">
      <c r="A9" s="579" t="s">
        <v>334</v>
      </c>
      <c r="B9" s="579"/>
      <c r="C9" s="507" t="s">
        <v>397</v>
      </c>
      <c r="D9" s="507" t="s">
        <v>425</v>
      </c>
      <c r="G9" s="582" t="s">
        <v>320</v>
      </c>
      <c r="H9" s="582" t="s">
        <v>320</v>
      </c>
      <c r="I9" s="582" t="s">
        <v>320</v>
      </c>
      <c r="J9" s="582" t="s">
        <v>320</v>
      </c>
      <c r="K9" s="316">
        <v>8</v>
      </c>
      <c r="L9" s="316">
        <v>50</v>
      </c>
      <c r="M9" s="316">
        <v>50</v>
      </c>
      <c r="N9" s="317">
        <f t="shared" si="0"/>
        <v>1</v>
      </c>
    </row>
    <row r="10" spans="1:21" x14ac:dyDescent="0.25">
      <c r="A10" s="579" t="s">
        <v>166</v>
      </c>
      <c r="B10" s="579"/>
      <c r="C10" s="506" t="s">
        <v>637</v>
      </c>
      <c r="D10" s="506" t="s">
        <v>343</v>
      </c>
      <c r="G10" s="582" t="s">
        <v>321</v>
      </c>
      <c r="H10" s="582" t="s">
        <v>321</v>
      </c>
      <c r="I10" s="582" t="s">
        <v>321</v>
      </c>
      <c r="J10" s="582" t="s">
        <v>321</v>
      </c>
      <c r="K10" s="316">
        <v>2</v>
      </c>
      <c r="L10" s="316">
        <v>50</v>
      </c>
      <c r="M10" s="316">
        <v>50</v>
      </c>
      <c r="N10" s="317">
        <f t="shared" si="0"/>
        <v>1</v>
      </c>
    </row>
    <row r="11" spans="1:21" x14ac:dyDescent="0.25">
      <c r="A11" s="579" t="s">
        <v>167</v>
      </c>
      <c r="B11" s="579"/>
      <c r="C11" s="506" t="s">
        <v>339</v>
      </c>
      <c r="D11" s="506" t="s">
        <v>387</v>
      </c>
      <c r="G11" s="582" t="s">
        <v>438</v>
      </c>
      <c r="H11" s="582" t="s">
        <v>322</v>
      </c>
      <c r="I11" s="582" t="s">
        <v>322</v>
      </c>
      <c r="J11" s="582" t="s">
        <v>322</v>
      </c>
      <c r="K11" s="316">
        <v>3</v>
      </c>
      <c r="L11" s="316">
        <v>30</v>
      </c>
      <c r="M11" s="316">
        <v>60</v>
      </c>
      <c r="N11" s="317">
        <f t="shared" si="0"/>
        <v>0.125</v>
      </c>
    </row>
    <row r="12" spans="1:21" x14ac:dyDescent="0.25">
      <c r="A12" s="579" t="s">
        <v>168</v>
      </c>
      <c r="B12" s="579"/>
      <c r="C12" s="506" t="s">
        <v>382</v>
      </c>
      <c r="D12" s="506" t="s">
        <v>426</v>
      </c>
      <c r="G12" s="582" t="s">
        <v>323</v>
      </c>
      <c r="H12" s="582" t="s">
        <v>323</v>
      </c>
      <c r="I12" s="582" t="s">
        <v>323</v>
      </c>
      <c r="J12" s="582" t="s">
        <v>323</v>
      </c>
      <c r="K12" s="316">
        <v>3</v>
      </c>
      <c r="L12" s="316">
        <v>60</v>
      </c>
      <c r="M12" s="316">
        <v>40</v>
      </c>
      <c r="N12" s="317">
        <f t="shared" si="0"/>
        <v>3.375</v>
      </c>
    </row>
    <row r="13" spans="1:21" x14ac:dyDescent="0.25">
      <c r="A13" s="579" t="s">
        <v>169</v>
      </c>
      <c r="B13" s="579"/>
      <c r="C13" s="506" t="s">
        <v>393</v>
      </c>
      <c r="D13" s="506" t="s">
        <v>374</v>
      </c>
      <c r="G13" s="582" t="s">
        <v>324</v>
      </c>
      <c r="H13" s="582" t="s">
        <v>324</v>
      </c>
      <c r="I13" s="582" t="s">
        <v>324</v>
      </c>
      <c r="J13" s="582" t="s">
        <v>324</v>
      </c>
      <c r="K13" s="316">
        <v>5</v>
      </c>
      <c r="L13" s="316">
        <v>40</v>
      </c>
      <c r="M13" s="316">
        <v>40</v>
      </c>
      <c r="N13" s="317">
        <f t="shared" si="0"/>
        <v>1</v>
      </c>
    </row>
    <row r="14" spans="1:21" x14ac:dyDescent="0.25">
      <c r="A14" s="579" t="s">
        <v>329</v>
      </c>
      <c r="B14" s="579"/>
      <c r="C14" s="506" t="s">
        <v>342</v>
      </c>
      <c r="D14" s="506" t="s">
        <v>342</v>
      </c>
      <c r="G14" s="582" t="s">
        <v>325</v>
      </c>
      <c r="H14" s="582" t="s">
        <v>325</v>
      </c>
      <c r="I14" s="582" t="s">
        <v>325</v>
      </c>
      <c r="J14" s="582" t="s">
        <v>325</v>
      </c>
      <c r="K14" s="316">
        <v>2</v>
      </c>
      <c r="L14" s="316">
        <v>50</v>
      </c>
      <c r="M14" s="316">
        <v>50</v>
      </c>
      <c r="N14" s="317">
        <f t="shared" si="0"/>
        <v>1</v>
      </c>
    </row>
    <row r="15" spans="1:21" x14ac:dyDescent="0.25">
      <c r="A15" s="579" t="s">
        <v>330</v>
      </c>
      <c r="B15" s="579"/>
      <c r="C15" s="506" t="s">
        <v>340</v>
      </c>
      <c r="D15" s="506" t="s">
        <v>340</v>
      </c>
      <c r="E15" s="178"/>
      <c r="G15" s="582" t="s">
        <v>165</v>
      </c>
      <c r="H15" s="582" t="s">
        <v>165</v>
      </c>
      <c r="I15" s="582" t="s">
        <v>165</v>
      </c>
      <c r="J15" s="582" t="s">
        <v>165</v>
      </c>
      <c r="K15" s="316">
        <v>5</v>
      </c>
      <c r="L15" s="316">
        <v>40</v>
      </c>
      <c r="M15" s="316">
        <v>25</v>
      </c>
      <c r="N15" s="317">
        <f t="shared" si="0"/>
        <v>10.485760000000006</v>
      </c>
    </row>
    <row r="16" spans="1:21" x14ac:dyDescent="0.25">
      <c r="A16" s="579" t="s">
        <v>171</v>
      </c>
      <c r="B16" s="579"/>
      <c r="C16" s="506"/>
      <c r="D16" s="506"/>
      <c r="G16" s="582" t="s">
        <v>406</v>
      </c>
      <c r="H16" s="582"/>
      <c r="I16" s="582"/>
      <c r="J16" s="582"/>
      <c r="K16" s="316">
        <v>6</v>
      </c>
      <c r="L16" s="316">
        <v>35</v>
      </c>
      <c r="M16" s="316">
        <v>20</v>
      </c>
      <c r="N16" s="317">
        <f t="shared" si="0"/>
        <v>28.722900390625</v>
      </c>
    </row>
    <row r="17" spans="1:14" x14ac:dyDescent="0.25">
      <c r="A17" s="579" t="s">
        <v>331</v>
      </c>
      <c r="B17" s="579"/>
      <c r="C17" s="506" t="s">
        <v>341</v>
      </c>
      <c r="D17" s="506" t="s">
        <v>403</v>
      </c>
      <c r="G17" s="586" t="s">
        <v>326</v>
      </c>
      <c r="H17" s="586" t="s">
        <v>326</v>
      </c>
      <c r="I17" s="586" t="s">
        <v>326</v>
      </c>
      <c r="J17" s="586" t="s">
        <v>326</v>
      </c>
      <c r="K17" s="318">
        <v>3</v>
      </c>
      <c r="L17" s="318">
        <v>50</v>
      </c>
      <c r="M17" s="318">
        <v>50</v>
      </c>
      <c r="N17" s="319">
        <f t="shared" si="0"/>
        <v>1</v>
      </c>
    </row>
    <row r="18" spans="1:14" x14ac:dyDescent="0.25">
      <c r="A18" s="579" t="s">
        <v>177</v>
      </c>
      <c r="B18" s="579"/>
      <c r="C18" s="506"/>
      <c r="D18" s="506"/>
      <c r="G18" s="193"/>
      <c r="H18" s="193"/>
      <c r="I18" s="193"/>
      <c r="J18" s="193"/>
      <c r="K18" s="316"/>
      <c r="L18" s="320">
        <f>SUM(L6:L17)</f>
        <v>535</v>
      </c>
      <c r="M18" s="320">
        <f>SUM(M6:M17)</f>
        <v>530</v>
      </c>
      <c r="N18" s="321">
        <f>PRODUCT(N6:N17)</f>
        <v>0.19713794360700576</v>
      </c>
    </row>
    <row r="19" spans="1:14" x14ac:dyDescent="0.25">
      <c r="A19" s="579" t="s">
        <v>175</v>
      </c>
      <c r="B19" s="579"/>
      <c r="C19" s="506" t="s">
        <v>394</v>
      </c>
      <c r="D19" s="506" t="s">
        <v>375</v>
      </c>
    </row>
    <row r="20" spans="1:14" x14ac:dyDescent="0.25">
      <c r="A20" s="579" t="s">
        <v>332</v>
      </c>
      <c r="B20" s="579"/>
      <c r="C20" s="506" t="s">
        <v>395</v>
      </c>
      <c r="D20" s="506"/>
    </row>
    <row r="21" spans="1:14" ht="40.5" customHeight="1" x14ac:dyDescent="0.25">
      <c r="A21" s="579" t="s">
        <v>782</v>
      </c>
      <c r="B21" s="579"/>
      <c r="C21" s="506" t="s">
        <v>402</v>
      </c>
      <c r="D21" s="506" t="s">
        <v>388</v>
      </c>
    </row>
    <row r="22" spans="1:14" x14ac:dyDescent="0.25">
      <c r="A22" s="579" t="s">
        <v>401</v>
      </c>
      <c r="B22" s="579"/>
      <c r="C22" s="506">
        <f>13*26.8*10</f>
        <v>3484.0000000000005</v>
      </c>
      <c r="D22" s="506">
        <f>13.4*20*10</f>
        <v>2680</v>
      </c>
    </row>
    <row r="23" spans="1:14" x14ac:dyDescent="0.25">
      <c r="A23" s="579" t="s">
        <v>333</v>
      </c>
      <c r="B23" s="579"/>
      <c r="C23" s="506" t="s">
        <v>396</v>
      </c>
      <c r="D23" s="506" t="s">
        <v>389</v>
      </c>
    </row>
    <row r="24" spans="1:14" x14ac:dyDescent="0.25">
      <c r="A24" s="579" t="s">
        <v>335</v>
      </c>
      <c r="B24" s="579"/>
      <c r="C24" s="506" t="s">
        <v>383</v>
      </c>
      <c r="D24" s="506"/>
    </row>
    <row r="25" spans="1:14" x14ac:dyDescent="0.25">
      <c r="A25" s="579" t="s">
        <v>336</v>
      </c>
      <c r="B25" s="579"/>
      <c r="C25" s="506" t="s">
        <v>384</v>
      </c>
      <c r="D25" s="506"/>
    </row>
    <row r="26" spans="1:14" x14ac:dyDescent="0.25">
      <c r="A26" s="579" t="s">
        <v>337</v>
      </c>
      <c r="B26" s="579"/>
      <c r="C26" s="506" t="s">
        <v>342</v>
      </c>
      <c r="D26" s="506"/>
    </row>
    <row r="27" spans="1:14" x14ac:dyDescent="0.25">
      <c r="A27" s="579" t="s">
        <v>338</v>
      </c>
      <c r="B27" s="579"/>
      <c r="C27" s="506" t="s">
        <v>398</v>
      </c>
      <c r="D27" s="506"/>
    </row>
    <row r="28" spans="1:14" x14ac:dyDescent="0.25">
      <c r="A28" s="579" t="s">
        <v>406</v>
      </c>
      <c r="B28" s="579"/>
      <c r="C28" s="506" t="s">
        <v>582</v>
      </c>
      <c r="D28" s="506" t="s">
        <v>427</v>
      </c>
    </row>
    <row r="29" spans="1:14" x14ac:dyDescent="0.25">
      <c r="A29" s="579" t="s">
        <v>372</v>
      </c>
      <c r="B29" s="579"/>
      <c r="C29" s="506"/>
      <c r="D29" s="506"/>
    </row>
    <row r="30" spans="1:14" x14ac:dyDescent="0.25">
      <c r="A30" s="579" t="s">
        <v>170</v>
      </c>
      <c r="B30" s="579"/>
      <c r="C30" s="508">
        <f>2200*B35</f>
        <v>6244326</v>
      </c>
      <c r="D30" s="508">
        <f>7125*B35</f>
        <v>20223101.25</v>
      </c>
    </row>
    <row r="31" spans="1:14" x14ac:dyDescent="0.25">
      <c r="A31" s="587"/>
      <c r="B31" s="579"/>
      <c r="C31" s="506" t="s">
        <v>436</v>
      </c>
      <c r="D31" s="506" t="s">
        <v>428</v>
      </c>
    </row>
    <row r="32" spans="1:14" x14ac:dyDescent="0.25">
      <c r="A32" s="585" t="s">
        <v>783</v>
      </c>
      <c r="B32" s="585"/>
      <c r="C32" s="511" t="s">
        <v>399</v>
      </c>
      <c r="D32" s="511" t="s">
        <v>376</v>
      </c>
      <c r="E32" t="s">
        <v>784</v>
      </c>
    </row>
    <row r="33" spans="1:5" x14ac:dyDescent="0.25">
      <c r="A33" s="585"/>
      <c r="B33" s="585"/>
      <c r="C33" s="511" t="s">
        <v>400</v>
      </c>
      <c r="D33" s="511" t="s">
        <v>390</v>
      </c>
      <c r="E33" t="s">
        <v>784</v>
      </c>
    </row>
    <row r="35" spans="1:5" x14ac:dyDescent="0.25">
      <c r="A35" s="510" t="s">
        <v>777</v>
      </c>
      <c r="B35" s="67">
        <v>2838.33</v>
      </c>
    </row>
    <row r="36" spans="1:5" x14ac:dyDescent="0.25">
      <c r="E36" s="78"/>
    </row>
    <row r="37" spans="1:5" x14ac:dyDescent="0.25">
      <c r="C37" t="s">
        <v>377</v>
      </c>
      <c r="D37" s="185">
        <v>9254.4</v>
      </c>
    </row>
    <row r="53" spans="15:15" x14ac:dyDescent="0.25">
      <c r="O53" t="s">
        <v>345</v>
      </c>
    </row>
  </sheetData>
  <mergeCells count="46">
    <mergeCell ref="A32:B33"/>
    <mergeCell ref="G8:J8"/>
    <mergeCell ref="G9:J9"/>
    <mergeCell ref="G15:J15"/>
    <mergeCell ref="G16:J16"/>
    <mergeCell ref="G17:J17"/>
    <mergeCell ref="G10:J10"/>
    <mergeCell ref="G11:J11"/>
    <mergeCell ref="G12:J12"/>
    <mergeCell ref="G13:J13"/>
    <mergeCell ref="G14:J14"/>
    <mergeCell ref="A30:B30"/>
    <mergeCell ref="A31:B31"/>
    <mergeCell ref="A13:B13"/>
    <mergeCell ref="A16:B16"/>
    <mergeCell ref="A18:B18"/>
    <mergeCell ref="G5:J5"/>
    <mergeCell ref="G6:J6"/>
    <mergeCell ref="L3:M4"/>
    <mergeCell ref="A8:B8"/>
    <mergeCell ref="A9:B9"/>
    <mergeCell ref="G7:J7"/>
    <mergeCell ref="A26:B26"/>
    <mergeCell ref="A29:B29"/>
    <mergeCell ref="A27:B27"/>
    <mergeCell ref="A19:B19"/>
    <mergeCell ref="A22:B22"/>
    <mergeCell ref="A21:B21"/>
    <mergeCell ref="A20:B20"/>
    <mergeCell ref="A23:B23"/>
    <mergeCell ref="A17:B17"/>
    <mergeCell ref="A28:B28"/>
    <mergeCell ref="A1:B1"/>
    <mergeCell ref="A5:B5"/>
    <mergeCell ref="A14:B14"/>
    <mergeCell ref="A15:B15"/>
    <mergeCell ref="A4:B4"/>
    <mergeCell ref="A6:B6"/>
    <mergeCell ref="A7:B7"/>
    <mergeCell ref="A2:B2"/>
    <mergeCell ref="A3:B3"/>
    <mergeCell ref="A11:B11"/>
    <mergeCell ref="A12:B12"/>
    <mergeCell ref="A10:B10"/>
    <mergeCell ref="A24:B24"/>
    <mergeCell ref="A25:B25"/>
  </mergeCells>
  <hyperlinks>
    <hyperlink ref="C32" r:id="rId1" xr:uid="{00000000-0004-0000-0500-000000000000}"/>
    <hyperlink ref="D32" r:id="rId2" location="3a" xr:uid="{00000000-0004-0000-0500-000002000000}"/>
    <hyperlink ref="D33" r:id="rId3" xr:uid="{00000000-0004-0000-0500-000003000000}"/>
    <hyperlink ref="C33" r:id="rId4" xr:uid="{00000000-0004-0000-0500-000004000000}"/>
  </hyperlinks>
  <pageMargins left="0.7" right="0.7" top="0.75" bottom="0.75" header="0.3" footer="0.3"/>
  <pageSetup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DG88"/>
  <sheetViews>
    <sheetView topLeftCell="DC4" zoomScale="80" zoomScaleNormal="80" zoomScaleSheetLayoutView="50" workbookViewId="0">
      <selection activeCell="E73" activeCellId="1" sqref="E68 E73:E76"/>
    </sheetView>
  </sheetViews>
  <sheetFormatPr baseColWidth="10" defaultRowHeight="15" x14ac:dyDescent="0.25"/>
  <cols>
    <col min="2" max="2" width="17.5703125" customWidth="1"/>
    <col min="3" max="3" width="22.5703125" customWidth="1"/>
    <col min="6" max="6" width="12.7109375" customWidth="1"/>
    <col min="7" max="8" width="13.140625" customWidth="1"/>
    <col min="9" max="9" width="12.7109375" customWidth="1"/>
    <col min="10" max="10" width="13.85546875" customWidth="1"/>
    <col min="11" max="11" width="13.28515625" customWidth="1"/>
    <col min="12" max="12" width="13.7109375" customWidth="1"/>
    <col min="16" max="16" width="14.42578125" customWidth="1"/>
    <col min="17" max="17" width="26.7109375" customWidth="1"/>
    <col min="19" max="19" width="10.28515625" customWidth="1"/>
    <col min="20" max="20" width="9.5703125" customWidth="1"/>
    <col min="21" max="21" width="10" customWidth="1"/>
    <col min="22" max="23" width="10.85546875" customWidth="1"/>
    <col min="24" max="24" width="13" customWidth="1"/>
    <col min="25" max="25" width="13.140625" customWidth="1"/>
    <col min="26" max="26" width="11.42578125" style="123"/>
    <col min="30" max="30" width="20.28515625" customWidth="1"/>
    <col min="31" max="31" width="22.7109375" customWidth="1"/>
    <col min="38" max="38" width="14.28515625" customWidth="1"/>
    <col min="39" max="39" width="13" customWidth="1"/>
    <col min="40" max="40" width="11.42578125" style="123"/>
    <col min="49" max="50" width="14.42578125" bestFit="1" customWidth="1"/>
    <col min="108" max="108" width="17.140625" customWidth="1"/>
    <col min="109" max="109" width="15.7109375" customWidth="1"/>
    <col min="110" max="110" width="15.5703125" customWidth="1"/>
  </cols>
  <sheetData>
    <row r="1" spans="1:105" ht="15.75" thickBot="1" x14ac:dyDescent="0.3">
      <c r="A1" s="603" t="s">
        <v>276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t="s">
        <v>266</v>
      </c>
      <c r="O1" s="588" t="s">
        <v>258</v>
      </c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90"/>
      <c r="AC1" s="588" t="s">
        <v>275</v>
      </c>
      <c r="AD1" s="589"/>
      <c r="AE1" s="589"/>
      <c r="AF1" s="589"/>
      <c r="AG1" s="589"/>
      <c r="AH1" s="589"/>
      <c r="AI1" s="589"/>
      <c r="AJ1" s="589"/>
      <c r="AK1" s="589"/>
      <c r="AL1" s="589"/>
      <c r="AM1" s="589"/>
      <c r="AN1" s="590"/>
    </row>
    <row r="2" spans="1:105" ht="72.75" customHeight="1" thickBot="1" x14ac:dyDescent="0.3">
      <c r="A2" s="591" t="s">
        <v>179</v>
      </c>
      <c r="B2" s="592"/>
      <c r="C2" s="83" t="s">
        <v>180</v>
      </c>
      <c r="D2" s="83" t="s">
        <v>181</v>
      </c>
      <c r="E2" s="83" t="s">
        <v>267</v>
      </c>
      <c r="F2" s="83" t="s">
        <v>182</v>
      </c>
      <c r="G2" s="83" t="s">
        <v>183</v>
      </c>
      <c r="H2" s="91" t="s">
        <v>271</v>
      </c>
      <c r="I2" s="83" t="s">
        <v>270</v>
      </c>
      <c r="J2" s="83" t="s">
        <v>273</v>
      </c>
      <c r="K2" s="91" t="s">
        <v>272</v>
      </c>
      <c r="L2" s="93" t="s">
        <v>277</v>
      </c>
      <c r="M2" t="s">
        <v>268</v>
      </c>
      <c r="O2" s="591" t="s">
        <v>179</v>
      </c>
      <c r="P2" s="592"/>
      <c r="Q2" s="180" t="s">
        <v>180</v>
      </c>
      <c r="R2" s="180" t="s">
        <v>181</v>
      </c>
      <c r="S2" s="180" t="s">
        <v>267</v>
      </c>
      <c r="T2" s="180" t="s">
        <v>182</v>
      </c>
      <c r="U2" s="180" t="s">
        <v>183</v>
      </c>
      <c r="V2" s="180" t="s">
        <v>271</v>
      </c>
      <c r="W2" s="180" t="s">
        <v>316</v>
      </c>
      <c r="X2" s="180" t="s">
        <v>317</v>
      </c>
      <c r="Y2" s="122" t="s">
        <v>318</v>
      </c>
      <c r="Z2" s="124" t="s">
        <v>277</v>
      </c>
      <c r="AC2" s="591" t="s">
        <v>179</v>
      </c>
      <c r="AD2" s="592"/>
      <c r="AE2" s="93" t="s">
        <v>180</v>
      </c>
      <c r="AF2" s="93" t="s">
        <v>181</v>
      </c>
      <c r="AG2" s="93" t="s">
        <v>267</v>
      </c>
      <c r="AH2" s="93" t="s">
        <v>182</v>
      </c>
      <c r="AI2" s="93" t="s">
        <v>183</v>
      </c>
      <c r="AJ2" s="93" t="s">
        <v>271</v>
      </c>
      <c r="AK2" s="149" t="s">
        <v>316</v>
      </c>
      <c r="AL2" s="149" t="s">
        <v>317</v>
      </c>
      <c r="AM2" s="122" t="s">
        <v>318</v>
      </c>
      <c r="AN2" s="124" t="s">
        <v>277</v>
      </c>
      <c r="AQ2" s="591" t="s">
        <v>179</v>
      </c>
      <c r="AR2" s="592"/>
      <c r="AS2" s="133" t="s">
        <v>180</v>
      </c>
      <c r="AT2" s="133" t="s">
        <v>181</v>
      </c>
      <c r="AU2" s="122" t="s">
        <v>267</v>
      </c>
      <c r="AV2" s="151" t="s">
        <v>316</v>
      </c>
      <c r="AW2" s="152" t="s">
        <v>291</v>
      </c>
      <c r="AX2" s="152" t="s">
        <v>292</v>
      </c>
      <c r="AY2" s="152" t="s">
        <v>293</v>
      </c>
      <c r="AZ2" s="152" t="s">
        <v>294</v>
      </c>
      <c r="BA2" s="152" t="s">
        <v>295</v>
      </c>
      <c r="BB2" s="152" t="s">
        <v>296</v>
      </c>
      <c r="BC2" s="152" t="s">
        <v>297</v>
      </c>
      <c r="BD2" s="152" t="s">
        <v>298</v>
      </c>
      <c r="BE2" s="152" t="s">
        <v>299</v>
      </c>
      <c r="BF2" s="152" t="s">
        <v>300</v>
      </c>
      <c r="BG2" s="152" t="s">
        <v>301</v>
      </c>
      <c r="BH2" s="152" t="s">
        <v>302</v>
      </c>
      <c r="BI2" s="152" t="s">
        <v>303</v>
      </c>
      <c r="BJ2" s="152" t="s">
        <v>304</v>
      </c>
      <c r="BK2" s="152" t="s">
        <v>305</v>
      </c>
      <c r="BL2" s="152" t="s">
        <v>306</v>
      </c>
      <c r="BM2" s="152" t="s">
        <v>307</v>
      </c>
      <c r="BN2" s="152" t="s">
        <v>308</v>
      </c>
      <c r="BO2" s="152" t="s">
        <v>309</v>
      </c>
      <c r="BP2" s="152" t="s">
        <v>310</v>
      </c>
      <c r="BQ2" s="152" t="s">
        <v>311</v>
      </c>
      <c r="BR2" s="152" t="s">
        <v>312</v>
      </c>
      <c r="BS2" s="152" t="s">
        <v>313</v>
      </c>
      <c r="BT2" s="161" t="s">
        <v>314</v>
      </c>
      <c r="BU2" s="162" t="s">
        <v>315</v>
      </c>
      <c r="BX2" s="591" t="s">
        <v>179</v>
      </c>
      <c r="BY2" s="592"/>
      <c r="BZ2" s="133" t="s">
        <v>180</v>
      </c>
      <c r="CA2" s="133" t="s">
        <v>181</v>
      </c>
      <c r="CB2" s="122" t="s">
        <v>267</v>
      </c>
      <c r="CC2" s="162" t="s">
        <v>348</v>
      </c>
      <c r="CD2" s="152" t="s">
        <v>349</v>
      </c>
      <c r="CE2" s="152" t="s">
        <v>350</v>
      </c>
      <c r="CF2" s="152" t="s">
        <v>351</v>
      </c>
      <c r="CG2" s="152" t="s">
        <v>352</v>
      </c>
      <c r="CH2" s="152" t="s">
        <v>353</v>
      </c>
      <c r="CI2" s="152" t="s">
        <v>354</v>
      </c>
      <c r="CJ2" s="152" t="s">
        <v>355</v>
      </c>
      <c r="CK2" s="152" t="s">
        <v>356</v>
      </c>
      <c r="CL2" s="152" t="s">
        <v>357</v>
      </c>
      <c r="CM2" s="152" t="s">
        <v>358</v>
      </c>
      <c r="CN2" s="152" t="s">
        <v>359</v>
      </c>
      <c r="CO2" s="152" t="s">
        <v>360</v>
      </c>
      <c r="CP2" s="152" t="s">
        <v>361</v>
      </c>
      <c r="CQ2" s="152" t="s">
        <v>362</v>
      </c>
      <c r="CR2" s="152" t="s">
        <v>363</v>
      </c>
      <c r="CS2" s="152" t="s">
        <v>364</v>
      </c>
      <c r="CT2" s="152" t="s">
        <v>365</v>
      </c>
      <c r="CU2" s="152" t="s">
        <v>366</v>
      </c>
      <c r="CV2" s="152" t="s">
        <v>367</v>
      </c>
      <c r="CW2" s="152" t="s">
        <v>368</v>
      </c>
      <c r="CX2" s="152" t="s">
        <v>369</v>
      </c>
      <c r="CY2" s="152" t="s">
        <v>370</v>
      </c>
      <c r="CZ2" s="161" t="s">
        <v>371</v>
      </c>
      <c r="DA2" s="162" t="s">
        <v>315</v>
      </c>
    </row>
    <row r="3" spans="1:105" ht="17.25" x14ac:dyDescent="0.3">
      <c r="A3" s="595" t="s">
        <v>195</v>
      </c>
      <c r="B3" s="80" t="s">
        <v>261</v>
      </c>
      <c r="C3" s="80" t="s">
        <v>211</v>
      </c>
      <c r="D3" s="98">
        <v>1</v>
      </c>
      <c r="E3" s="98"/>
      <c r="F3" s="98">
        <v>0</v>
      </c>
      <c r="G3" s="98">
        <f>F3*7</f>
        <v>0</v>
      </c>
      <c r="H3" s="98">
        <f>G3*4.33</f>
        <v>0</v>
      </c>
      <c r="I3" s="98">
        <f>D3*E3*F3</f>
        <v>0</v>
      </c>
      <c r="J3" s="98">
        <f>D3*E3*G3</f>
        <v>0</v>
      </c>
      <c r="K3" s="98">
        <f>D3*E3*H3</f>
        <v>0</v>
      </c>
      <c r="L3" s="598">
        <f>K12/K79</f>
        <v>4.6339359795411046E-2</v>
      </c>
      <c r="O3" s="595" t="s">
        <v>195</v>
      </c>
      <c r="P3" s="618" t="s">
        <v>261</v>
      </c>
      <c r="Q3" s="80" t="s">
        <v>211</v>
      </c>
      <c r="R3" s="134">
        <v>1</v>
      </c>
      <c r="S3" s="134"/>
      <c r="T3" s="134">
        <v>0</v>
      </c>
      <c r="U3" s="134">
        <f>T3*7</f>
        <v>0</v>
      </c>
      <c r="V3" s="134">
        <f>U3*4.33</f>
        <v>0</v>
      </c>
      <c r="W3" s="168">
        <f t="shared" ref="W3:W9" si="0">(R3*S3*T3)</f>
        <v>0</v>
      </c>
      <c r="X3" s="168">
        <f>(R3*S3*U3)</f>
        <v>0</v>
      </c>
      <c r="Y3" s="169">
        <f>(R3*S3*V3)</f>
        <v>0</v>
      </c>
      <c r="Z3" s="605">
        <f>Y10/Y39</f>
        <v>0.21481252664337619</v>
      </c>
      <c r="AC3" s="595" t="s">
        <v>195</v>
      </c>
      <c r="AD3" s="80" t="s">
        <v>261</v>
      </c>
      <c r="AE3" s="80" t="s">
        <v>211</v>
      </c>
      <c r="AF3" s="98">
        <v>1</v>
      </c>
      <c r="AG3" s="98"/>
      <c r="AH3" s="98">
        <v>0</v>
      </c>
      <c r="AI3" s="98">
        <f>AH3*7</f>
        <v>0</v>
      </c>
      <c r="AJ3" s="98">
        <f>AI3*4.33</f>
        <v>0</v>
      </c>
      <c r="AK3" s="98">
        <f>AF3*AG3*AH3</f>
        <v>0</v>
      </c>
      <c r="AL3" s="98">
        <f>AF3*AG3*AI3</f>
        <v>0</v>
      </c>
      <c r="AM3" s="98">
        <f>AF3*AG3*AJ3</f>
        <v>0</v>
      </c>
      <c r="AN3" s="598">
        <f>AM10/AM39</f>
        <v>0.34462773230108829</v>
      </c>
      <c r="AQ3" s="595" t="s">
        <v>195</v>
      </c>
      <c r="AR3" s="80" t="s">
        <v>261</v>
      </c>
      <c r="AS3" s="80" t="s">
        <v>211</v>
      </c>
      <c r="AT3" s="134">
        <v>1</v>
      </c>
      <c r="AU3" s="135"/>
      <c r="AV3" s="139">
        <v>0</v>
      </c>
      <c r="AW3" s="155">
        <v>0</v>
      </c>
      <c r="AX3" s="155">
        <v>0</v>
      </c>
      <c r="AY3" s="155">
        <v>0</v>
      </c>
      <c r="AZ3" s="155">
        <v>0</v>
      </c>
      <c r="BA3" s="155">
        <v>0</v>
      </c>
      <c r="BB3" s="155">
        <v>0</v>
      </c>
      <c r="BC3" s="155">
        <v>0</v>
      </c>
      <c r="BD3" s="155">
        <v>0</v>
      </c>
      <c r="BE3" s="155">
        <v>0</v>
      </c>
      <c r="BF3" s="155">
        <v>0</v>
      </c>
      <c r="BG3" s="155">
        <v>0</v>
      </c>
      <c r="BH3" s="155">
        <v>0</v>
      </c>
      <c r="BI3" s="155">
        <v>0</v>
      </c>
      <c r="BJ3" s="155">
        <v>0</v>
      </c>
      <c r="BK3" s="155">
        <v>0</v>
      </c>
      <c r="BL3" s="155">
        <v>0</v>
      </c>
      <c r="BM3" s="155">
        <v>0</v>
      </c>
      <c r="BN3" s="155">
        <v>0</v>
      </c>
      <c r="BO3" s="155">
        <v>0</v>
      </c>
      <c r="BP3" s="155">
        <v>0</v>
      </c>
      <c r="BQ3" s="155">
        <v>0</v>
      </c>
      <c r="BR3" s="155">
        <v>0</v>
      </c>
      <c r="BS3" s="155">
        <v>0</v>
      </c>
      <c r="BT3" s="155">
        <v>0</v>
      </c>
      <c r="BU3" s="102">
        <f>SUM(AW3:BT3)</f>
        <v>0</v>
      </c>
      <c r="BX3" s="595" t="s">
        <v>195</v>
      </c>
      <c r="BY3" s="80" t="s">
        <v>261</v>
      </c>
      <c r="BZ3" s="80" t="s">
        <v>211</v>
      </c>
      <c r="CA3" s="134">
        <v>1</v>
      </c>
      <c r="CB3" s="135"/>
      <c r="CC3" s="165">
        <f t="shared" ref="CC3:CZ3" si="1">$CA$3*$CB$3*AW3</f>
        <v>0</v>
      </c>
      <c r="CD3" s="155">
        <f t="shared" si="1"/>
        <v>0</v>
      </c>
      <c r="CE3" s="155">
        <f t="shared" si="1"/>
        <v>0</v>
      </c>
      <c r="CF3" s="155">
        <f t="shared" si="1"/>
        <v>0</v>
      </c>
      <c r="CG3" s="155">
        <f t="shared" si="1"/>
        <v>0</v>
      </c>
      <c r="CH3" s="155">
        <f t="shared" si="1"/>
        <v>0</v>
      </c>
      <c r="CI3" s="155">
        <f t="shared" si="1"/>
        <v>0</v>
      </c>
      <c r="CJ3" s="155">
        <f t="shared" si="1"/>
        <v>0</v>
      </c>
      <c r="CK3" s="155">
        <f t="shared" si="1"/>
        <v>0</v>
      </c>
      <c r="CL3" s="155">
        <f t="shared" si="1"/>
        <v>0</v>
      </c>
      <c r="CM3" s="155">
        <f t="shared" si="1"/>
        <v>0</v>
      </c>
      <c r="CN3" s="155">
        <f t="shared" si="1"/>
        <v>0</v>
      </c>
      <c r="CO3" s="155">
        <f t="shared" si="1"/>
        <v>0</v>
      </c>
      <c r="CP3" s="155">
        <f t="shared" si="1"/>
        <v>0</v>
      </c>
      <c r="CQ3" s="155">
        <f t="shared" si="1"/>
        <v>0</v>
      </c>
      <c r="CR3" s="155">
        <f t="shared" si="1"/>
        <v>0</v>
      </c>
      <c r="CS3" s="155">
        <f t="shared" si="1"/>
        <v>0</v>
      </c>
      <c r="CT3" s="155">
        <f t="shared" si="1"/>
        <v>0</v>
      </c>
      <c r="CU3" s="155">
        <f t="shared" si="1"/>
        <v>0</v>
      </c>
      <c r="CV3" s="155">
        <f t="shared" si="1"/>
        <v>0</v>
      </c>
      <c r="CW3" s="155">
        <f t="shared" si="1"/>
        <v>0</v>
      </c>
      <c r="CX3" s="155">
        <f t="shared" si="1"/>
        <v>0</v>
      </c>
      <c r="CY3" s="155">
        <f t="shared" si="1"/>
        <v>0</v>
      </c>
      <c r="CZ3" s="155">
        <f t="shared" si="1"/>
        <v>0</v>
      </c>
      <c r="DA3" s="102">
        <f>SUM(CC3:CZ3)</f>
        <v>0</v>
      </c>
    </row>
    <row r="4" spans="1:105" ht="17.25" x14ac:dyDescent="0.3">
      <c r="A4" s="596"/>
      <c r="B4" s="80"/>
      <c r="C4" s="80" t="s">
        <v>251</v>
      </c>
      <c r="D4" s="98">
        <v>2</v>
      </c>
      <c r="E4" s="98">
        <v>17</v>
      </c>
      <c r="F4" s="98">
        <v>6</v>
      </c>
      <c r="G4" s="98">
        <f>F4*7</f>
        <v>42</v>
      </c>
      <c r="H4" s="98">
        <f t="shared" ref="H4:H11" si="2">G4*4.33</f>
        <v>181.86</v>
      </c>
      <c r="I4" s="98">
        <f t="shared" ref="I4:I11" si="3">D4*E4*F4</f>
        <v>204</v>
      </c>
      <c r="J4" s="98">
        <f t="shared" ref="J4:J11" si="4">D4*E4*G4</f>
        <v>1428</v>
      </c>
      <c r="K4" s="98">
        <f t="shared" ref="K4:K11" si="5">D4*E4*H4</f>
        <v>6183.2400000000007</v>
      </c>
      <c r="L4" s="599"/>
      <c r="M4" t="s">
        <v>269</v>
      </c>
      <c r="O4" s="596"/>
      <c r="P4" s="619"/>
      <c r="Q4" s="80" t="s">
        <v>251</v>
      </c>
      <c r="R4" s="134">
        <v>2</v>
      </c>
      <c r="S4" s="134">
        <v>17</v>
      </c>
      <c r="T4" s="134">
        <v>6</v>
      </c>
      <c r="U4" s="134">
        <f>T4*7</f>
        <v>42</v>
      </c>
      <c r="V4" s="134">
        <f t="shared" ref="V4:V9" si="6">U4*4.33</f>
        <v>181.86</v>
      </c>
      <c r="W4" s="168">
        <f t="shared" si="0"/>
        <v>204</v>
      </c>
      <c r="X4" s="168">
        <f>(R4*S4*U4)</f>
        <v>1428</v>
      </c>
      <c r="Y4" s="169">
        <f>(R4*S4*V4)</f>
        <v>6183.2400000000007</v>
      </c>
      <c r="Z4" s="606"/>
      <c r="AC4" s="596"/>
      <c r="AD4" s="80"/>
      <c r="AE4" s="80" t="s">
        <v>251</v>
      </c>
      <c r="AF4" s="98">
        <v>2</v>
      </c>
      <c r="AG4" s="98">
        <v>17</v>
      </c>
      <c r="AH4" s="98">
        <v>6</v>
      </c>
      <c r="AI4" s="98">
        <f>AH4*7</f>
        <v>42</v>
      </c>
      <c r="AJ4" s="98">
        <f t="shared" ref="AJ4:AJ9" si="7">AI4*4.33</f>
        <v>181.86</v>
      </c>
      <c r="AK4" s="98">
        <f t="shared" ref="AK4:AK9" si="8">AF4*AG4*AH4</f>
        <v>204</v>
      </c>
      <c r="AL4" s="98">
        <f t="shared" ref="AL4:AL9" si="9">AF4*AG4*AI4</f>
        <v>1428</v>
      </c>
      <c r="AM4" s="98">
        <f t="shared" ref="AM4:AM9" si="10">AF4*AG4*AJ4</f>
        <v>6183.2400000000007</v>
      </c>
      <c r="AN4" s="599"/>
      <c r="AQ4" s="596"/>
      <c r="AR4" s="80"/>
      <c r="AS4" s="80" t="s">
        <v>251</v>
      </c>
      <c r="AT4" s="134">
        <v>2</v>
      </c>
      <c r="AU4" s="135">
        <v>17</v>
      </c>
      <c r="AV4" s="139">
        <v>6</v>
      </c>
      <c r="AW4" s="155">
        <v>0</v>
      </c>
      <c r="AX4" s="150">
        <v>0.5</v>
      </c>
      <c r="AY4" s="150">
        <v>1</v>
      </c>
      <c r="AZ4" s="150">
        <v>1</v>
      </c>
      <c r="BA4" s="150">
        <v>0.5</v>
      </c>
      <c r="BB4" s="155">
        <v>0</v>
      </c>
      <c r="BC4" s="155">
        <v>0</v>
      </c>
      <c r="BD4" s="155">
        <v>0</v>
      </c>
      <c r="BE4" s="155">
        <v>0</v>
      </c>
      <c r="BF4" s="155">
        <v>0</v>
      </c>
      <c r="BG4" s="155">
        <v>0</v>
      </c>
      <c r="BH4" s="155">
        <v>0</v>
      </c>
      <c r="BI4" s="155">
        <v>0</v>
      </c>
      <c r="BJ4" s="155">
        <v>0</v>
      </c>
      <c r="BK4" s="155">
        <v>0</v>
      </c>
      <c r="BL4" s="155">
        <v>0</v>
      </c>
      <c r="BM4" s="155">
        <v>0</v>
      </c>
      <c r="BN4" s="155">
        <v>0</v>
      </c>
      <c r="BO4" s="155">
        <v>0</v>
      </c>
      <c r="BP4" s="155">
        <v>0</v>
      </c>
      <c r="BQ4" s="155">
        <v>0</v>
      </c>
      <c r="BR4" s="155">
        <v>1</v>
      </c>
      <c r="BS4" s="155">
        <v>1</v>
      </c>
      <c r="BT4" s="155">
        <v>1</v>
      </c>
      <c r="BU4" s="102">
        <f t="shared" ref="BU4:BU37" si="11">SUM(AW4:BT4)</f>
        <v>6</v>
      </c>
      <c r="BX4" s="596"/>
      <c r="BY4" s="80"/>
      <c r="BZ4" s="80" t="s">
        <v>251</v>
      </c>
      <c r="CA4" s="134">
        <v>2</v>
      </c>
      <c r="CB4" s="135">
        <v>17</v>
      </c>
      <c r="CC4" s="165">
        <f t="shared" ref="CC4:CZ4" si="12">$CA$4*$CB$4*AW4</f>
        <v>0</v>
      </c>
      <c r="CD4" s="155">
        <f t="shared" si="12"/>
        <v>17</v>
      </c>
      <c r="CE4" s="155">
        <f t="shared" si="12"/>
        <v>34</v>
      </c>
      <c r="CF4" s="155">
        <f t="shared" si="12"/>
        <v>34</v>
      </c>
      <c r="CG4" s="155">
        <f t="shared" si="12"/>
        <v>17</v>
      </c>
      <c r="CH4" s="155">
        <f t="shared" si="12"/>
        <v>0</v>
      </c>
      <c r="CI4" s="155">
        <f t="shared" si="12"/>
        <v>0</v>
      </c>
      <c r="CJ4" s="155">
        <f t="shared" si="12"/>
        <v>0</v>
      </c>
      <c r="CK4" s="155">
        <f t="shared" si="12"/>
        <v>0</v>
      </c>
      <c r="CL4" s="155">
        <f t="shared" si="12"/>
        <v>0</v>
      </c>
      <c r="CM4" s="155">
        <f t="shared" si="12"/>
        <v>0</v>
      </c>
      <c r="CN4" s="155">
        <f t="shared" si="12"/>
        <v>0</v>
      </c>
      <c r="CO4" s="155">
        <f t="shared" si="12"/>
        <v>0</v>
      </c>
      <c r="CP4" s="155">
        <f t="shared" si="12"/>
        <v>0</v>
      </c>
      <c r="CQ4" s="155">
        <f t="shared" si="12"/>
        <v>0</v>
      </c>
      <c r="CR4" s="155">
        <f t="shared" si="12"/>
        <v>0</v>
      </c>
      <c r="CS4" s="155">
        <f t="shared" si="12"/>
        <v>0</v>
      </c>
      <c r="CT4" s="155">
        <f t="shared" si="12"/>
        <v>0</v>
      </c>
      <c r="CU4" s="155">
        <f t="shared" si="12"/>
        <v>0</v>
      </c>
      <c r="CV4" s="155">
        <f t="shared" si="12"/>
        <v>0</v>
      </c>
      <c r="CW4" s="155">
        <f t="shared" si="12"/>
        <v>0</v>
      </c>
      <c r="CX4" s="155">
        <f t="shared" si="12"/>
        <v>34</v>
      </c>
      <c r="CY4" s="155">
        <f t="shared" si="12"/>
        <v>34</v>
      </c>
      <c r="CZ4" s="155">
        <f t="shared" si="12"/>
        <v>34</v>
      </c>
      <c r="DA4" s="102">
        <f t="shared" ref="DA4:DA9" si="13">SUM(CC4:CZ4)</f>
        <v>204</v>
      </c>
    </row>
    <row r="5" spans="1:105" ht="17.25" x14ac:dyDescent="0.3">
      <c r="A5" s="596"/>
      <c r="B5" s="80" t="s">
        <v>262</v>
      </c>
      <c r="C5" s="80" t="s">
        <v>263</v>
      </c>
      <c r="D5" s="98">
        <v>1</v>
      </c>
      <c r="E5" s="98">
        <v>100</v>
      </c>
      <c r="F5" s="98">
        <v>1</v>
      </c>
      <c r="G5" s="98">
        <f>F5*7</f>
        <v>7</v>
      </c>
      <c r="H5" s="98">
        <f t="shared" si="2"/>
        <v>30.310000000000002</v>
      </c>
      <c r="I5" s="98">
        <f t="shared" si="3"/>
        <v>100</v>
      </c>
      <c r="J5" s="98">
        <f t="shared" si="4"/>
        <v>700</v>
      </c>
      <c r="K5" s="98">
        <f t="shared" si="5"/>
        <v>3031</v>
      </c>
      <c r="L5" s="599"/>
      <c r="M5" t="s">
        <v>290</v>
      </c>
      <c r="N5" s="79"/>
      <c r="O5" s="596"/>
      <c r="P5" s="80" t="s">
        <v>262</v>
      </c>
      <c r="Q5" s="80" t="s">
        <v>263</v>
      </c>
      <c r="R5" s="134">
        <v>1</v>
      </c>
      <c r="S5" s="134">
        <v>100</v>
      </c>
      <c r="T5" s="134">
        <v>1</v>
      </c>
      <c r="U5" s="134">
        <f>T5*7</f>
        <v>7</v>
      </c>
      <c r="V5" s="134">
        <f t="shared" si="6"/>
        <v>30.310000000000002</v>
      </c>
      <c r="W5" s="168">
        <f t="shared" si="0"/>
        <v>100</v>
      </c>
      <c r="X5" s="168">
        <f t="shared" ref="X5:X9" si="14">(R5*S5*U5)</f>
        <v>700</v>
      </c>
      <c r="Y5" s="169">
        <f t="shared" ref="Y5:Y9" si="15">(R5*S5*V5)</f>
        <v>3031</v>
      </c>
      <c r="Z5" s="606"/>
      <c r="AC5" s="596"/>
      <c r="AD5" s="80" t="s">
        <v>262</v>
      </c>
      <c r="AE5" s="80" t="s">
        <v>263</v>
      </c>
      <c r="AF5" s="98">
        <v>1</v>
      </c>
      <c r="AG5" s="98">
        <v>100</v>
      </c>
      <c r="AH5" s="98">
        <v>1</v>
      </c>
      <c r="AI5" s="98">
        <f>AH5*7</f>
        <v>7</v>
      </c>
      <c r="AJ5" s="98">
        <f t="shared" si="7"/>
        <v>30.310000000000002</v>
      </c>
      <c r="AK5" s="98">
        <f t="shared" si="8"/>
        <v>100</v>
      </c>
      <c r="AL5" s="98">
        <f t="shared" si="9"/>
        <v>700</v>
      </c>
      <c r="AM5" s="98">
        <f t="shared" si="10"/>
        <v>3031</v>
      </c>
      <c r="AN5" s="599"/>
      <c r="AQ5" s="596"/>
      <c r="AR5" s="80" t="s">
        <v>262</v>
      </c>
      <c r="AS5" s="80" t="s">
        <v>263</v>
      </c>
      <c r="AT5" s="134">
        <v>1</v>
      </c>
      <c r="AU5" s="135">
        <v>100</v>
      </c>
      <c r="AV5" s="139">
        <v>1</v>
      </c>
      <c r="AW5" s="155">
        <v>0</v>
      </c>
      <c r="AX5" s="155">
        <v>0</v>
      </c>
      <c r="AY5" s="155">
        <v>0</v>
      </c>
      <c r="AZ5" s="155">
        <v>0</v>
      </c>
      <c r="BA5" s="155">
        <v>0</v>
      </c>
      <c r="BB5" s="155">
        <v>0.5</v>
      </c>
      <c r="BC5" s="155">
        <v>0</v>
      </c>
      <c r="BD5" s="155">
        <v>0</v>
      </c>
      <c r="BE5" s="155">
        <v>0</v>
      </c>
      <c r="BF5" s="155">
        <v>0</v>
      </c>
      <c r="BG5" s="155">
        <v>0</v>
      </c>
      <c r="BH5" s="155">
        <v>0</v>
      </c>
      <c r="BI5" s="155">
        <v>0</v>
      </c>
      <c r="BJ5" s="155">
        <v>0</v>
      </c>
      <c r="BK5" s="155">
        <v>0</v>
      </c>
      <c r="BL5" s="155">
        <v>0</v>
      </c>
      <c r="BM5" s="155">
        <v>0</v>
      </c>
      <c r="BN5" s="155">
        <v>0.5</v>
      </c>
      <c r="BO5" s="155">
        <v>0</v>
      </c>
      <c r="BP5" s="155">
        <v>0</v>
      </c>
      <c r="BQ5" s="155">
        <v>0</v>
      </c>
      <c r="BR5" s="155">
        <v>0</v>
      </c>
      <c r="BS5" s="155">
        <v>0</v>
      </c>
      <c r="BT5" s="155">
        <v>0</v>
      </c>
      <c r="BU5" s="102">
        <f t="shared" si="11"/>
        <v>1</v>
      </c>
      <c r="BX5" s="596"/>
      <c r="BY5" s="80" t="s">
        <v>262</v>
      </c>
      <c r="BZ5" s="80" t="s">
        <v>263</v>
      </c>
      <c r="CA5" s="134">
        <v>1</v>
      </c>
      <c r="CB5" s="135">
        <v>100</v>
      </c>
      <c r="CC5" s="165">
        <f t="shared" ref="CC5:CZ5" si="16">$CA$5*$CB$5*AW5</f>
        <v>0</v>
      </c>
      <c r="CD5" s="155">
        <f t="shared" si="16"/>
        <v>0</v>
      </c>
      <c r="CE5" s="155">
        <f t="shared" si="16"/>
        <v>0</v>
      </c>
      <c r="CF5" s="155">
        <f t="shared" si="16"/>
        <v>0</v>
      </c>
      <c r="CG5" s="155">
        <f t="shared" si="16"/>
        <v>0</v>
      </c>
      <c r="CH5" s="155">
        <f t="shared" si="16"/>
        <v>50</v>
      </c>
      <c r="CI5" s="155">
        <f t="shared" si="16"/>
        <v>0</v>
      </c>
      <c r="CJ5" s="155">
        <f t="shared" si="16"/>
        <v>0</v>
      </c>
      <c r="CK5" s="155">
        <f t="shared" si="16"/>
        <v>0</v>
      </c>
      <c r="CL5" s="155">
        <f t="shared" si="16"/>
        <v>0</v>
      </c>
      <c r="CM5" s="155">
        <f t="shared" si="16"/>
        <v>0</v>
      </c>
      <c r="CN5" s="155">
        <f t="shared" si="16"/>
        <v>0</v>
      </c>
      <c r="CO5" s="155">
        <f t="shared" si="16"/>
        <v>0</v>
      </c>
      <c r="CP5" s="155">
        <f t="shared" si="16"/>
        <v>0</v>
      </c>
      <c r="CQ5" s="155">
        <f t="shared" si="16"/>
        <v>0</v>
      </c>
      <c r="CR5" s="155">
        <f t="shared" si="16"/>
        <v>0</v>
      </c>
      <c r="CS5" s="155">
        <f t="shared" si="16"/>
        <v>0</v>
      </c>
      <c r="CT5" s="155">
        <f t="shared" si="16"/>
        <v>50</v>
      </c>
      <c r="CU5" s="155">
        <f t="shared" si="16"/>
        <v>0</v>
      </c>
      <c r="CV5" s="155">
        <f t="shared" si="16"/>
        <v>0</v>
      </c>
      <c r="CW5" s="155">
        <f t="shared" si="16"/>
        <v>0</v>
      </c>
      <c r="CX5" s="155">
        <f t="shared" si="16"/>
        <v>0</v>
      </c>
      <c r="CY5" s="155">
        <f t="shared" si="16"/>
        <v>0</v>
      </c>
      <c r="CZ5" s="155">
        <f t="shared" si="16"/>
        <v>0</v>
      </c>
      <c r="DA5" s="102">
        <f t="shared" si="13"/>
        <v>100</v>
      </c>
    </row>
    <row r="6" spans="1:105" ht="17.25" x14ac:dyDescent="0.3">
      <c r="A6" s="596"/>
      <c r="B6" s="80" t="s">
        <v>184</v>
      </c>
      <c r="C6" s="80" t="s">
        <v>250</v>
      </c>
      <c r="D6" s="98">
        <v>3</v>
      </c>
      <c r="E6" s="98">
        <v>23</v>
      </c>
      <c r="F6" s="98">
        <v>4</v>
      </c>
      <c r="G6" s="98">
        <f>F6*7</f>
        <v>28</v>
      </c>
      <c r="H6" s="98">
        <f t="shared" si="2"/>
        <v>121.24000000000001</v>
      </c>
      <c r="I6" s="98">
        <f t="shared" si="3"/>
        <v>276</v>
      </c>
      <c r="J6" s="98">
        <f t="shared" si="4"/>
        <v>1932</v>
      </c>
      <c r="K6" s="98">
        <f t="shared" si="5"/>
        <v>8365.5600000000013</v>
      </c>
      <c r="L6" s="599"/>
      <c r="O6" s="596"/>
      <c r="P6" s="80" t="s">
        <v>184</v>
      </c>
      <c r="Q6" s="80" t="s">
        <v>250</v>
      </c>
      <c r="R6" s="134">
        <v>3</v>
      </c>
      <c r="S6" s="134">
        <v>23</v>
      </c>
      <c r="T6" s="134">
        <v>16</v>
      </c>
      <c r="U6" s="134">
        <f>T6*7</f>
        <v>112</v>
      </c>
      <c r="V6" s="134">
        <f t="shared" si="6"/>
        <v>484.96000000000004</v>
      </c>
      <c r="W6" s="168">
        <f t="shared" si="0"/>
        <v>1104</v>
      </c>
      <c r="X6" s="168">
        <f t="shared" si="14"/>
        <v>7728</v>
      </c>
      <c r="Y6" s="169">
        <f t="shared" si="15"/>
        <v>33462.240000000005</v>
      </c>
      <c r="Z6" s="606"/>
      <c r="AC6" s="596"/>
      <c r="AD6" s="80" t="s">
        <v>184</v>
      </c>
      <c r="AE6" s="80" t="s">
        <v>250</v>
      </c>
      <c r="AF6" s="98">
        <v>3</v>
      </c>
      <c r="AG6" s="98">
        <v>23</v>
      </c>
      <c r="AH6" s="98">
        <v>16</v>
      </c>
      <c r="AI6" s="98">
        <f>AH6*7</f>
        <v>112</v>
      </c>
      <c r="AJ6" s="98">
        <f t="shared" si="7"/>
        <v>484.96000000000004</v>
      </c>
      <c r="AK6" s="98">
        <f t="shared" si="8"/>
        <v>1104</v>
      </c>
      <c r="AL6" s="98">
        <f t="shared" si="9"/>
        <v>7728</v>
      </c>
      <c r="AM6" s="98">
        <f t="shared" si="10"/>
        <v>33462.240000000005</v>
      </c>
      <c r="AN6" s="599"/>
      <c r="AQ6" s="596"/>
      <c r="AR6" s="80" t="s">
        <v>184</v>
      </c>
      <c r="AS6" s="80" t="s">
        <v>250</v>
      </c>
      <c r="AT6" s="134">
        <v>3</v>
      </c>
      <c r="AU6" s="135">
        <v>23</v>
      </c>
      <c r="AV6" s="139">
        <v>16</v>
      </c>
      <c r="AW6" s="164">
        <v>1</v>
      </c>
      <c r="AX6" s="150">
        <v>1</v>
      </c>
      <c r="AY6" s="150">
        <v>1</v>
      </c>
      <c r="AZ6" s="150">
        <v>1</v>
      </c>
      <c r="BA6" s="150">
        <v>1</v>
      </c>
      <c r="BB6" s="150">
        <v>1</v>
      </c>
      <c r="BC6" s="150">
        <v>1</v>
      </c>
      <c r="BD6" s="150">
        <v>1</v>
      </c>
      <c r="BE6" s="150">
        <v>1</v>
      </c>
      <c r="BF6" s="155">
        <v>0</v>
      </c>
      <c r="BG6" s="155">
        <v>0</v>
      </c>
      <c r="BH6" s="155">
        <v>0</v>
      </c>
      <c r="BI6" s="155">
        <v>0</v>
      </c>
      <c r="BJ6" s="155">
        <v>0</v>
      </c>
      <c r="BK6" s="155">
        <v>0</v>
      </c>
      <c r="BL6" s="155">
        <v>0</v>
      </c>
      <c r="BM6" s="155">
        <v>0</v>
      </c>
      <c r="BN6" s="155">
        <v>1</v>
      </c>
      <c r="BO6" s="155">
        <v>1</v>
      </c>
      <c r="BP6" s="155">
        <v>1</v>
      </c>
      <c r="BQ6" s="155">
        <v>1</v>
      </c>
      <c r="BR6" s="155">
        <v>1</v>
      </c>
      <c r="BS6" s="155">
        <v>1</v>
      </c>
      <c r="BT6" s="155">
        <v>1</v>
      </c>
      <c r="BU6" s="102">
        <f t="shared" si="11"/>
        <v>16</v>
      </c>
      <c r="BX6" s="596"/>
      <c r="BY6" s="80" t="s">
        <v>184</v>
      </c>
      <c r="BZ6" s="80" t="s">
        <v>250</v>
      </c>
      <c r="CA6" s="134">
        <v>3</v>
      </c>
      <c r="CB6" s="135">
        <v>23</v>
      </c>
      <c r="CC6" s="165">
        <f t="shared" ref="CC6:CZ6" si="17">$CA$6*$CB$6*AW6</f>
        <v>69</v>
      </c>
      <c r="CD6" s="155">
        <f t="shared" si="17"/>
        <v>69</v>
      </c>
      <c r="CE6" s="155">
        <f t="shared" si="17"/>
        <v>69</v>
      </c>
      <c r="CF6" s="155">
        <f t="shared" si="17"/>
        <v>69</v>
      </c>
      <c r="CG6" s="155">
        <f t="shared" si="17"/>
        <v>69</v>
      </c>
      <c r="CH6" s="155">
        <f t="shared" si="17"/>
        <v>69</v>
      </c>
      <c r="CI6" s="155">
        <f t="shared" si="17"/>
        <v>69</v>
      </c>
      <c r="CJ6" s="155">
        <f t="shared" si="17"/>
        <v>69</v>
      </c>
      <c r="CK6" s="155">
        <f t="shared" si="17"/>
        <v>69</v>
      </c>
      <c r="CL6" s="155">
        <f t="shared" si="17"/>
        <v>0</v>
      </c>
      <c r="CM6" s="155">
        <f t="shared" si="17"/>
        <v>0</v>
      </c>
      <c r="CN6" s="155">
        <f t="shared" si="17"/>
        <v>0</v>
      </c>
      <c r="CO6" s="155">
        <f t="shared" si="17"/>
        <v>0</v>
      </c>
      <c r="CP6" s="155">
        <f t="shared" si="17"/>
        <v>0</v>
      </c>
      <c r="CQ6" s="155">
        <f t="shared" si="17"/>
        <v>0</v>
      </c>
      <c r="CR6" s="155">
        <f t="shared" si="17"/>
        <v>0</v>
      </c>
      <c r="CS6" s="155">
        <f t="shared" si="17"/>
        <v>0</v>
      </c>
      <c r="CT6" s="155">
        <f t="shared" si="17"/>
        <v>69</v>
      </c>
      <c r="CU6" s="155">
        <f t="shared" si="17"/>
        <v>69</v>
      </c>
      <c r="CV6" s="155">
        <f t="shared" si="17"/>
        <v>69</v>
      </c>
      <c r="CW6" s="155">
        <f t="shared" si="17"/>
        <v>69</v>
      </c>
      <c r="CX6" s="155">
        <f t="shared" si="17"/>
        <v>69</v>
      </c>
      <c r="CY6" s="155">
        <f t="shared" si="17"/>
        <v>69</v>
      </c>
      <c r="CZ6" s="155">
        <f t="shared" si="17"/>
        <v>69</v>
      </c>
      <c r="DA6" s="102">
        <f t="shared" si="13"/>
        <v>1104</v>
      </c>
    </row>
    <row r="7" spans="1:105" ht="17.25" x14ac:dyDescent="0.3">
      <c r="A7" s="596"/>
      <c r="B7" s="80" t="s">
        <v>185</v>
      </c>
      <c r="C7" s="80" t="s">
        <v>205</v>
      </c>
      <c r="D7" s="98">
        <v>1</v>
      </c>
      <c r="E7" s="98">
        <v>32</v>
      </c>
      <c r="F7" s="98">
        <v>1</v>
      </c>
      <c r="G7" s="98">
        <f>F7*2</f>
        <v>2</v>
      </c>
      <c r="H7" s="98">
        <f t="shared" si="2"/>
        <v>8.66</v>
      </c>
      <c r="I7" s="98">
        <f t="shared" si="3"/>
        <v>32</v>
      </c>
      <c r="J7" s="98">
        <f t="shared" si="4"/>
        <v>64</v>
      </c>
      <c r="K7" s="98">
        <f t="shared" si="5"/>
        <v>277.12</v>
      </c>
      <c r="L7" s="599"/>
      <c r="O7" s="596"/>
      <c r="P7" s="80" t="s">
        <v>185</v>
      </c>
      <c r="Q7" s="80" t="s">
        <v>205</v>
      </c>
      <c r="R7" s="134">
        <v>1</v>
      </c>
      <c r="S7" s="134">
        <v>32</v>
      </c>
      <c r="T7" s="134">
        <v>1</v>
      </c>
      <c r="U7" s="134">
        <f>T7*2</f>
        <v>2</v>
      </c>
      <c r="V7" s="134">
        <f t="shared" si="6"/>
        <v>8.66</v>
      </c>
      <c r="W7" s="168">
        <f t="shared" si="0"/>
        <v>32</v>
      </c>
      <c r="X7" s="168">
        <f t="shared" si="14"/>
        <v>64</v>
      </c>
      <c r="Y7" s="169">
        <f t="shared" si="15"/>
        <v>277.12</v>
      </c>
      <c r="Z7" s="606"/>
      <c r="AC7" s="596"/>
      <c r="AD7" s="80" t="s">
        <v>185</v>
      </c>
      <c r="AE7" s="80" t="s">
        <v>205</v>
      </c>
      <c r="AF7" s="98">
        <v>44</v>
      </c>
      <c r="AG7" s="98">
        <v>32</v>
      </c>
      <c r="AH7" s="98">
        <v>8</v>
      </c>
      <c r="AI7" s="98">
        <f>AH7*2</f>
        <v>16</v>
      </c>
      <c r="AJ7" s="98">
        <f t="shared" si="7"/>
        <v>69.28</v>
      </c>
      <c r="AK7" s="98">
        <f>AF7*AG7*AH7</f>
        <v>11264</v>
      </c>
      <c r="AL7" s="98">
        <f t="shared" si="9"/>
        <v>22528</v>
      </c>
      <c r="AM7" s="98">
        <f t="shared" si="10"/>
        <v>97546.240000000005</v>
      </c>
      <c r="AN7" s="599"/>
      <c r="AQ7" s="596"/>
      <c r="AR7" s="80" t="s">
        <v>185</v>
      </c>
      <c r="AS7" s="80" t="s">
        <v>205</v>
      </c>
      <c r="AT7" s="134">
        <v>1</v>
      </c>
      <c r="AU7" s="135">
        <v>32</v>
      </c>
      <c r="AV7" s="139">
        <v>1</v>
      </c>
      <c r="AW7" s="165">
        <v>0</v>
      </c>
      <c r="AX7" s="155">
        <v>0</v>
      </c>
      <c r="AY7" s="155">
        <v>0</v>
      </c>
      <c r="AZ7" s="155">
        <v>0</v>
      </c>
      <c r="BA7" s="155">
        <v>0</v>
      </c>
      <c r="BB7" s="155">
        <v>0.5</v>
      </c>
      <c r="BC7" s="155">
        <v>0</v>
      </c>
      <c r="BD7" s="155">
        <v>0</v>
      </c>
      <c r="BE7" s="155">
        <v>0</v>
      </c>
      <c r="BF7" s="155">
        <v>0</v>
      </c>
      <c r="BG7" s="155">
        <v>0</v>
      </c>
      <c r="BH7" s="155">
        <v>0</v>
      </c>
      <c r="BI7" s="155">
        <v>0</v>
      </c>
      <c r="BJ7" s="155">
        <v>0</v>
      </c>
      <c r="BK7" s="155">
        <v>0</v>
      </c>
      <c r="BL7" s="155">
        <v>0</v>
      </c>
      <c r="BM7" s="155">
        <v>0</v>
      </c>
      <c r="BN7" s="155">
        <v>0.5</v>
      </c>
      <c r="BO7" s="155">
        <v>0</v>
      </c>
      <c r="BP7" s="155">
        <v>0</v>
      </c>
      <c r="BQ7" s="155">
        <v>0</v>
      </c>
      <c r="BR7" s="155">
        <v>0</v>
      </c>
      <c r="BS7" s="155">
        <v>0</v>
      </c>
      <c r="BT7" s="155">
        <v>0</v>
      </c>
      <c r="BU7" s="102">
        <f t="shared" si="11"/>
        <v>1</v>
      </c>
      <c r="BX7" s="596"/>
      <c r="BY7" s="80" t="s">
        <v>185</v>
      </c>
      <c r="BZ7" s="80" t="s">
        <v>205</v>
      </c>
      <c r="CA7" s="134">
        <v>1</v>
      </c>
      <c r="CB7" s="135">
        <v>32</v>
      </c>
      <c r="CC7" s="165">
        <f t="shared" ref="CC7:CZ7" si="18">$CA$7*$CB$7*AW7</f>
        <v>0</v>
      </c>
      <c r="CD7" s="155">
        <f t="shared" si="18"/>
        <v>0</v>
      </c>
      <c r="CE7" s="155">
        <f t="shared" si="18"/>
        <v>0</v>
      </c>
      <c r="CF7" s="155">
        <f t="shared" si="18"/>
        <v>0</v>
      </c>
      <c r="CG7" s="155">
        <f t="shared" si="18"/>
        <v>0</v>
      </c>
      <c r="CH7" s="155">
        <f t="shared" si="18"/>
        <v>16</v>
      </c>
      <c r="CI7" s="155">
        <f t="shared" si="18"/>
        <v>0</v>
      </c>
      <c r="CJ7" s="155">
        <f t="shared" si="18"/>
        <v>0</v>
      </c>
      <c r="CK7" s="155">
        <f t="shared" si="18"/>
        <v>0</v>
      </c>
      <c r="CL7" s="155">
        <f t="shared" si="18"/>
        <v>0</v>
      </c>
      <c r="CM7" s="155">
        <f t="shared" si="18"/>
        <v>0</v>
      </c>
      <c r="CN7" s="155">
        <f t="shared" si="18"/>
        <v>0</v>
      </c>
      <c r="CO7" s="155">
        <f t="shared" si="18"/>
        <v>0</v>
      </c>
      <c r="CP7" s="155">
        <f t="shared" si="18"/>
        <v>0</v>
      </c>
      <c r="CQ7" s="155">
        <f t="shared" si="18"/>
        <v>0</v>
      </c>
      <c r="CR7" s="155">
        <f t="shared" si="18"/>
        <v>0</v>
      </c>
      <c r="CS7" s="155">
        <f t="shared" si="18"/>
        <v>0</v>
      </c>
      <c r="CT7" s="155">
        <f t="shared" si="18"/>
        <v>16</v>
      </c>
      <c r="CU7" s="155">
        <f t="shared" si="18"/>
        <v>0</v>
      </c>
      <c r="CV7" s="155">
        <f t="shared" si="18"/>
        <v>0</v>
      </c>
      <c r="CW7" s="155">
        <f t="shared" si="18"/>
        <v>0</v>
      </c>
      <c r="CX7" s="155">
        <f t="shared" si="18"/>
        <v>0</v>
      </c>
      <c r="CY7" s="155">
        <f t="shared" si="18"/>
        <v>0</v>
      </c>
      <c r="CZ7" s="155">
        <f t="shared" si="18"/>
        <v>0</v>
      </c>
      <c r="DA7" s="102">
        <f t="shared" si="13"/>
        <v>32</v>
      </c>
    </row>
    <row r="8" spans="1:105" ht="17.25" x14ac:dyDescent="0.3">
      <c r="A8" s="596"/>
      <c r="B8" s="80" t="s">
        <v>186</v>
      </c>
      <c r="C8" s="80"/>
      <c r="D8" s="98"/>
      <c r="E8" s="98"/>
      <c r="F8" s="98"/>
      <c r="G8" s="98"/>
      <c r="H8" s="98">
        <f t="shared" si="2"/>
        <v>0</v>
      </c>
      <c r="I8" s="98">
        <f t="shared" si="3"/>
        <v>0</v>
      </c>
      <c r="J8" s="98">
        <f t="shared" si="4"/>
        <v>0</v>
      </c>
      <c r="K8" s="98">
        <f t="shared" si="5"/>
        <v>0</v>
      </c>
      <c r="L8" s="599"/>
      <c r="O8" s="596"/>
      <c r="P8" s="80" t="s">
        <v>188</v>
      </c>
      <c r="Q8" s="80" t="s">
        <v>263</v>
      </c>
      <c r="R8" s="134">
        <v>1</v>
      </c>
      <c r="S8" s="134">
        <v>53</v>
      </c>
      <c r="T8" s="134">
        <v>1</v>
      </c>
      <c r="U8" s="134">
        <f>T8*7</f>
        <v>7</v>
      </c>
      <c r="V8" s="134">
        <f t="shared" si="6"/>
        <v>30.310000000000002</v>
      </c>
      <c r="W8" s="168">
        <f t="shared" si="0"/>
        <v>53</v>
      </c>
      <c r="X8" s="168">
        <f t="shared" si="14"/>
        <v>371</v>
      </c>
      <c r="Y8" s="169">
        <f t="shared" si="15"/>
        <v>1606.43</v>
      </c>
      <c r="Z8" s="606"/>
      <c r="AC8" s="596"/>
      <c r="AD8" s="80" t="s">
        <v>188</v>
      </c>
      <c r="AE8" s="80" t="s">
        <v>263</v>
      </c>
      <c r="AF8" s="98">
        <v>1</v>
      </c>
      <c r="AG8" s="98">
        <v>53</v>
      </c>
      <c r="AH8" s="98">
        <v>1</v>
      </c>
      <c r="AI8" s="98">
        <f>AH8*7</f>
        <v>7</v>
      </c>
      <c r="AJ8" s="98">
        <f t="shared" si="7"/>
        <v>30.310000000000002</v>
      </c>
      <c r="AK8" s="98">
        <f t="shared" si="8"/>
        <v>53</v>
      </c>
      <c r="AL8" s="98">
        <f t="shared" si="9"/>
        <v>371</v>
      </c>
      <c r="AM8" s="98">
        <f t="shared" si="10"/>
        <v>1606.43</v>
      </c>
      <c r="AN8" s="599"/>
      <c r="AQ8" s="596"/>
      <c r="AR8" s="80" t="s">
        <v>188</v>
      </c>
      <c r="AS8" s="80" t="s">
        <v>263</v>
      </c>
      <c r="AT8" s="134">
        <v>1</v>
      </c>
      <c r="AU8" s="135">
        <v>53</v>
      </c>
      <c r="AV8" s="139">
        <v>1</v>
      </c>
      <c r="AW8" s="165">
        <v>0</v>
      </c>
      <c r="AX8" s="155">
        <v>0</v>
      </c>
      <c r="AY8" s="155">
        <v>0</v>
      </c>
      <c r="AZ8" s="155">
        <v>0</v>
      </c>
      <c r="BA8" s="155">
        <v>0</v>
      </c>
      <c r="BB8" s="155">
        <v>0.5</v>
      </c>
      <c r="BC8" s="155">
        <v>0</v>
      </c>
      <c r="BD8" s="155">
        <v>0</v>
      </c>
      <c r="BE8" s="155">
        <v>0</v>
      </c>
      <c r="BF8" s="155">
        <v>0</v>
      </c>
      <c r="BG8" s="155">
        <v>0</v>
      </c>
      <c r="BH8" s="155">
        <v>0</v>
      </c>
      <c r="BI8" s="155">
        <v>0</v>
      </c>
      <c r="BJ8" s="155">
        <v>0</v>
      </c>
      <c r="BK8" s="155">
        <v>0</v>
      </c>
      <c r="BL8" s="155">
        <v>0</v>
      </c>
      <c r="BM8" s="155">
        <v>0</v>
      </c>
      <c r="BN8" s="155">
        <v>0.5</v>
      </c>
      <c r="BO8" s="155">
        <v>0</v>
      </c>
      <c r="BP8" s="155">
        <v>0</v>
      </c>
      <c r="BQ8" s="155">
        <v>0</v>
      </c>
      <c r="BR8" s="155">
        <v>0</v>
      </c>
      <c r="BS8" s="155">
        <v>0</v>
      </c>
      <c r="BT8" s="155">
        <v>0</v>
      </c>
      <c r="BU8" s="102">
        <f t="shared" si="11"/>
        <v>1</v>
      </c>
      <c r="BX8" s="596"/>
      <c r="BY8" s="80" t="s">
        <v>188</v>
      </c>
      <c r="BZ8" s="80" t="s">
        <v>263</v>
      </c>
      <c r="CA8" s="134">
        <v>1</v>
      </c>
      <c r="CB8" s="135">
        <v>53</v>
      </c>
      <c r="CC8" s="165">
        <f t="shared" ref="CC8:CZ8" si="19">$CA$8*$CB$8*AW8</f>
        <v>0</v>
      </c>
      <c r="CD8" s="155">
        <f t="shared" si="19"/>
        <v>0</v>
      </c>
      <c r="CE8" s="155">
        <f t="shared" si="19"/>
        <v>0</v>
      </c>
      <c r="CF8" s="155">
        <f t="shared" si="19"/>
        <v>0</v>
      </c>
      <c r="CG8" s="155">
        <f t="shared" si="19"/>
        <v>0</v>
      </c>
      <c r="CH8" s="155">
        <f t="shared" si="19"/>
        <v>26.5</v>
      </c>
      <c r="CI8" s="155">
        <f t="shared" si="19"/>
        <v>0</v>
      </c>
      <c r="CJ8" s="155">
        <f t="shared" si="19"/>
        <v>0</v>
      </c>
      <c r="CK8" s="155">
        <f t="shared" si="19"/>
        <v>0</v>
      </c>
      <c r="CL8" s="155">
        <f t="shared" si="19"/>
        <v>0</v>
      </c>
      <c r="CM8" s="155">
        <f t="shared" si="19"/>
        <v>0</v>
      </c>
      <c r="CN8" s="155">
        <f t="shared" si="19"/>
        <v>0</v>
      </c>
      <c r="CO8" s="155">
        <f t="shared" si="19"/>
        <v>0</v>
      </c>
      <c r="CP8" s="155">
        <f t="shared" si="19"/>
        <v>0</v>
      </c>
      <c r="CQ8" s="155">
        <f t="shared" si="19"/>
        <v>0</v>
      </c>
      <c r="CR8" s="155">
        <f t="shared" si="19"/>
        <v>0</v>
      </c>
      <c r="CS8" s="155">
        <f t="shared" si="19"/>
        <v>0</v>
      </c>
      <c r="CT8" s="155">
        <f t="shared" si="19"/>
        <v>26.5</v>
      </c>
      <c r="CU8" s="155">
        <f t="shared" si="19"/>
        <v>0</v>
      </c>
      <c r="CV8" s="155">
        <f t="shared" si="19"/>
        <v>0</v>
      </c>
      <c r="CW8" s="155">
        <f t="shared" si="19"/>
        <v>0</v>
      </c>
      <c r="CX8" s="155">
        <f t="shared" si="19"/>
        <v>0</v>
      </c>
      <c r="CY8" s="155">
        <f t="shared" si="19"/>
        <v>0</v>
      </c>
      <c r="CZ8" s="155">
        <f t="shared" si="19"/>
        <v>0</v>
      </c>
      <c r="DA8" s="102">
        <f t="shared" si="13"/>
        <v>53</v>
      </c>
    </row>
    <row r="9" spans="1:105" ht="46.5" thickBot="1" x14ac:dyDescent="0.35">
      <c r="A9" s="596"/>
      <c r="B9" s="80" t="s">
        <v>187</v>
      </c>
      <c r="C9" s="80"/>
      <c r="D9" s="98"/>
      <c r="E9" s="98"/>
      <c r="F9" s="98"/>
      <c r="G9" s="98"/>
      <c r="H9" s="98">
        <f t="shared" si="2"/>
        <v>0</v>
      </c>
      <c r="I9" s="98">
        <f t="shared" si="3"/>
        <v>0</v>
      </c>
      <c r="J9" s="98">
        <f t="shared" si="4"/>
        <v>0</v>
      </c>
      <c r="K9" s="98">
        <f t="shared" si="5"/>
        <v>0</v>
      </c>
      <c r="L9" s="599"/>
      <c r="O9" s="596"/>
      <c r="P9" s="85" t="s">
        <v>189</v>
      </c>
      <c r="Q9" s="80" t="s">
        <v>251</v>
      </c>
      <c r="R9" s="134">
        <v>1</v>
      </c>
      <c r="S9" s="134">
        <v>17</v>
      </c>
      <c r="T9" s="134">
        <v>14</v>
      </c>
      <c r="U9" s="134">
        <f>T9*7</f>
        <v>98</v>
      </c>
      <c r="V9" s="134">
        <f t="shared" si="6"/>
        <v>424.34000000000003</v>
      </c>
      <c r="W9" s="168">
        <f t="shared" si="0"/>
        <v>238</v>
      </c>
      <c r="X9" s="168">
        <f t="shared" si="14"/>
        <v>1666</v>
      </c>
      <c r="Y9" s="169">
        <f t="shared" si="15"/>
        <v>7213.7800000000007</v>
      </c>
      <c r="Z9" s="606"/>
      <c r="AC9" s="596"/>
      <c r="AD9" s="85" t="s">
        <v>189</v>
      </c>
      <c r="AE9" s="80" t="s">
        <v>251</v>
      </c>
      <c r="AF9" s="98">
        <v>1</v>
      </c>
      <c r="AG9" s="98">
        <v>17</v>
      </c>
      <c r="AH9" s="98">
        <v>14</v>
      </c>
      <c r="AI9" s="98">
        <f>AH9*7</f>
        <v>98</v>
      </c>
      <c r="AJ9" s="98">
        <f t="shared" si="7"/>
        <v>424.34000000000003</v>
      </c>
      <c r="AK9" s="98">
        <f t="shared" si="8"/>
        <v>238</v>
      </c>
      <c r="AL9" s="98">
        <f t="shared" si="9"/>
        <v>1666</v>
      </c>
      <c r="AM9" s="98">
        <f t="shared" si="10"/>
        <v>7213.7800000000007</v>
      </c>
      <c r="AN9" s="599"/>
      <c r="AQ9" s="596"/>
      <c r="AR9" s="85" t="s">
        <v>189</v>
      </c>
      <c r="AS9" s="80" t="s">
        <v>251</v>
      </c>
      <c r="AT9" s="134">
        <v>1</v>
      </c>
      <c r="AU9" s="135">
        <v>17</v>
      </c>
      <c r="AV9" s="139">
        <v>14</v>
      </c>
      <c r="AW9" s="166">
        <v>1</v>
      </c>
      <c r="AX9" s="167">
        <v>1</v>
      </c>
      <c r="AY9" s="167">
        <v>1</v>
      </c>
      <c r="AZ9" s="167">
        <v>1</v>
      </c>
      <c r="BA9" s="167">
        <v>1</v>
      </c>
      <c r="BB9" s="167">
        <v>1</v>
      </c>
      <c r="BC9" s="167">
        <v>1</v>
      </c>
      <c r="BD9" s="167">
        <v>1</v>
      </c>
      <c r="BE9" s="167">
        <v>1</v>
      </c>
      <c r="BF9" s="155">
        <v>0</v>
      </c>
      <c r="BG9" s="155">
        <v>0</v>
      </c>
      <c r="BH9" s="155">
        <v>0</v>
      </c>
      <c r="BI9" s="155">
        <v>0</v>
      </c>
      <c r="BJ9" s="155">
        <v>0</v>
      </c>
      <c r="BK9" s="155">
        <v>0</v>
      </c>
      <c r="BL9" s="155">
        <v>1</v>
      </c>
      <c r="BM9" s="155">
        <v>1</v>
      </c>
      <c r="BN9" s="155">
        <v>1</v>
      </c>
      <c r="BO9" s="155">
        <v>0</v>
      </c>
      <c r="BP9" s="155">
        <v>0</v>
      </c>
      <c r="BQ9" s="155">
        <v>1</v>
      </c>
      <c r="BR9" s="155">
        <v>1</v>
      </c>
      <c r="BS9" s="155">
        <v>1</v>
      </c>
      <c r="BT9" s="155">
        <v>1</v>
      </c>
      <c r="BU9" s="102">
        <f t="shared" si="11"/>
        <v>16</v>
      </c>
      <c r="BX9" s="596"/>
      <c r="BY9" s="85" t="s">
        <v>189</v>
      </c>
      <c r="BZ9" s="80" t="s">
        <v>251</v>
      </c>
      <c r="CA9" s="134">
        <v>1</v>
      </c>
      <c r="CB9" s="135">
        <v>17</v>
      </c>
      <c r="CC9" s="165">
        <f t="shared" ref="CC9:CZ9" si="20">$CA$9*$CB$9*AW9</f>
        <v>17</v>
      </c>
      <c r="CD9" s="155">
        <f t="shared" si="20"/>
        <v>17</v>
      </c>
      <c r="CE9" s="155">
        <f t="shared" si="20"/>
        <v>17</v>
      </c>
      <c r="CF9" s="155">
        <f t="shared" si="20"/>
        <v>17</v>
      </c>
      <c r="CG9" s="155">
        <f t="shared" si="20"/>
        <v>17</v>
      </c>
      <c r="CH9" s="155">
        <f t="shared" si="20"/>
        <v>17</v>
      </c>
      <c r="CI9" s="155">
        <f t="shared" si="20"/>
        <v>17</v>
      </c>
      <c r="CJ9" s="155">
        <f t="shared" si="20"/>
        <v>17</v>
      </c>
      <c r="CK9" s="155">
        <f t="shared" si="20"/>
        <v>17</v>
      </c>
      <c r="CL9" s="155">
        <f t="shared" si="20"/>
        <v>0</v>
      </c>
      <c r="CM9" s="155">
        <f t="shared" si="20"/>
        <v>0</v>
      </c>
      <c r="CN9" s="155">
        <f t="shared" si="20"/>
        <v>0</v>
      </c>
      <c r="CO9" s="155">
        <f t="shared" si="20"/>
        <v>0</v>
      </c>
      <c r="CP9" s="155">
        <f t="shared" si="20"/>
        <v>0</v>
      </c>
      <c r="CQ9" s="155">
        <f t="shared" si="20"/>
        <v>0</v>
      </c>
      <c r="CR9" s="155">
        <f t="shared" si="20"/>
        <v>17</v>
      </c>
      <c r="CS9" s="155">
        <f t="shared" si="20"/>
        <v>17</v>
      </c>
      <c r="CT9" s="155">
        <f t="shared" si="20"/>
        <v>17</v>
      </c>
      <c r="CU9" s="155">
        <f t="shared" si="20"/>
        <v>0</v>
      </c>
      <c r="CV9" s="155">
        <f t="shared" si="20"/>
        <v>0</v>
      </c>
      <c r="CW9" s="155">
        <f t="shared" si="20"/>
        <v>17</v>
      </c>
      <c r="CX9" s="155">
        <f t="shared" si="20"/>
        <v>17</v>
      </c>
      <c r="CY9" s="155">
        <f t="shared" si="20"/>
        <v>17</v>
      </c>
      <c r="CZ9" s="155">
        <f t="shared" si="20"/>
        <v>17</v>
      </c>
      <c r="DA9" s="102">
        <f t="shared" si="13"/>
        <v>272</v>
      </c>
    </row>
    <row r="10" spans="1:105" ht="18" thickBot="1" x14ac:dyDescent="0.35">
      <c r="A10" s="596"/>
      <c r="B10" s="80" t="s">
        <v>188</v>
      </c>
      <c r="C10" s="80" t="s">
        <v>263</v>
      </c>
      <c r="D10" s="98">
        <v>1</v>
      </c>
      <c r="E10" s="98">
        <v>53</v>
      </c>
      <c r="F10" s="98">
        <v>1</v>
      </c>
      <c r="G10" s="98">
        <f>F10*7</f>
        <v>7</v>
      </c>
      <c r="H10" s="98">
        <f t="shared" si="2"/>
        <v>30.310000000000002</v>
      </c>
      <c r="I10" s="98">
        <f t="shared" si="3"/>
        <v>53</v>
      </c>
      <c r="J10" s="98">
        <f t="shared" si="4"/>
        <v>371</v>
      </c>
      <c r="K10" s="98">
        <f t="shared" si="5"/>
        <v>1606.43</v>
      </c>
      <c r="L10" s="599"/>
      <c r="O10" s="597"/>
      <c r="P10" s="86" t="s">
        <v>259</v>
      </c>
      <c r="Q10" s="87"/>
      <c r="R10" s="136">
        <f t="shared" ref="R10:X10" si="21">SUM(R3:R9)</f>
        <v>10</v>
      </c>
      <c r="S10" s="136">
        <f t="shared" si="21"/>
        <v>242</v>
      </c>
      <c r="T10" s="136">
        <f t="shared" si="21"/>
        <v>39</v>
      </c>
      <c r="U10" s="136">
        <f t="shared" si="21"/>
        <v>268</v>
      </c>
      <c r="V10" s="136">
        <f>SUM(V3:V9)</f>
        <v>1160.44</v>
      </c>
      <c r="W10" s="170">
        <f t="shared" si="21"/>
        <v>1731</v>
      </c>
      <c r="X10" s="170">
        <f t="shared" si="21"/>
        <v>11957</v>
      </c>
      <c r="Y10" s="171">
        <f t="shared" ref="Y10" si="22">SUM(Y3:Y9)</f>
        <v>51773.810000000012</v>
      </c>
      <c r="Z10" s="607"/>
      <c r="AC10" s="597"/>
      <c r="AD10" s="86" t="s">
        <v>259</v>
      </c>
      <c r="AE10" s="87"/>
      <c r="AF10" s="107">
        <f t="shared" ref="AF10:AI10" si="23">SUM(AF3:AF9)</f>
        <v>53</v>
      </c>
      <c r="AG10" s="107">
        <f t="shared" si="23"/>
        <v>242</v>
      </c>
      <c r="AH10" s="107">
        <f t="shared" si="23"/>
        <v>46</v>
      </c>
      <c r="AI10" s="107">
        <f t="shared" si="23"/>
        <v>282</v>
      </c>
      <c r="AJ10" s="107">
        <f>SUM(AJ3:AJ9)</f>
        <v>1221.06</v>
      </c>
      <c r="AK10" s="107">
        <f t="shared" ref="AK10:AL10" si="24">SUM(AK3:AK9)</f>
        <v>12963</v>
      </c>
      <c r="AL10" s="107">
        <f t="shared" si="24"/>
        <v>34421</v>
      </c>
      <c r="AM10" s="107">
        <f t="shared" ref="AM10" si="25">SUM(AM3:AM9)</f>
        <v>149042.93000000002</v>
      </c>
      <c r="AN10" s="601"/>
      <c r="AQ10" s="597"/>
      <c r="AR10" s="86" t="s">
        <v>259</v>
      </c>
      <c r="AS10" s="87"/>
      <c r="AT10" s="136">
        <f t="shared" ref="AT10:BU10" si="26">SUM(AT3:AT9)</f>
        <v>10</v>
      </c>
      <c r="AU10" s="137">
        <f t="shared" si="26"/>
        <v>242</v>
      </c>
      <c r="AV10" s="156">
        <f t="shared" si="26"/>
        <v>39</v>
      </c>
      <c r="AW10" s="136">
        <f t="shared" si="26"/>
        <v>2</v>
      </c>
      <c r="AX10" s="136">
        <f t="shared" si="26"/>
        <v>2.5</v>
      </c>
      <c r="AY10" s="136">
        <f t="shared" si="26"/>
        <v>3</v>
      </c>
      <c r="AZ10" s="136">
        <f t="shared" si="26"/>
        <v>3</v>
      </c>
      <c r="BA10" s="136">
        <f t="shared" si="26"/>
        <v>2.5</v>
      </c>
      <c r="BB10" s="136">
        <f t="shared" si="26"/>
        <v>3.5</v>
      </c>
      <c r="BC10" s="136">
        <f t="shared" si="26"/>
        <v>2</v>
      </c>
      <c r="BD10" s="136">
        <f t="shared" si="26"/>
        <v>2</v>
      </c>
      <c r="BE10" s="136">
        <f t="shared" si="26"/>
        <v>2</v>
      </c>
      <c r="BF10" s="136">
        <f t="shared" si="26"/>
        <v>0</v>
      </c>
      <c r="BG10" s="136">
        <f t="shared" si="26"/>
        <v>0</v>
      </c>
      <c r="BH10" s="136">
        <f t="shared" si="26"/>
        <v>0</v>
      </c>
      <c r="BI10" s="136">
        <f t="shared" si="26"/>
        <v>0</v>
      </c>
      <c r="BJ10" s="136">
        <f t="shared" si="26"/>
        <v>0</v>
      </c>
      <c r="BK10" s="136">
        <f t="shared" si="26"/>
        <v>0</v>
      </c>
      <c r="BL10" s="136">
        <f t="shared" si="26"/>
        <v>1</v>
      </c>
      <c r="BM10" s="136">
        <f t="shared" si="26"/>
        <v>1</v>
      </c>
      <c r="BN10" s="136">
        <f t="shared" si="26"/>
        <v>3.5</v>
      </c>
      <c r="BO10" s="136">
        <f t="shared" si="26"/>
        <v>1</v>
      </c>
      <c r="BP10" s="136">
        <f t="shared" si="26"/>
        <v>1</v>
      </c>
      <c r="BQ10" s="136">
        <f t="shared" si="26"/>
        <v>2</v>
      </c>
      <c r="BR10" s="136">
        <f t="shared" si="26"/>
        <v>3</v>
      </c>
      <c r="BS10" s="136">
        <f t="shared" si="26"/>
        <v>3</v>
      </c>
      <c r="BT10" s="137">
        <f t="shared" si="26"/>
        <v>3</v>
      </c>
      <c r="BU10" s="163">
        <f t="shared" si="26"/>
        <v>41</v>
      </c>
      <c r="BX10" s="597"/>
      <c r="BY10" s="86" t="s">
        <v>259</v>
      </c>
      <c r="BZ10" s="87"/>
      <c r="CA10" s="136">
        <f t="shared" ref="CA10:DA10" si="27">SUM(CA3:CA9)</f>
        <v>10</v>
      </c>
      <c r="CB10" s="137">
        <f t="shared" si="27"/>
        <v>242</v>
      </c>
      <c r="CC10" s="186">
        <f t="shared" si="27"/>
        <v>86</v>
      </c>
      <c r="CD10" s="136">
        <f t="shared" si="27"/>
        <v>103</v>
      </c>
      <c r="CE10" s="136">
        <f t="shared" si="27"/>
        <v>120</v>
      </c>
      <c r="CF10" s="136">
        <f t="shared" si="27"/>
        <v>120</v>
      </c>
      <c r="CG10" s="136">
        <f t="shared" si="27"/>
        <v>103</v>
      </c>
      <c r="CH10" s="136">
        <f t="shared" si="27"/>
        <v>178.5</v>
      </c>
      <c r="CI10" s="136">
        <f t="shared" si="27"/>
        <v>86</v>
      </c>
      <c r="CJ10" s="136">
        <f t="shared" si="27"/>
        <v>86</v>
      </c>
      <c r="CK10" s="136">
        <f t="shared" si="27"/>
        <v>86</v>
      </c>
      <c r="CL10" s="136">
        <f t="shared" si="27"/>
        <v>0</v>
      </c>
      <c r="CM10" s="136">
        <f t="shared" si="27"/>
        <v>0</v>
      </c>
      <c r="CN10" s="136">
        <f t="shared" si="27"/>
        <v>0</v>
      </c>
      <c r="CO10" s="136">
        <f t="shared" si="27"/>
        <v>0</v>
      </c>
      <c r="CP10" s="136">
        <f t="shared" si="27"/>
        <v>0</v>
      </c>
      <c r="CQ10" s="136">
        <f t="shared" si="27"/>
        <v>0</v>
      </c>
      <c r="CR10" s="136">
        <f t="shared" si="27"/>
        <v>17</v>
      </c>
      <c r="CS10" s="136">
        <f t="shared" si="27"/>
        <v>17</v>
      </c>
      <c r="CT10" s="136">
        <f t="shared" si="27"/>
        <v>178.5</v>
      </c>
      <c r="CU10" s="136">
        <f t="shared" si="27"/>
        <v>69</v>
      </c>
      <c r="CV10" s="136">
        <f t="shared" si="27"/>
        <v>69</v>
      </c>
      <c r="CW10" s="136">
        <f t="shared" si="27"/>
        <v>86</v>
      </c>
      <c r="CX10" s="136">
        <f t="shared" si="27"/>
        <v>120</v>
      </c>
      <c r="CY10" s="136">
        <f t="shared" si="27"/>
        <v>120</v>
      </c>
      <c r="CZ10" s="137">
        <f t="shared" si="27"/>
        <v>120</v>
      </c>
      <c r="DA10" s="163">
        <f t="shared" si="27"/>
        <v>1765</v>
      </c>
    </row>
    <row r="11" spans="1:105" ht="30" customHeight="1" thickBot="1" x14ac:dyDescent="0.35">
      <c r="A11" s="596"/>
      <c r="B11" s="85" t="s">
        <v>189</v>
      </c>
      <c r="C11" s="80" t="s">
        <v>251</v>
      </c>
      <c r="D11" s="98">
        <v>1</v>
      </c>
      <c r="E11" s="98">
        <v>17</v>
      </c>
      <c r="F11" s="98">
        <v>14</v>
      </c>
      <c r="G11" s="98">
        <f>F11*7</f>
        <v>98</v>
      </c>
      <c r="H11" s="98">
        <f t="shared" si="2"/>
        <v>424.34000000000003</v>
      </c>
      <c r="I11" s="98">
        <f t="shared" si="3"/>
        <v>238</v>
      </c>
      <c r="J11" s="98">
        <f t="shared" si="4"/>
        <v>1666</v>
      </c>
      <c r="K11" s="98">
        <f t="shared" si="5"/>
        <v>7213.7800000000007</v>
      </c>
      <c r="L11" s="599"/>
      <c r="O11" s="612" t="s">
        <v>196</v>
      </c>
      <c r="P11" s="80" t="s">
        <v>191</v>
      </c>
      <c r="Q11" s="80" t="s">
        <v>251</v>
      </c>
      <c r="R11" s="134">
        <v>12</v>
      </c>
      <c r="S11" s="138">
        <v>17</v>
      </c>
      <c r="T11" s="134">
        <v>5</v>
      </c>
      <c r="U11" s="134">
        <f>T11*5</f>
        <v>25</v>
      </c>
      <c r="V11" s="134">
        <f t="shared" ref="V11:V12" si="28">U11*4.33</f>
        <v>108.25</v>
      </c>
      <c r="W11" s="168">
        <f>(R11*S11*T11)</f>
        <v>1020</v>
      </c>
      <c r="X11" s="168">
        <f>(R11*S11*U11)</f>
        <v>5100</v>
      </c>
      <c r="Y11" s="169">
        <f>(R11*S11*V11)</f>
        <v>22083</v>
      </c>
      <c r="Z11" s="608">
        <f>Y21/Y39</f>
        <v>0.10207034421990588</v>
      </c>
      <c r="AC11" s="612" t="s">
        <v>196</v>
      </c>
      <c r="AD11" s="80" t="s">
        <v>191</v>
      </c>
      <c r="AE11" s="80" t="s">
        <v>251</v>
      </c>
      <c r="AF11" s="98">
        <v>16</v>
      </c>
      <c r="AG11" s="101">
        <v>17</v>
      </c>
      <c r="AH11" s="98">
        <v>5</v>
      </c>
      <c r="AI11" s="98">
        <f>AH11*5</f>
        <v>25</v>
      </c>
      <c r="AJ11" s="98">
        <f t="shared" ref="AJ11:AJ12" si="29">AI11*4.33</f>
        <v>108.25</v>
      </c>
      <c r="AK11" s="98">
        <f t="shared" ref="AK11" si="30">AF11*AG11*AH11</f>
        <v>1360</v>
      </c>
      <c r="AL11" s="98">
        <f t="shared" ref="AL11" si="31">AF11*AG11*AI11</f>
        <v>6800</v>
      </c>
      <c r="AM11" s="98">
        <f t="shared" ref="AM11" si="32">AF11*AG11*AJ11</f>
        <v>29444</v>
      </c>
      <c r="AN11" s="602">
        <f>AM21/AM39</f>
        <v>0.12069417037242439</v>
      </c>
      <c r="AQ11" s="612" t="s">
        <v>196</v>
      </c>
      <c r="AR11" s="80" t="s">
        <v>191</v>
      </c>
      <c r="AS11" s="80" t="s">
        <v>251</v>
      </c>
      <c r="AT11" s="134">
        <v>12</v>
      </c>
      <c r="AU11" s="150">
        <v>17</v>
      </c>
      <c r="AV11" s="139">
        <v>5</v>
      </c>
      <c r="AW11" s="155">
        <v>0</v>
      </c>
      <c r="AX11" s="155">
        <v>0</v>
      </c>
      <c r="AY11" s="155">
        <v>0</v>
      </c>
      <c r="AZ11" s="155">
        <v>0</v>
      </c>
      <c r="BA11" s="155">
        <v>0</v>
      </c>
      <c r="BB11" s="155">
        <v>0</v>
      </c>
      <c r="BC11" s="155">
        <v>0</v>
      </c>
      <c r="BD11" s="155">
        <v>0</v>
      </c>
      <c r="BE11" s="155">
        <v>1</v>
      </c>
      <c r="BF11" s="155">
        <v>1</v>
      </c>
      <c r="BG11" s="155">
        <v>1</v>
      </c>
      <c r="BH11" s="155">
        <v>1</v>
      </c>
      <c r="BI11" s="155">
        <v>1</v>
      </c>
      <c r="BJ11" s="155">
        <v>0</v>
      </c>
      <c r="BK11" s="155">
        <v>0</v>
      </c>
      <c r="BL11" s="155">
        <v>0</v>
      </c>
      <c r="BM11" s="155">
        <v>0</v>
      </c>
      <c r="BN11" s="155">
        <v>0</v>
      </c>
      <c r="BO11" s="155">
        <v>0</v>
      </c>
      <c r="BP11" s="155">
        <v>0</v>
      </c>
      <c r="BQ11" s="155">
        <v>0</v>
      </c>
      <c r="BR11" s="155">
        <v>0</v>
      </c>
      <c r="BS11" s="155">
        <v>0</v>
      </c>
      <c r="BT11" s="155">
        <v>0</v>
      </c>
      <c r="BU11" s="102">
        <f t="shared" si="11"/>
        <v>5</v>
      </c>
      <c r="BX11" s="612" t="s">
        <v>196</v>
      </c>
      <c r="BY11" s="80" t="s">
        <v>191</v>
      </c>
      <c r="BZ11" s="80" t="s">
        <v>251</v>
      </c>
      <c r="CA11" s="134">
        <v>12</v>
      </c>
      <c r="CB11" s="150">
        <v>17</v>
      </c>
      <c r="CC11" s="165">
        <f t="shared" ref="CC11:CZ11" si="33">$CA$11*$CB$11*AW11</f>
        <v>0</v>
      </c>
      <c r="CD11" s="155">
        <f t="shared" si="33"/>
        <v>0</v>
      </c>
      <c r="CE11" s="155">
        <f t="shared" si="33"/>
        <v>0</v>
      </c>
      <c r="CF11" s="155">
        <f t="shared" si="33"/>
        <v>0</v>
      </c>
      <c r="CG11" s="155">
        <f t="shared" si="33"/>
        <v>0</v>
      </c>
      <c r="CH11" s="155">
        <f t="shared" si="33"/>
        <v>0</v>
      </c>
      <c r="CI11" s="155">
        <f t="shared" si="33"/>
        <v>0</v>
      </c>
      <c r="CJ11" s="155">
        <f t="shared" si="33"/>
        <v>0</v>
      </c>
      <c r="CK11" s="155">
        <f t="shared" si="33"/>
        <v>204</v>
      </c>
      <c r="CL11" s="155">
        <f t="shared" si="33"/>
        <v>204</v>
      </c>
      <c r="CM11" s="155">
        <f t="shared" si="33"/>
        <v>204</v>
      </c>
      <c r="CN11" s="155">
        <f t="shared" si="33"/>
        <v>204</v>
      </c>
      <c r="CO11" s="155">
        <f t="shared" si="33"/>
        <v>204</v>
      </c>
      <c r="CP11" s="155">
        <f t="shared" si="33"/>
        <v>0</v>
      </c>
      <c r="CQ11" s="155">
        <f t="shared" si="33"/>
        <v>0</v>
      </c>
      <c r="CR11" s="155">
        <f t="shared" si="33"/>
        <v>0</v>
      </c>
      <c r="CS11" s="155">
        <f t="shared" si="33"/>
        <v>0</v>
      </c>
      <c r="CT11" s="155">
        <f t="shared" si="33"/>
        <v>0</v>
      </c>
      <c r="CU11" s="155">
        <f t="shared" si="33"/>
        <v>0</v>
      </c>
      <c r="CV11" s="155">
        <f t="shared" si="33"/>
        <v>0</v>
      </c>
      <c r="CW11" s="155">
        <f t="shared" si="33"/>
        <v>0</v>
      </c>
      <c r="CX11" s="155">
        <f t="shared" si="33"/>
        <v>0</v>
      </c>
      <c r="CY11" s="155">
        <f t="shared" si="33"/>
        <v>0</v>
      </c>
      <c r="CZ11" s="155">
        <f t="shared" si="33"/>
        <v>0</v>
      </c>
      <c r="DA11" s="102">
        <f t="shared" ref="DA11:DA20" si="34">SUM(CC11:CZ11)</f>
        <v>1020</v>
      </c>
    </row>
    <row r="12" spans="1:105" ht="30" customHeight="1" thickBot="1" x14ac:dyDescent="0.35">
      <c r="A12" s="597"/>
      <c r="B12" s="86" t="s">
        <v>259</v>
      </c>
      <c r="C12" s="90"/>
      <c r="D12" s="99">
        <f>SUM(D3:D11)</f>
        <v>10</v>
      </c>
      <c r="E12" s="99">
        <f t="shared" ref="E12:I12" si="35">SUM(E3:E11)</f>
        <v>242</v>
      </c>
      <c r="F12" s="99">
        <f t="shared" si="35"/>
        <v>27</v>
      </c>
      <c r="G12" s="100">
        <f t="shared" si="35"/>
        <v>184</v>
      </c>
      <c r="H12" s="100">
        <f>SUM(H3:H11)</f>
        <v>796.72</v>
      </c>
      <c r="I12" s="100">
        <f t="shared" si="35"/>
        <v>903</v>
      </c>
      <c r="J12" s="100">
        <f>SUM(J3:J11)</f>
        <v>6161</v>
      </c>
      <c r="K12" s="100">
        <f>SUM(K3:K11)</f>
        <v>26677.130000000005</v>
      </c>
      <c r="L12" s="600"/>
      <c r="M12" s="92">
        <f>18.5*6.5*0.95</f>
        <v>114.2375</v>
      </c>
      <c r="O12" s="613"/>
      <c r="P12" s="80" t="s">
        <v>192</v>
      </c>
      <c r="Q12" s="80" t="s">
        <v>263</v>
      </c>
      <c r="R12" s="134">
        <v>1</v>
      </c>
      <c r="S12" s="134">
        <v>100</v>
      </c>
      <c r="T12" s="134">
        <v>0.25</v>
      </c>
      <c r="U12" s="134">
        <f>T12*5</f>
        <v>1.25</v>
      </c>
      <c r="V12" s="134">
        <f t="shared" si="28"/>
        <v>5.4124999999999996</v>
      </c>
      <c r="W12" s="168">
        <f>(R12*S12*T12)</f>
        <v>25</v>
      </c>
      <c r="X12" s="168">
        <f>(R12*S12*U12)</f>
        <v>125</v>
      </c>
      <c r="Y12" s="169">
        <f>(R12*S12*V12)</f>
        <v>541.25</v>
      </c>
      <c r="Z12" s="606"/>
      <c r="AC12" s="613"/>
      <c r="AD12" s="80" t="s">
        <v>192</v>
      </c>
      <c r="AE12" s="80" t="s">
        <v>263</v>
      </c>
      <c r="AF12" s="98">
        <v>1</v>
      </c>
      <c r="AG12" s="98">
        <v>100</v>
      </c>
      <c r="AH12" s="98">
        <v>0.25</v>
      </c>
      <c r="AI12" s="98">
        <f>AH12*5</f>
        <v>1.25</v>
      </c>
      <c r="AJ12" s="98">
        <f t="shared" si="29"/>
        <v>5.4124999999999996</v>
      </c>
      <c r="AK12" s="98">
        <f t="shared" ref="AK12:AK20" si="36">AF12*AG12*AH12</f>
        <v>25</v>
      </c>
      <c r="AL12" s="98">
        <f t="shared" ref="AL12:AL20" si="37">AF12*AG12*AI12</f>
        <v>125</v>
      </c>
      <c r="AM12" s="98">
        <f t="shared" ref="AM12:AM20" si="38">AF12*AG12*AJ12</f>
        <v>541.25</v>
      </c>
      <c r="AN12" s="599"/>
      <c r="AQ12" s="613"/>
      <c r="AR12" s="80" t="s">
        <v>192</v>
      </c>
      <c r="AS12" s="80" t="s">
        <v>263</v>
      </c>
      <c r="AT12" s="134">
        <v>1</v>
      </c>
      <c r="AU12" s="135">
        <v>100</v>
      </c>
      <c r="AV12" s="139">
        <v>0.25</v>
      </c>
      <c r="AW12" s="155">
        <v>0</v>
      </c>
      <c r="AX12" s="155">
        <v>0</v>
      </c>
      <c r="AY12" s="155">
        <v>0</v>
      </c>
      <c r="AZ12" s="155">
        <v>0</v>
      </c>
      <c r="BA12" s="155">
        <v>0</v>
      </c>
      <c r="BB12" s="155">
        <v>0</v>
      </c>
      <c r="BC12" s="155">
        <v>0</v>
      </c>
      <c r="BD12" s="155">
        <v>0</v>
      </c>
      <c r="BE12" s="155">
        <v>0</v>
      </c>
      <c r="BF12" s="155">
        <v>0</v>
      </c>
      <c r="BG12" s="155">
        <v>0</v>
      </c>
      <c r="BH12" s="155">
        <v>0.25</v>
      </c>
      <c r="BI12" s="155">
        <v>0</v>
      </c>
      <c r="BJ12" s="155">
        <v>0</v>
      </c>
      <c r="BK12" s="155">
        <v>0</v>
      </c>
      <c r="BL12" s="155">
        <v>0</v>
      </c>
      <c r="BM12" s="155">
        <v>0</v>
      </c>
      <c r="BN12" s="155">
        <v>0</v>
      </c>
      <c r="BO12" s="155">
        <v>0</v>
      </c>
      <c r="BP12" s="155">
        <v>0</v>
      </c>
      <c r="BQ12" s="155">
        <v>0</v>
      </c>
      <c r="BR12" s="155">
        <v>0</v>
      </c>
      <c r="BS12" s="155">
        <v>0</v>
      </c>
      <c r="BT12" s="155">
        <v>0</v>
      </c>
      <c r="BU12" s="102">
        <f t="shared" si="11"/>
        <v>0.25</v>
      </c>
      <c r="BX12" s="613"/>
      <c r="BY12" s="80" t="s">
        <v>192</v>
      </c>
      <c r="BZ12" s="80" t="s">
        <v>263</v>
      </c>
      <c r="CA12" s="134">
        <v>1</v>
      </c>
      <c r="CB12" s="135">
        <v>100</v>
      </c>
      <c r="CC12" s="165">
        <f t="shared" ref="CC12:CZ12" si="39">$CA$12*$CB$12*AW12</f>
        <v>0</v>
      </c>
      <c r="CD12" s="155">
        <f t="shared" si="39"/>
        <v>0</v>
      </c>
      <c r="CE12" s="155">
        <f t="shared" si="39"/>
        <v>0</v>
      </c>
      <c r="CF12" s="155">
        <f t="shared" si="39"/>
        <v>0</v>
      </c>
      <c r="CG12" s="155">
        <f t="shared" si="39"/>
        <v>0</v>
      </c>
      <c r="CH12" s="155">
        <f t="shared" si="39"/>
        <v>0</v>
      </c>
      <c r="CI12" s="155">
        <f t="shared" si="39"/>
        <v>0</v>
      </c>
      <c r="CJ12" s="155">
        <f t="shared" si="39"/>
        <v>0</v>
      </c>
      <c r="CK12" s="155">
        <f t="shared" si="39"/>
        <v>0</v>
      </c>
      <c r="CL12" s="155">
        <f t="shared" si="39"/>
        <v>0</v>
      </c>
      <c r="CM12" s="155">
        <f t="shared" si="39"/>
        <v>0</v>
      </c>
      <c r="CN12" s="155">
        <f t="shared" si="39"/>
        <v>25</v>
      </c>
      <c r="CO12" s="155">
        <f t="shared" si="39"/>
        <v>0</v>
      </c>
      <c r="CP12" s="155">
        <f t="shared" si="39"/>
        <v>0</v>
      </c>
      <c r="CQ12" s="155">
        <f t="shared" si="39"/>
        <v>0</v>
      </c>
      <c r="CR12" s="155">
        <f t="shared" si="39"/>
        <v>0</v>
      </c>
      <c r="CS12" s="155">
        <f t="shared" si="39"/>
        <v>0</v>
      </c>
      <c r="CT12" s="155">
        <f t="shared" si="39"/>
        <v>0</v>
      </c>
      <c r="CU12" s="155">
        <f t="shared" si="39"/>
        <v>0</v>
      </c>
      <c r="CV12" s="155">
        <f t="shared" si="39"/>
        <v>0</v>
      </c>
      <c r="CW12" s="155">
        <f t="shared" si="39"/>
        <v>0</v>
      </c>
      <c r="CX12" s="155">
        <f t="shared" si="39"/>
        <v>0</v>
      </c>
      <c r="CY12" s="155">
        <f t="shared" si="39"/>
        <v>0</v>
      </c>
      <c r="CZ12" s="155">
        <f t="shared" si="39"/>
        <v>0</v>
      </c>
      <c r="DA12" s="102">
        <f t="shared" si="34"/>
        <v>25</v>
      </c>
    </row>
    <row r="13" spans="1:105" ht="17.25" x14ac:dyDescent="0.3">
      <c r="A13" s="114" t="s">
        <v>196</v>
      </c>
      <c r="B13" s="80" t="s">
        <v>191</v>
      </c>
      <c r="C13" s="80" t="s">
        <v>214</v>
      </c>
      <c r="D13" s="98">
        <v>1</v>
      </c>
      <c r="E13" s="101">
        <f>110*4</f>
        <v>440</v>
      </c>
      <c r="F13" s="98">
        <v>5</v>
      </c>
      <c r="G13" s="98">
        <f>F13*5</f>
        <v>25</v>
      </c>
      <c r="H13" s="98">
        <f>G13*4.33</f>
        <v>108.25</v>
      </c>
      <c r="I13" s="98">
        <f>D13*E13*F13</f>
        <v>2200</v>
      </c>
      <c r="J13" s="98">
        <f>D13*E13*G13</f>
        <v>11000</v>
      </c>
      <c r="K13" s="98">
        <f>D13*E13*H13</f>
        <v>47630</v>
      </c>
      <c r="L13" s="598">
        <f>K34/K79</f>
        <v>0.15003785943680642</v>
      </c>
      <c r="M13" s="92">
        <f>18.5*6.5</f>
        <v>120.25</v>
      </c>
      <c r="O13" s="613"/>
      <c r="P13" s="80"/>
      <c r="Q13" s="80" t="s">
        <v>247</v>
      </c>
      <c r="R13" s="134">
        <v>1</v>
      </c>
      <c r="S13" s="138">
        <v>22.11</v>
      </c>
      <c r="T13" s="134">
        <v>0.25</v>
      </c>
      <c r="U13" s="134">
        <f>T13*5</f>
        <v>1.25</v>
      </c>
      <c r="V13" s="134">
        <f>U13*4.33</f>
        <v>5.4124999999999996</v>
      </c>
      <c r="W13" s="168">
        <f t="shared" ref="W13:W20" si="40">(R13*S13*T13)</f>
        <v>5.5274999999999999</v>
      </c>
      <c r="X13" s="168">
        <f t="shared" ref="X13:X20" si="41">(R13*S13*U13)</f>
        <v>27.637499999999999</v>
      </c>
      <c r="Y13" s="169">
        <f t="shared" ref="Y13:Y20" si="42">(R13*S13*V13)</f>
        <v>119.67037499999999</v>
      </c>
      <c r="Z13" s="606"/>
      <c r="AC13" s="613"/>
      <c r="AD13" s="80"/>
      <c r="AE13" s="80" t="s">
        <v>247</v>
      </c>
      <c r="AF13" s="98">
        <v>1</v>
      </c>
      <c r="AG13" s="101">
        <v>22.11</v>
      </c>
      <c r="AH13" s="98">
        <v>0.25</v>
      </c>
      <c r="AI13" s="98">
        <f>AH13*5</f>
        <v>1.25</v>
      </c>
      <c r="AJ13" s="98">
        <f>AI13*4.33</f>
        <v>5.4124999999999996</v>
      </c>
      <c r="AK13" s="98">
        <f t="shared" si="36"/>
        <v>5.5274999999999999</v>
      </c>
      <c r="AL13" s="98">
        <f t="shared" si="37"/>
        <v>27.637499999999999</v>
      </c>
      <c r="AM13" s="98">
        <f t="shared" si="38"/>
        <v>119.67037499999999</v>
      </c>
      <c r="AN13" s="599"/>
      <c r="AQ13" s="613"/>
      <c r="AR13" s="80"/>
      <c r="AS13" s="80" t="s">
        <v>247</v>
      </c>
      <c r="AT13" s="134">
        <v>1</v>
      </c>
      <c r="AU13" s="150">
        <v>22.11</v>
      </c>
      <c r="AV13" s="139">
        <v>0.25</v>
      </c>
      <c r="AW13" s="155">
        <v>0</v>
      </c>
      <c r="AX13" s="155">
        <v>0</v>
      </c>
      <c r="AY13" s="155">
        <v>0</v>
      </c>
      <c r="AZ13" s="155">
        <v>0</v>
      </c>
      <c r="BA13" s="155">
        <v>0</v>
      </c>
      <c r="BB13" s="155">
        <v>0</v>
      </c>
      <c r="BC13" s="155">
        <v>0</v>
      </c>
      <c r="BD13" s="155">
        <v>0</v>
      </c>
      <c r="BE13" s="155">
        <v>0</v>
      </c>
      <c r="BF13" s="155">
        <v>0</v>
      </c>
      <c r="BG13" s="155">
        <v>0</v>
      </c>
      <c r="BH13" s="155">
        <v>0.25</v>
      </c>
      <c r="BI13" s="155">
        <v>0</v>
      </c>
      <c r="BJ13" s="155">
        <v>0</v>
      </c>
      <c r="BK13" s="155">
        <v>0</v>
      </c>
      <c r="BL13" s="155">
        <v>0</v>
      </c>
      <c r="BM13" s="155">
        <v>0</v>
      </c>
      <c r="BN13" s="155">
        <v>0</v>
      </c>
      <c r="BO13" s="155">
        <v>0</v>
      </c>
      <c r="BP13" s="155">
        <v>0</v>
      </c>
      <c r="BQ13" s="155">
        <v>0</v>
      </c>
      <c r="BR13" s="155">
        <v>0</v>
      </c>
      <c r="BS13" s="155">
        <v>0</v>
      </c>
      <c r="BT13" s="155">
        <v>0</v>
      </c>
      <c r="BU13" s="102">
        <f t="shared" si="11"/>
        <v>0.25</v>
      </c>
      <c r="BX13" s="613"/>
      <c r="BY13" s="80"/>
      <c r="BZ13" s="80" t="s">
        <v>247</v>
      </c>
      <c r="CA13" s="134">
        <v>1</v>
      </c>
      <c r="CB13" s="150">
        <v>22.11</v>
      </c>
      <c r="CC13" s="165">
        <f t="shared" ref="CC13:CZ13" si="43">$CA$13*$CB$13*AW13</f>
        <v>0</v>
      </c>
      <c r="CD13" s="155">
        <f t="shared" si="43"/>
        <v>0</v>
      </c>
      <c r="CE13" s="155">
        <f t="shared" si="43"/>
        <v>0</v>
      </c>
      <c r="CF13" s="155">
        <f t="shared" si="43"/>
        <v>0</v>
      </c>
      <c r="CG13" s="155">
        <f t="shared" si="43"/>
        <v>0</v>
      </c>
      <c r="CH13" s="155">
        <f t="shared" si="43"/>
        <v>0</v>
      </c>
      <c r="CI13" s="155">
        <f t="shared" si="43"/>
        <v>0</v>
      </c>
      <c r="CJ13" s="155">
        <f t="shared" si="43"/>
        <v>0</v>
      </c>
      <c r="CK13" s="155">
        <f t="shared" si="43"/>
        <v>0</v>
      </c>
      <c r="CL13" s="155">
        <f t="shared" si="43"/>
        <v>0</v>
      </c>
      <c r="CM13" s="155">
        <f t="shared" si="43"/>
        <v>0</v>
      </c>
      <c r="CN13" s="155">
        <f t="shared" si="43"/>
        <v>5.5274999999999999</v>
      </c>
      <c r="CO13" s="155">
        <f t="shared" si="43"/>
        <v>0</v>
      </c>
      <c r="CP13" s="155">
        <f t="shared" si="43"/>
        <v>0</v>
      </c>
      <c r="CQ13" s="155">
        <f t="shared" si="43"/>
        <v>0</v>
      </c>
      <c r="CR13" s="155">
        <f t="shared" si="43"/>
        <v>0</v>
      </c>
      <c r="CS13" s="155">
        <f t="shared" si="43"/>
        <v>0</v>
      </c>
      <c r="CT13" s="155">
        <f t="shared" si="43"/>
        <v>0</v>
      </c>
      <c r="CU13" s="155">
        <f t="shared" si="43"/>
        <v>0</v>
      </c>
      <c r="CV13" s="155">
        <f t="shared" si="43"/>
        <v>0</v>
      </c>
      <c r="CW13" s="155">
        <f t="shared" si="43"/>
        <v>0</v>
      </c>
      <c r="CX13" s="155">
        <f t="shared" si="43"/>
        <v>0</v>
      </c>
      <c r="CY13" s="155">
        <f t="shared" si="43"/>
        <v>0</v>
      </c>
      <c r="CZ13" s="155">
        <f t="shared" si="43"/>
        <v>0</v>
      </c>
      <c r="DA13" s="102">
        <f t="shared" si="34"/>
        <v>5.5274999999999999</v>
      </c>
    </row>
    <row r="14" spans="1:105" ht="17.25" x14ac:dyDescent="0.3">
      <c r="A14" s="115"/>
      <c r="B14" s="80"/>
      <c r="C14" s="80" t="s">
        <v>202</v>
      </c>
      <c r="D14" s="98">
        <v>1</v>
      </c>
      <c r="E14" s="101">
        <f>18.5*6.5</f>
        <v>120.25</v>
      </c>
      <c r="F14" s="98">
        <v>5</v>
      </c>
      <c r="G14" s="98">
        <f>F14*5</f>
        <v>25</v>
      </c>
      <c r="H14" s="98">
        <f t="shared" ref="H14:H22" si="44">G14*4.33</f>
        <v>108.25</v>
      </c>
      <c r="I14" s="98">
        <f t="shared" ref="I14:I33" si="45">D14*E14*F14</f>
        <v>601.25</v>
      </c>
      <c r="J14" s="98">
        <f t="shared" ref="J14:J33" si="46">D14*E14*G14</f>
        <v>3006.25</v>
      </c>
      <c r="K14" s="98">
        <f t="shared" ref="K14:K33" si="47">D14*E14*H14</f>
        <v>13017.0625</v>
      </c>
      <c r="L14" s="599"/>
      <c r="O14" s="613"/>
      <c r="P14" s="80" t="s">
        <v>193</v>
      </c>
      <c r="Q14" s="80" t="s">
        <v>251</v>
      </c>
      <c r="R14" s="134">
        <v>1</v>
      </c>
      <c r="S14" s="134">
        <v>17</v>
      </c>
      <c r="T14" s="134">
        <v>5</v>
      </c>
      <c r="U14" s="134">
        <f>5*T14</f>
        <v>25</v>
      </c>
      <c r="V14" s="134">
        <f t="shared" ref="V14:V17" si="48">U14*4.33</f>
        <v>108.25</v>
      </c>
      <c r="W14" s="168">
        <f t="shared" si="40"/>
        <v>85</v>
      </c>
      <c r="X14" s="168">
        <f t="shared" si="41"/>
        <v>425</v>
      </c>
      <c r="Y14" s="169">
        <f t="shared" si="42"/>
        <v>1840.25</v>
      </c>
      <c r="Z14" s="606"/>
      <c r="AC14" s="613"/>
      <c r="AD14" s="80" t="s">
        <v>193</v>
      </c>
      <c r="AE14" s="80" t="s">
        <v>251</v>
      </c>
      <c r="AF14" s="98">
        <v>12</v>
      </c>
      <c r="AG14" s="98">
        <v>17</v>
      </c>
      <c r="AH14" s="98">
        <v>5</v>
      </c>
      <c r="AI14" s="98">
        <f>5*AH14</f>
        <v>25</v>
      </c>
      <c r="AJ14" s="98">
        <f t="shared" ref="AJ14:AJ17" si="49">AI14*4.33</f>
        <v>108.25</v>
      </c>
      <c r="AK14" s="98">
        <f t="shared" si="36"/>
        <v>1020</v>
      </c>
      <c r="AL14" s="98">
        <f t="shared" si="37"/>
        <v>5100</v>
      </c>
      <c r="AM14" s="98">
        <f t="shared" si="38"/>
        <v>22083</v>
      </c>
      <c r="AN14" s="599"/>
      <c r="AQ14" s="613"/>
      <c r="AR14" s="80" t="s">
        <v>193</v>
      </c>
      <c r="AS14" s="80" t="s">
        <v>251</v>
      </c>
      <c r="AT14" s="134">
        <v>1</v>
      </c>
      <c r="AU14" s="135">
        <v>17</v>
      </c>
      <c r="AV14" s="139">
        <v>5</v>
      </c>
      <c r="AW14" s="155">
        <v>0</v>
      </c>
      <c r="AX14" s="155">
        <v>0</v>
      </c>
      <c r="AY14" s="155">
        <v>0</v>
      </c>
      <c r="AZ14" s="155">
        <v>0</v>
      </c>
      <c r="BA14" s="155">
        <v>0</v>
      </c>
      <c r="BB14" s="155">
        <v>0</v>
      </c>
      <c r="BC14" s="155">
        <v>0</v>
      </c>
      <c r="BD14" s="155">
        <v>0</v>
      </c>
      <c r="BE14" s="155">
        <v>1</v>
      </c>
      <c r="BF14" s="155">
        <v>1</v>
      </c>
      <c r="BG14" s="155">
        <v>1</v>
      </c>
      <c r="BH14" s="155">
        <v>1</v>
      </c>
      <c r="BI14" s="155">
        <v>1</v>
      </c>
      <c r="BJ14" s="155">
        <v>0</v>
      </c>
      <c r="BK14" s="155">
        <v>0</v>
      </c>
      <c r="BL14" s="155">
        <v>0</v>
      </c>
      <c r="BM14" s="155">
        <v>0</v>
      </c>
      <c r="BN14" s="155">
        <v>0</v>
      </c>
      <c r="BO14" s="155">
        <v>0</v>
      </c>
      <c r="BP14" s="155">
        <v>0</v>
      </c>
      <c r="BQ14" s="155">
        <v>0</v>
      </c>
      <c r="BR14" s="155">
        <v>0</v>
      </c>
      <c r="BS14" s="155">
        <v>0</v>
      </c>
      <c r="BT14" s="155">
        <v>0</v>
      </c>
      <c r="BU14" s="102">
        <f t="shared" si="11"/>
        <v>5</v>
      </c>
      <c r="BX14" s="613"/>
      <c r="BY14" s="80" t="s">
        <v>193</v>
      </c>
      <c r="BZ14" s="80" t="s">
        <v>251</v>
      </c>
      <c r="CA14" s="134">
        <v>1</v>
      </c>
      <c r="CB14" s="135">
        <v>17</v>
      </c>
      <c r="CC14" s="165">
        <f t="shared" ref="CC14:CZ14" si="50">$CA$14*$CB$14*AW14</f>
        <v>0</v>
      </c>
      <c r="CD14" s="155">
        <f t="shared" si="50"/>
        <v>0</v>
      </c>
      <c r="CE14" s="155">
        <f t="shared" si="50"/>
        <v>0</v>
      </c>
      <c r="CF14" s="155">
        <f t="shared" si="50"/>
        <v>0</v>
      </c>
      <c r="CG14" s="155">
        <f t="shared" si="50"/>
        <v>0</v>
      </c>
      <c r="CH14" s="155">
        <f t="shared" si="50"/>
        <v>0</v>
      </c>
      <c r="CI14" s="155">
        <f t="shared" si="50"/>
        <v>0</v>
      </c>
      <c r="CJ14" s="155">
        <f t="shared" si="50"/>
        <v>0</v>
      </c>
      <c r="CK14" s="155">
        <f t="shared" si="50"/>
        <v>17</v>
      </c>
      <c r="CL14" s="155">
        <f t="shared" si="50"/>
        <v>17</v>
      </c>
      <c r="CM14" s="155">
        <f t="shared" si="50"/>
        <v>17</v>
      </c>
      <c r="CN14" s="155">
        <f t="shared" si="50"/>
        <v>17</v>
      </c>
      <c r="CO14" s="155">
        <f t="shared" si="50"/>
        <v>17</v>
      </c>
      <c r="CP14" s="155">
        <f t="shared" si="50"/>
        <v>0</v>
      </c>
      <c r="CQ14" s="155">
        <f t="shared" si="50"/>
        <v>0</v>
      </c>
      <c r="CR14" s="155">
        <f t="shared" si="50"/>
        <v>0</v>
      </c>
      <c r="CS14" s="155">
        <f t="shared" si="50"/>
        <v>0</v>
      </c>
      <c r="CT14" s="155">
        <f t="shared" si="50"/>
        <v>0</v>
      </c>
      <c r="CU14" s="155">
        <f t="shared" si="50"/>
        <v>0</v>
      </c>
      <c r="CV14" s="155">
        <f t="shared" si="50"/>
        <v>0</v>
      </c>
      <c r="CW14" s="155">
        <f t="shared" si="50"/>
        <v>0</v>
      </c>
      <c r="CX14" s="155">
        <f t="shared" si="50"/>
        <v>0</v>
      </c>
      <c r="CY14" s="155">
        <f t="shared" si="50"/>
        <v>0</v>
      </c>
      <c r="CZ14" s="155">
        <f t="shared" si="50"/>
        <v>0</v>
      </c>
      <c r="DA14" s="102">
        <f t="shared" si="34"/>
        <v>85</v>
      </c>
    </row>
    <row r="15" spans="1:105" ht="17.25" x14ac:dyDescent="0.3">
      <c r="A15" s="115"/>
      <c r="B15" s="80"/>
      <c r="C15" s="80" t="s">
        <v>203</v>
      </c>
      <c r="D15" s="98">
        <v>1</v>
      </c>
      <c r="E15" s="101">
        <v>180</v>
      </c>
      <c r="F15" s="98">
        <v>0.14000000000000001</v>
      </c>
      <c r="G15" s="98">
        <f>F15*5</f>
        <v>0.70000000000000007</v>
      </c>
      <c r="H15" s="98">
        <f t="shared" si="44"/>
        <v>3.0310000000000001</v>
      </c>
      <c r="I15" s="98">
        <f t="shared" si="45"/>
        <v>25.200000000000003</v>
      </c>
      <c r="J15" s="98">
        <f t="shared" si="46"/>
        <v>126.00000000000001</v>
      </c>
      <c r="K15" s="98">
        <f t="shared" si="47"/>
        <v>545.58000000000004</v>
      </c>
      <c r="L15" s="599"/>
      <c r="O15" s="613"/>
      <c r="P15" s="80" t="s">
        <v>194</v>
      </c>
      <c r="Q15" s="80" t="s">
        <v>263</v>
      </c>
      <c r="R15" s="134">
        <v>1</v>
      </c>
      <c r="S15" s="134">
        <v>100</v>
      </c>
      <c r="T15" s="134">
        <f t="shared" ref="T15:T20" si="51">U15/7</f>
        <v>6.5410779696493986E-5</v>
      </c>
      <c r="U15" s="134">
        <f t="shared" ref="U15:U20" si="52">(4/((7*24)*52))</f>
        <v>4.5787545787545788E-4</v>
      </c>
      <c r="V15" s="134">
        <f t="shared" si="48"/>
        <v>1.9826007326007328E-3</v>
      </c>
      <c r="W15" s="168">
        <f t="shared" si="40"/>
        <v>6.5410779696493983E-3</v>
      </c>
      <c r="X15" s="168">
        <f t="shared" si="41"/>
        <v>4.5787545787545784E-2</v>
      </c>
      <c r="Y15" s="169">
        <f t="shared" si="42"/>
        <v>0.19826007326007328</v>
      </c>
      <c r="Z15" s="606"/>
      <c r="AC15" s="613"/>
      <c r="AD15" s="80" t="s">
        <v>194</v>
      </c>
      <c r="AE15" s="80" t="s">
        <v>263</v>
      </c>
      <c r="AF15" s="98">
        <v>1</v>
      </c>
      <c r="AG15" s="98">
        <v>100</v>
      </c>
      <c r="AH15" s="98">
        <f t="shared" ref="AH15:AH20" si="53">AI15/7</f>
        <v>6.5410779696493986E-5</v>
      </c>
      <c r="AI15" s="98">
        <f t="shared" ref="AI15:AI20" si="54">(4/((7*24)*52))</f>
        <v>4.5787545787545788E-4</v>
      </c>
      <c r="AJ15" s="98">
        <f t="shared" si="49"/>
        <v>1.9826007326007328E-3</v>
      </c>
      <c r="AK15" s="98">
        <f t="shared" si="36"/>
        <v>6.5410779696493983E-3</v>
      </c>
      <c r="AL15" s="98">
        <f t="shared" si="37"/>
        <v>4.5787545787545784E-2</v>
      </c>
      <c r="AM15" s="98">
        <f t="shared" si="38"/>
        <v>0.19826007326007328</v>
      </c>
      <c r="AN15" s="599"/>
      <c r="AQ15" s="613"/>
      <c r="AR15" s="80" t="s">
        <v>194</v>
      </c>
      <c r="AS15" s="80" t="s">
        <v>263</v>
      </c>
      <c r="AT15" s="134">
        <v>1</v>
      </c>
      <c r="AU15" s="135">
        <v>100</v>
      </c>
      <c r="AV15" s="139">
        <f t="shared" ref="AV15:AV20" si="55">AW15/7</f>
        <v>0</v>
      </c>
      <c r="AW15" s="155">
        <v>0</v>
      </c>
      <c r="AX15" s="155">
        <v>0</v>
      </c>
      <c r="AY15" s="155">
        <v>0</v>
      </c>
      <c r="AZ15" s="155">
        <v>0</v>
      </c>
      <c r="BA15" s="155">
        <v>0</v>
      </c>
      <c r="BB15" s="155">
        <v>0</v>
      </c>
      <c r="BC15" s="155">
        <v>0</v>
      </c>
      <c r="BD15" s="155">
        <v>0</v>
      </c>
      <c r="BE15" s="155">
        <v>0</v>
      </c>
      <c r="BF15" s="155">
        <v>0</v>
      </c>
      <c r="BG15" s="155">
        <v>0</v>
      </c>
      <c r="BH15" s="155">
        <v>0</v>
      </c>
      <c r="BI15" s="155">
        <v>0</v>
      </c>
      <c r="BJ15" s="155">
        <v>0</v>
      </c>
      <c r="BK15" s="155">
        <v>0</v>
      </c>
      <c r="BL15" s="155"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02">
        <f t="shared" si="11"/>
        <v>0</v>
      </c>
      <c r="BX15" s="613"/>
      <c r="BY15" s="80" t="s">
        <v>194</v>
      </c>
      <c r="BZ15" s="80" t="s">
        <v>263</v>
      </c>
      <c r="CA15" s="134">
        <v>1</v>
      </c>
      <c r="CB15" s="135">
        <v>100</v>
      </c>
      <c r="CC15" s="165">
        <f t="shared" ref="CC15:CZ15" si="56">$CA$15*$CB$15*AW15</f>
        <v>0</v>
      </c>
      <c r="CD15" s="155">
        <f t="shared" si="56"/>
        <v>0</v>
      </c>
      <c r="CE15" s="155">
        <f t="shared" si="56"/>
        <v>0</v>
      </c>
      <c r="CF15" s="155">
        <f t="shared" si="56"/>
        <v>0</v>
      </c>
      <c r="CG15" s="155">
        <f t="shared" si="56"/>
        <v>0</v>
      </c>
      <c r="CH15" s="155">
        <f t="shared" si="56"/>
        <v>0</v>
      </c>
      <c r="CI15" s="155">
        <f t="shared" si="56"/>
        <v>0</v>
      </c>
      <c r="CJ15" s="155">
        <f t="shared" si="56"/>
        <v>0</v>
      </c>
      <c r="CK15" s="155">
        <f t="shared" si="56"/>
        <v>0</v>
      </c>
      <c r="CL15" s="155">
        <f t="shared" si="56"/>
        <v>0</v>
      </c>
      <c r="CM15" s="155">
        <f t="shared" si="56"/>
        <v>0</v>
      </c>
      <c r="CN15" s="155">
        <f t="shared" si="56"/>
        <v>0</v>
      </c>
      <c r="CO15" s="155">
        <f t="shared" si="56"/>
        <v>0</v>
      </c>
      <c r="CP15" s="155">
        <f t="shared" si="56"/>
        <v>0</v>
      </c>
      <c r="CQ15" s="155">
        <f t="shared" si="56"/>
        <v>0</v>
      </c>
      <c r="CR15" s="155">
        <f t="shared" si="56"/>
        <v>0</v>
      </c>
      <c r="CS15" s="155">
        <f t="shared" si="56"/>
        <v>0</v>
      </c>
      <c r="CT15" s="155">
        <f t="shared" si="56"/>
        <v>0</v>
      </c>
      <c r="CU15" s="155">
        <f t="shared" si="56"/>
        <v>0</v>
      </c>
      <c r="CV15" s="155">
        <f t="shared" si="56"/>
        <v>0</v>
      </c>
      <c r="CW15" s="155">
        <f t="shared" si="56"/>
        <v>0</v>
      </c>
      <c r="CX15" s="155">
        <f t="shared" si="56"/>
        <v>0</v>
      </c>
      <c r="CY15" s="155">
        <f t="shared" si="56"/>
        <v>0</v>
      </c>
      <c r="CZ15" s="155">
        <f t="shared" si="56"/>
        <v>0</v>
      </c>
      <c r="DA15" s="102">
        <f t="shared" si="34"/>
        <v>0</v>
      </c>
    </row>
    <row r="16" spans="1:105" ht="17.25" x14ac:dyDescent="0.3">
      <c r="A16" s="115"/>
      <c r="B16" s="80"/>
      <c r="C16" s="80" t="s">
        <v>204</v>
      </c>
      <c r="D16" s="98">
        <v>1</v>
      </c>
      <c r="E16" s="101">
        <v>120</v>
      </c>
      <c r="F16" s="98">
        <f t="shared" ref="F16" si="57">G16/7</f>
        <v>6.5410779696493986E-5</v>
      </c>
      <c r="G16" s="98">
        <f t="shared" ref="G16" si="58">(4/((7*24)*52))</f>
        <v>4.5787545787545788E-4</v>
      </c>
      <c r="H16" s="98">
        <f>4/12</f>
        <v>0.33333333333333331</v>
      </c>
      <c r="I16" s="98">
        <f t="shared" si="45"/>
        <v>7.849293563579279E-3</v>
      </c>
      <c r="J16" s="98">
        <f t="shared" si="46"/>
        <v>5.4945054945054944E-2</v>
      </c>
      <c r="K16" s="98">
        <f t="shared" si="47"/>
        <v>40</v>
      </c>
      <c r="L16" s="599"/>
      <c r="O16" s="613"/>
      <c r="P16" s="80"/>
      <c r="Q16" s="80" t="s">
        <v>251</v>
      </c>
      <c r="R16" s="134">
        <v>34</v>
      </c>
      <c r="S16" s="134">
        <v>17</v>
      </c>
      <c r="T16" s="134">
        <f t="shared" si="51"/>
        <v>6.5410779696493986E-5</v>
      </c>
      <c r="U16" s="134">
        <f t="shared" si="52"/>
        <v>4.5787545787545788E-4</v>
      </c>
      <c r="V16" s="134">
        <f t="shared" si="48"/>
        <v>1.9826007326007328E-3</v>
      </c>
      <c r="W16" s="168">
        <f t="shared" si="40"/>
        <v>3.7807430664573524E-2</v>
      </c>
      <c r="X16" s="168">
        <f t="shared" si="41"/>
        <v>0.26465201465201466</v>
      </c>
      <c r="Y16" s="169">
        <f t="shared" si="42"/>
        <v>1.1459432234432236</v>
      </c>
      <c r="Z16" s="606"/>
      <c r="AC16" s="613"/>
      <c r="AD16" s="80"/>
      <c r="AE16" s="80" t="s">
        <v>251</v>
      </c>
      <c r="AF16" s="98">
        <v>34</v>
      </c>
      <c r="AG16" s="98">
        <v>17</v>
      </c>
      <c r="AH16" s="98">
        <f t="shared" si="53"/>
        <v>6.5410779696493986E-5</v>
      </c>
      <c r="AI16" s="98">
        <f t="shared" si="54"/>
        <v>4.5787545787545788E-4</v>
      </c>
      <c r="AJ16" s="98">
        <f t="shared" si="49"/>
        <v>1.9826007326007328E-3</v>
      </c>
      <c r="AK16" s="98">
        <f t="shared" si="36"/>
        <v>3.7807430664573524E-2</v>
      </c>
      <c r="AL16" s="98">
        <f t="shared" si="37"/>
        <v>0.26465201465201466</v>
      </c>
      <c r="AM16" s="98">
        <f t="shared" si="38"/>
        <v>1.1459432234432236</v>
      </c>
      <c r="AN16" s="599"/>
      <c r="AQ16" s="613"/>
      <c r="AR16" s="80"/>
      <c r="AS16" s="80" t="s">
        <v>251</v>
      </c>
      <c r="AT16" s="134">
        <v>34</v>
      </c>
      <c r="AU16" s="135">
        <v>17</v>
      </c>
      <c r="AV16" s="139">
        <f t="shared" si="55"/>
        <v>0</v>
      </c>
      <c r="AW16" s="155">
        <v>0</v>
      </c>
      <c r="AX16" s="155">
        <v>0</v>
      </c>
      <c r="AY16" s="155">
        <v>0</v>
      </c>
      <c r="AZ16" s="155">
        <v>0</v>
      </c>
      <c r="BA16" s="155">
        <v>0</v>
      </c>
      <c r="BB16" s="155">
        <v>0</v>
      </c>
      <c r="BC16" s="155">
        <v>0</v>
      </c>
      <c r="BD16" s="155">
        <v>0</v>
      </c>
      <c r="BE16" s="155">
        <v>0</v>
      </c>
      <c r="BF16" s="155">
        <v>0</v>
      </c>
      <c r="BG16" s="155">
        <v>0</v>
      </c>
      <c r="BH16" s="155">
        <v>0</v>
      </c>
      <c r="BI16" s="155">
        <v>0</v>
      </c>
      <c r="BJ16" s="155">
        <v>0</v>
      </c>
      <c r="BK16" s="155">
        <v>0</v>
      </c>
      <c r="BL16" s="155">
        <v>0</v>
      </c>
      <c r="BM16" s="155">
        <v>0</v>
      </c>
      <c r="BN16" s="155">
        <v>0</v>
      </c>
      <c r="BO16" s="155">
        <v>0</v>
      </c>
      <c r="BP16" s="155">
        <v>0</v>
      </c>
      <c r="BQ16" s="155">
        <v>0</v>
      </c>
      <c r="BR16" s="155">
        <v>0</v>
      </c>
      <c r="BS16" s="155">
        <v>0</v>
      </c>
      <c r="BT16" s="155">
        <v>0</v>
      </c>
      <c r="BU16" s="102">
        <f t="shared" si="11"/>
        <v>0</v>
      </c>
      <c r="BX16" s="613"/>
      <c r="BY16" s="80"/>
      <c r="BZ16" s="80" t="s">
        <v>251</v>
      </c>
      <c r="CA16" s="134">
        <v>34</v>
      </c>
      <c r="CB16" s="135">
        <v>17</v>
      </c>
      <c r="CC16" s="165">
        <f t="shared" ref="CC16:CZ16" si="59">$CA$16*$CB$16*AW16</f>
        <v>0</v>
      </c>
      <c r="CD16" s="155">
        <f t="shared" si="59"/>
        <v>0</v>
      </c>
      <c r="CE16" s="155">
        <f t="shared" si="59"/>
        <v>0</v>
      </c>
      <c r="CF16" s="155">
        <f t="shared" si="59"/>
        <v>0</v>
      </c>
      <c r="CG16" s="155">
        <f t="shared" si="59"/>
        <v>0</v>
      </c>
      <c r="CH16" s="155">
        <f t="shared" si="59"/>
        <v>0</v>
      </c>
      <c r="CI16" s="155">
        <f t="shared" si="59"/>
        <v>0</v>
      </c>
      <c r="CJ16" s="155">
        <f t="shared" si="59"/>
        <v>0</v>
      </c>
      <c r="CK16" s="155">
        <f t="shared" si="59"/>
        <v>0</v>
      </c>
      <c r="CL16" s="155">
        <f t="shared" si="59"/>
        <v>0</v>
      </c>
      <c r="CM16" s="155">
        <f t="shared" si="59"/>
        <v>0</v>
      </c>
      <c r="CN16" s="155">
        <f t="shared" si="59"/>
        <v>0</v>
      </c>
      <c r="CO16" s="155">
        <f t="shared" si="59"/>
        <v>0</v>
      </c>
      <c r="CP16" s="155">
        <f t="shared" si="59"/>
        <v>0</v>
      </c>
      <c r="CQ16" s="155">
        <f t="shared" si="59"/>
        <v>0</v>
      </c>
      <c r="CR16" s="155">
        <f t="shared" si="59"/>
        <v>0</v>
      </c>
      <c r="CS16" s="155">
        <f t="shared" si="59"/>
        <v>0</v>
      </c>
      <c r="CT16" s="155">
        <f t="shared" si="59"/>
        <v>0</v>
      </c>
      <c r="CU16" s="155">
        <f t="shared" si="59"/>
        <v>0</v>
      </c>
      <c r="CV16" s="155">
        <f t="shared" si="59"/>
        <v>0</v>
      </c>
      <c r="CW16" s="155">
        <f t="shared" si="59"/>
        <v>0</v>
      </c>
      <c r="CX16" s="155">
        <f t="shared" si="59"/>
        <v>0</v>
      </c>
      <c r="CY16" s="155">
        <f t="shared" si="59"/>
        <v>0</v>
      </c>
      <c r="CZ16" s="155">
        <f t="shared" si="59"/>
        <v>0</v>
      </c>
      <c r="DA16" s="102">
        <f t="shared" si="34"/>
        <v>0</v>
      </c>
    </row>
    <row r="17" spans="1:111" ht="17.25" x14ac:dyDescent="0.3">
      <c r="A17" s="115"/>
      <c r="B17" s="80"/>
      <c r="C17" s="80" t="s">
        <v>216</v>
      </c>
      <c r="D17" s="98">
        <v>1</v>
      </c>
      <c r="E17" s="101">
        <f>120*0.5</f>
        <v>60</v>
      </c>
      <c r="F17" s="98" t="s">
        <v>215</v>
      </c>
      <c r="G17" s="98"/>
      <c r="H17" s="98">
        <f t="shared" si="44"/>
        <v>0</v>
      </c>
      <c r="I17" s="98">
        <v>0</v>
      </c>
      <c r="J17" s="98">
        <f t="shared" si="46"/>
        <v>0</v>
      </c>
      <c r="K17" s="98">
        <f t="shared" si="47"/>
        <v>0</v>
      </c>
      <c r="L17" s="599"/>
      <c r="O17" s="613"/>
      <c r="P17" s="80" t="s">
        <v>206</v>
      </c>
      <c r="Q17" s="80" t="s">
        <v>263</v>
      </c>
      <c r="R17" s="134">
        <v>2</v>
      </c>
      <c r="S17" s="134">
        <v>100</v>
      </c>
      <c r="T17" s="134">
        <f t="shared" si="51"/>
        <v>6.5410779696493986E-5</v>
      </c>
      <c r="U17" s="134">
        <f t="shared" si="52"/>
        <v>4.5787545787545788E-4</v>
      </c>
      <c r="V17" s="134">
        <f t="shared" si="48"/>
        <v>1.9826007326007328E-3</v>
      </c>
      <c r="W17" s="168">
        <f t="shared" si="40"/>
        <v>1.3082155939298797E-2</v>
      </c>
      <c r="X17" s="168">
        <f t="shared" si="41"/>
        <v>9.1575091575091569E-2</v>
      </c>
      <c r="Y17" s="169">
        <f t="shared" si="42"/>
        <v>0.39652014652014655</v>
      </c>
      <c r="Z17" s="606"/>
      <c r="AC17" s="613"/>
      <c r="AD17" s="80" t="s">
        <v>206</v>
      </c>
      <c r="AE17" s="80" t="s">
        <v>263</v>
      </c>
      <c r="AF17" s="98">
        <v>2</v>
      </c>
      <c r="AG17" s="98">
        <v>100</v>
      </c>
      <c r="AH17" s="98">
        <f t="shared" si="53"/>
        <v>6.5410779696493986E-5</v>
      </c>
      <c r="AI17" s="98">
        <f t="shared" si="54"/>
        <v>4.5787545787545788E-4</v>
      </c>
      <c r="AJ17" s="98">
        <f t="shared" si="49"/>
        <v>1.9826007326007328E-3</v>
      </c>
      <c r="AK17" s="98">
        <f t="shared" si="36"/>
        <v>1.3082155939298797E-2</v>
      </c>
      <c r="AL17" s="98">
        <f t="shared" si="37"/>
        <v>9.1575091575091569E-2</v>
      </c>
      <c r="AM17" s="98">
        <f t="shared" si="38"/>
        <v>0.39652014652014655</v>
      </c>
      <c r="AN17" s="599"/>
      <c r="AQ17" s="613"/>
      <c r="AR17" s="80" t="s">
        <v>206</v>
      </c>
      <c r="AS17" s="80" t="s">
        <v>263</v>
      </c>
      <c r="AT17" s="134">
        <v>2</v>
      </c>
      <c r="AU17" s="135">
        <v>100</v>
      </c>
      <c r="AV17" s="139">
        <f t="shared" si="55"/>
        <v>0</v>
      </c>
      <c r="AW17" s="155">
        <v>0</v>
      </c>
      <c r="AX17" s="155">
        <v>0</v>
      </c>
      <c r="AY17" s="155">
        <v>0</v>
      </c>
      <c r="AZ17" s="155">
        <v>0</v>
      </c>
      <c r="BA17" s="155">
        <v>0</v>
      </c>
      <c r="BB17" s="155">
        <v>0</v>
      </c>
      <c r="BC17" s="155">
        <v>0</v>
      </c>
      <c r="BD17" s="155">
        <v>0</v>
      </c>
      <c r="BE17" s="155">
        <v>0</v>
      </c>
      <c r="BF17" s="155">
        <v>0</v>
      </c>
      <c r="BG17" s="155">
        <v>0</v>
      </c>
      <c r="BH17" s="155">
        <v>0</v>
      </c>
      <c r="BI17" s="155">
        <v>0</v>
      </c>
      <c r="BJ17" s="155">
        <v>0</v>
      </c>
      <c r="BK17" s="155">
        <v>0</v>
      </c>
      <c r="BL17" s="155">
        <v>0</v>
      </c>
      <c r="BM17" s="155">
        <v>0</v>
      </c>
      <c r="BN17" s="155">
        <v>0</v>
      </c>
      <c r="BO17" s="155">
        <v>0</v>
      </c>
      <c r="BP17" s="155">
        <v>0</v>
      </c>
      <c r="BQ17" s="155">
        <v>0</v>
      </c>
      <c r="BR17" s="155">
        <v>0</v>
      </c>
      <c r="BS17" s="155">
        <v>0</v>
      </c>
      <c r="BT17" s="155">
        <v>0</v>
      </c>
      <c r="BU17" s="102">
        <f t="shared" si="11"/>
        <v>0</v>
      </c>
      <c r="BX17" s="613"/>
      <c r="BY17" s="80" t="s">
        <v>206</v>
      </c>
      <c r="BZ17" s="80" t="s">
        <v>263</v>
      </c>
      <c r="CA17" s="134">
        <v>2</v>
      </c>
      <c r="CB17" s="135">
        <v>100</v>
      </c>
      <c r="CC17" s="165">
        <f t="shared" ref="CC17:CZ17" si="60">$CA$17*$CB$17*AW17</f>
        <v>0</v>
      </c>
      <c r="CD17" s="155">
        <f t="shared" si="60"/>
        <v>0</v>
      </c>
      <c r="CE17" s="155">
        <f t="shared" si="60"/>
        <v>0</v>
      </c>
      <c r="CF17" s="155">
        <f t="shared" si="60"/>
        <v>0</v>
      </c>
      <c r="CG17" s="155">
        <f t="shared" si="60"/>
        <v>0</v>
      </c>
      <c r="CH17" s="155">
        <f t="shared" si="60"/>
        <v>0</v>
      </c>
      <c r="CI17" s="155">
        <f t="shared" si="60"/>
        <v>0</v>
      </c>
      <c r="CJ17" s="155">
        <f t="shared" si="60"/>
        <v>0</v>
      </c>
      <c r="CK17" s="155">
        <f t="shared" si="60"/>
        <v>0</v>
      </c>
      <c r="CL17" s="155">
        <f t="shared" si="60"/>
        <v>0</v>
      </c>
      <c r="CM17" s="155">
        <f t="shared" si="60"/>
        <v>0</v>
      </c>
      <c r="CN17" s="155">
        <f t="shared" si="60"/>
        <v>0</v>
      </c>
      <c r="CO17" s="155">
        <f t="shared" si="60"/>
        <v>0</v>
      </c>
      <c r="CP17" s="155">
        <f t="shared" si="60"/>
        <v>0</v>
      </c>
      <c r="CQ17" s="155">
        <f t="shared" si="60"/>
        <v>0</v>
      </c>
      <c r="CR17" s="155">
        <f t="shared" si="60"/>
        <v>0</v>
      </c>
      <c r="CS17" s="155">
        <f t="shared" si="60"/>
        <v>0</v>
      </c>
      <c r="CT17" s="155">
        <f t="shared" si="60"/>
        <v>0</v>
      </c>
      <c r="CU17" s="155">
        <f t="shared" si="60"/>
        <v>0</v>
      </c>
      <c r="CV17" s="155">
        <f t="shared" si="60"/>
        <v>0</v>
      </c>
      <c r="CW17" s="155">
        <f t="shared" si="60"/>
        <v>0</v>
      </c>
      <c r="CX17" s="155">
        <f t="shared" si="60"/>
        <v>0</v>
      </c>
      <c r="CY17" s="155">
        <f t="shared" si="60"/>
        <v>0</v>
      </c>
      <c r="CZ17" s="155">
        <f t="shared" si="60"/>
        <v>0</v>
      </c>
      <c r="DA17" s="102">
        <f t="shared" si="34"/>
        <v>0</v>
      </c>
    </row>
    <row r="18" spans="1:111" ht="17.25" x14ac:dyDescent="0.3">
      <c r="A18" s="115"/>
      <c r="B18" s="80"/>
      <c r="C18" s="80" t="s">
        <v>210</v>
      </c>
      <c r="D18" s="98">
        <v>1</v>
      </c>
      <c r="E18" s="101">
        <f>160/1000</f>
        <v>0.16</v>
      </c>
      <c r="F18" s="98">
        <v>5</v>
      </c>
      <c r="G18" s="98">
        <f>F18*5</f>
        <v>25</v>
      </c>
      <c r="H18" s="98">
        <f t="shared" si="44"/>
        <v>108.25</v>
      </c>
      <c r="I18" s="98">
        <f t="shared" si="45"/>
        <v>0.8</v>
      </c>
      <c r="J18" s="98">
        <f t="shared" si="46"/>
        <v>4</v>
      </c>
      <c r="K18" s="98">
        <f t="shared" si="47"/>
        <v>17.32</v>
      </c>
      <c r="L18" s="599"/>
      <c r="O18" s="613"/>
      <c r="P18" s="80"/>
      <c r="Q18" s="80" t="s">
        <v>247</v>
      </c>
      <c r="R18" s="134">
        <v>1</v>
      </c>
      <c r="S18" s="138">
        <v>22.11</v>
      </c>
      <c r="T18" s="134">
        <f t="shared" si="51"/>
        <v>6.5410779696493986E-5</v>
      </c>
      <c r="U18" s="134">
        <f t="shared" si="52"/>
        <v>4.5787545787545788E-4</v>
      </c>
      <c r="V18" s="134">
        <f>4/12</f>
        <v>0.33333333333333331</v>
      </c>
      <c r="W18" s="168">
        <f t="shared" si="40"/>
        <v>1.446232339089482E-3</v>
      </c>
      <c r="X18" s="168">
        <f t="shared" si="41"/>
        <v>1.0123626373626373E-2</v>
      </c>
      <c r="Y18" s="169">
        <f t="shared" si="42"/>
        <v>7.3699999999999992</v>
      </c>
      <c r="Z18" s="606"/>
      <c r="AC18" s="613"/>
      <c r="AD18" s="80"/>
      <c r="AE18" s="80" t="s">
        <v>247</v>
      </c>
      <c r="AF18" s="98">
        <v>1</v>
      </c>
      <c r="AG18" s="101">
        <v>22.11</v>
      </c>
      <c r="AH18" s="98">
        <f t="shared" si="53"/>
        <v>6.5410779696493986E-5</v>
      </c>
      <c r="AI18" s="98">
        <f t="shared" si="54"/>
        <v>4.5787545787545788E-4</v>
      </c>
      <c r="AJ18" s="98">
        <f>4/12</f>
        <v>0.33333333333333331</v>
      </c>
      <c r="AK18" s="98">
        <f t="shared" si="36"/>
        <v>1.446232339089482E-3</v>
      </c>
      <c r="AL18" s="98">
        <f t="shared" si="37"/>
        <v>1.0123626373626373E-2</v>
      </c>
      <c r="AM18" s="98">
        <f t="shared" si="38"/>
        <v>7.3699999999999992</v>
      </c>
      <c r="AN18" s="599"/>
      <c r="AQ18" s="613"/>
      <c r="AR18" s="80"/>
      <c r="AS18" s="80" t="s">
        <v>247</v>
      </c>
      <c r="AT18" s="134">
        <v>1</v>
      </c>
      <c r="AU18" s="150">
        <v>22.11</v>
      </c>
      <c r="AV18" s="139">
        <f t="shared" si="55"/>
        <v>0</v>
      </c>
      <c r="AW18" s="155">
        <v>0</v>
      </c>
      <c r="AX18" s="155">
        <v>0</v>
      </c>
      <c r="AY18" s="155">
        <v>0</v>
      </c>
      <c r="AZ18" s="155">
        <v>0</v>
      </c>
      <c r="BA18" s="155">
        <v>0</v>
      </c>
      <c r="BB18" s="155">
        <v>0</v>
      </c>
      <c r="BC18" s="155">
        <v>0</v>
      </c>
      <c r="BD18" s="155">
        <v>0</v>
      </c>
      <c r="BE18" s="155">
        <v>0</v>
      </c>
      <c r="BF18" s="155">
        <v>0</v>
      </c>
      <c r="BG18" s="155">
        <v>0</v>
      </c>
      <c r="BH18" s="155">
        <v>0</v>
      </c>
      <c r="BI18" s="155">
        <v>0</v>
      </c>
      <c r="BJ18" s="155">
        <v>0</v>
      </c>
      <c r="BK18" s="155">
        <v>0</v>
      </c>
      <c r="BL18" s="155">
        <v>0</v>
      </c>
      <c r="BM18" s="155">
        <v>0</v>
      </c>
      <c r="BN18" s="155">
        <v>0</v>
      </c>
      <c r="BO18" s="155">
        <v>0</v>
      </c>
      <c r="BP18" s="155">
        <v>0</v>
      </c>
      <c r="BQ18" s="155">
        <v>0</v>
      </c>
      <c r="BR18" s="155">
        <v>0</v>
      </c>
      <c r="BS18" s="155">
        <v>0</v>
      </c>
      <c r="BT18" s="155">
        <v>0</v>
      </c>
      <c r="BU18" s="102">
        <f t="shared" si="11"/>
        <v>0</v>
      </c>
      <c r="BX18" s="613"/>
      <c r="BY18" s="80"/>
      <c r="BZ18" s="80" t="s">
        <v>247</v>
      </c>
      <c r="CA18" s="134">
        <v>1</v>
      </c>
      <c r="CB18" s="150">
        <v>22.11</v>
      </c>
      <c r="CC18" s="165">
        <f t="shared" ref="CC18:CZ18" si="61">$CA$18*$CB$18*AW18</f>
        <v>0</v>
      </c>
      <c r="CD18" s="155">
        <f t="shared" si="61"/>
        <v>0</v>
      </c>
      <c r="CE18" s="155">
        <f t="shared" si="61"/>
        <v>0</v>
      </c>
      <c r="CF18" s="155">
        <f t="shared" si="61"/>
        <v>0</v>
      </c>
      <c r="CG18" s="155">
        <f t="shared" si="61"/>
        <v>0</v>
      </c>
      <c r="CH18" s="155">
        <f t="shared" si="61"/>
        <v>0</v>
      </c>
      <c r="CI18" s="155">
        <f t="shared" si="61"/>
        <v>0</v>
      </c>
      <c r="CJ18" s="155">
        <f t="shared" si="61"/>
        <v>0</v>
      </c>
      <c r="CK18" s="155">
        <f t="shared" si="61"/>
        <v>0</v>
      </c>
      <c r="CL18" s="155">
        <f t="shared" si="61"/>
        <v>0</v>
      </c>
      <c r="CM18" s="155">
        <f t="shared" si="61"/>
        <v>0</v>
      </c>
      <c r="CN18" s="155">
        <f t="shared" si="61"/>
        <v>0</v>
      </c>
      <c r="CO18" s="155">
        <f t="shared" si="61"/>
        <v>0</v>
      </c>
      <c r="CP18" s="155">
        <f t="shared" si="61"/>
        <v>0</v>
      </c>
      <c r="CQ18" s="155">
        <f t="shared" si="61"/>
        <v>0</v>
      </c>
      <c r="CR18" s="155">
        <f t="shared" si="61"/>
        <v>0</v>
      </c>
      <c r="CS18" s="155">
        <f t="shared" si="61"/>
        <v>0</v>
      </c>
      <c r="CT18" s="155">
        <f t="shared" si="61"/>
        <v>0</v>
      </c>
      <c r="CU18" s="155">
        <f t="shared" si="61"/>
        <v>0</v>
      </c>
      <c r="CV18" s="155">
        <f t="shared" si="61"/>
        <v>0</v>
      </c>
      <c r="CW18" s="155">
        <f t="shared" si="61"/>
        <v>0</v>
      </c>
      <c r="CX18" s="155">
        <f t="shared" si="61"/>
        <v>0</v>
      </c>
      <c r="CY18" s="155">
        <f t="shared" si="61"/>
        <v>0</v>
      </c>
      <c r="CZ18" s="155">
        <f t="shared" si="61"/>
        <v>0</v>
      </c>
      <c r="DA18" s="102">
        <f t="shared" si="34"/>
        <v>0</v>
      </c>
    </row>
    <row r="19" spans="1:111" ht="17.25" x14ac:dyDescent="0.3">
      <c r="A19" s="115"/>
      <c r="B19" s="80"/>
      <c r="C19" s="80" t="s">
        <v>251</v>
      </c>
      <c r="D19" s="98">
        <v>12</v>
      </c>
      <c r="E19" s="101">
        <v>17</v>
      </c>
      <c r="F19" s="98">
        <v>5</v>
      </c>
      <c r="G19" s="98">
        <f>F19*5</f>
        <v>25</v>
      </c>
      <c r="H19" s="98">
        <f t="shared" si="44"/>
        <v>108.25</v>
      </c>
      <c r="I19" s="98">
        <f t="shared" si="45"/>
        <v>1020</v>
      </c>
      <c r="J19" s="98">
        <f t="shared" si="46"/>
        <v>5100</v>
      </c>
      <c r="K19" s="98">
        <f t="shared" si="47"/>
        <v>22083</v>
      </c>
      <c r="L19" s="599"/>
      <c r="O19" s="613"/>
      <c r="P19" s="80" t="s">
        <v>206</v>
      </c>
      <c r="Q19" s="80" t="s">
        <v>263</v>
      </c>
      <c r="R19" s="134">
        <v>1</v>
      </c>
      <c r="S19" s="134">
        <v>100</v>
      </c>
      <c r="T19" s="134">
        <f t="shared" si="51"/>
        <v>6.5410779696493986E-5</v>
      </c>
      <c r="U19" s="134">
        <f t="shared" si="52"/>
        <v>4.5787545787545788E-4</v>
      </c>
      <c r="V19" s="134">
        <f>U19*4.33</f>
        <v>1.9826007326007328E-3</v>
      </c>
      <c r="W19" s="168">
        <f t="shared" si="40"/>
        <v>6.5410779696493983E-3</v>
      </c>
      <c r="X19" s="168">
        <f t="shared" si="41"/>
        <v>4.5787545787545784E-2</v>
      </c>
      <c r="Y19" s="169">
        <f t="shared" si="42"/>
        <v>0.19826007326007328</v>
      </c>
      <c r="Z19" s="606"/>
      <c r="AC19" s="613"/>
      <c r="AD19" s="80" t="s">
        <v>206</v>
      </c>
      <c r="AE19" s="80" t="s">
        <v>263</v>
      </c>
      <c r="AF19" s="98">
        <v>1</v>
      </c>
      <c r="AG19" s="98">
        <v>100</v>
      </c>
      <c r="AH19" s="98">
        <f t="shared" si="53"/>
        <v>6.5410779696493986E-5</v>
      </c>
      <c r="AI19" s="98">
        <f t="shared" si="54"/>
        <v>4.5787545787545788E-4</v>
      </c>
      <c r="AJ19" s="98">
        <f>AI19*4.33</f>
        <v>1.9826007326007328E-3</v>
      </c>
      <c r="AK19" s="98">
        <f t="shared" si="36"/>
        <v>6.5410779696493983E-3</v>
      </c>
      <c r="AL19" s="98">
        <f t="shared" si="37"/>
        <v>4.5787545787545784E-2</v>
      </c>
      <c r="AM19" s="98">
        <f t="shared" si="38"/>
        <v>0.19826007326007328</v>
      </c>
      <c r="AN19" s="599"/>
      <c r="AQ19" s="613"/>
      <c r="AR19" s="80" t="s">
        <v>206</v>
      </c>
      <c r="AS19" s="80" t="s">
        <v>263</v>
      </c>
      <c r="AT19" s="134">
        <v>1</v>
      </c>
      <c r="AU19" s="135">
        <v>100</v>
      </c>
      <c r="AV19" s="139">
        <f t="shared" si="55"/>
        <v>0</v>
      </c>
      <c r="AW19" s="155">
        <v>0</v>
      </c>
      <c r="AX19" s="155">
        <v>0</v>
      </c>
      <c r="AY19" s="155">
        <v>0</v>
      </c>
      <c r="AZ19" s="155">
        <v>0</v>
      </c>
      <c r="BA19" s="155">
        <v>0</v>
      </c>
      <c r="BB19" s="155">
        <v>0</v>
      </c>
      <c r="BC19" s="155">
        <v>0</v>
      </c>
      <c r="BD19" s="155">
        <v>0</v>
      </c>
      <c r="BE19" s="155">
        <v>0</v>
      </c>
      <c r="BF19" s="155">
        <v>0</v>
      </c>
      <c r="BG19" s="155">
        <v>0</v>
      </c>
      <c r="BH19" s="155">
        <v>0</v>
      </c>
      <c r="BI19" s="155">
        <v>0</v>
      </c>
      <c r="BJ19" s="155">
        <v>0</v>
      </c>
      <c r="BK19" s="155">
        <v>0</v>
      </c>
      <c r="BL19" s="155">
        <v>0</v>
      </c>
      <c r="BM19" s="155">
        <v>0</v>
      </c>
      <c r="BN19" s="155">
        <v>0</v>
      </c>
      <c r="BO19" s="155">
        <v>0</v>
      </c>
      <c r="BP19" s="155">
        <v>0</v>
      </c>
      <c r="BQ19" s="155">
        <v>0</v>
      </c>
      <c r="BR19" s="155">
        <v>0</v>
      </c>
      <c r="BS19" s="155">
        <v>0</v>
      </c>
      <c r="BT19" s="155">
        <v>0</v>
      </c>
      <c r="BU19" s="102">
        <f t="shared" si="11"/>
        <v>0</v>
      </c>
      <c r="BX19" s="613"/>
      <c r="BY19" s="80" t="s">
        <v>206</v>
      </c>
      <c r="BZ19" s="80" t="s">
        <v>263</v>
      </c>
      <c r="CA19" s="134">
        <v>1</v>
      </c>
      <c r="CB19" s="135">
        <v>100</v>
      </c>
      <c r="CC19" s="165">
        <f t="shared" ref="CC19:CZ19" si="62">$CA$19*$CB$19*AW19</f>
        <v>0</v>
      </c>
      <c r="CD19" s="155">
        <f t="shared" si="62"/>
        <v>0</v>
      </c>
      <c r="CE19" s="155">
        <f t="shared" si="62"/>
        <v>0</v>
      </c>
      <c r="CF19" s="155">
        <f t="shared" si="62"/>
        <v>0</v>
      </c>
      <c r="CG19" s="155">
        <f t="shared" si="62"/>
        <v>0</v>
      </c>
      <c r="CH19" s="155">
        <f t="shared" si="62"/>
        <v>0</v>
      </c>
      <c r="CI19" s="155">
        <f t="shared" si="62"/>
        <v>0</v>
      </c>
      <c r="CJ19" s="155">
        <f t="shared" si="62"/>
        <v>0</v>
      </c>
      <c r="CK19" s="155">
        <f t="shared" si="62"/>
        <v>0</v>
      </c>
      <c r="CL19" s="155">
        <f t="shared" si="62"/>
        <v>0</v>
      </c>
      <c r="CM19" s="155">
        <f t="shared" si="62"/>
        <v>0</v>
      </c>
      <c r="CN19" s="155">
        <f t="shared" si="62"/>
        <v>0</v>
      </c>
      <c r="CO19" s="155">
        <f t="shared" si="62"/>
        <v>0</v>
      </c>
      <c r="CP19" s="155">
        <f t="shared" si="62"/>
        <v>0</v>
      </c>
      <c r="CQ19" s="155">
        <f t="shared" si="62"/>
        <v>0</v>
      </c>
      <c r="CR19" s="155">
        <f t="shared" si="62"/>
        <v>0</v>
      </c>
      <c r="CS19" s="155">
        <f t="shared" si="62"/>
        <v>0</v>
      </c>
      <c r="CT19" s="155">
        <f t="shared" si="62"/>
        <v>0</v>
      </c>
      <c r="CU19" s="155">
        <f t="shared" si="62"/>
        <v>0</v>
      </c>
      <c r="CV19" s="155">
        <f t="shared" si="62"/>
        <v>0</v>
      </c>
      <c r="CW19" s="155">
        <f t="shared" si="62"/>
        <v>0</v>
      </c>
      <c r="CX19" s="155">
        <f t="shared" si="62"/>
        <v>0</v>
      </c>
      <c r="CY19" s="155">
        <f t="shared" si="62"/>
        <v>0</v>
      </c>
      <c r="CZ19" s="155">
        <f t="shared" si="62"/>
        <v>0</v>
      </c>
      <c r="DA19" s="102">
        <f t="shared" si="34"/>
        <v>0</v>
      </c>
    </row>
    <row r="20" spans="1:111" ht="18" thickBot="1" x14ac:dyDescent="0.35">
      <c r="A20" s="115"/>
      <c r="B20" s="80" t="s">
        <v>192</v>
      </c>
      <c r="C20" s="80" t="s">
        <v>263</v>
      </c>
      <c r="D20" s="98">
        <v>1</v>
      </c>
      <c r="E20" s="101">
        <v>100</v>
      </c>
      <c r="F20" s="98">
        <v>0.25</v>
      </c>
      <c r="G20" s="98">
        <f>F20*5</f>
        <v>1.25</v>
      </c>
      <c r="H20" s="98">
        <f t="shared" si="44"/>
        <v>5.4124999999999996</v>
      </c>
      <c r="I20" s="98">
        <f t="shared" si="45"/>
        <v>25</v>
      </c>
      <c r="J20" s="98">
        <f t="shared" si="46"/>
        <v>125</v>
      </c>
      <c r="K20" s="98">
        <f t="shared" si="47"/>
        <v>541.25</v>
      </c>
      <c r="L20" s="599"/>
      <c r="O20" s="613"/>
      <c r="P20" s="80"/>
      <c r="Q20" s="80" t="s">
        <v>247</v>
      </c>
      <c r="R20" s="134">
        <v>1</v>
      </c>
      <c r="S20" s="138">
        <v>22.11</v>
      </c>
      <c r="T20" s="139">
        <f t="shared" si="51"/>
        <v>6.5410779696493986E-5</v>
      </c>
      <c r="U20" s="134">
        <f t="shared" si="52"/>
        <v>4.5787545787545788E-4</v>
      </c>
      <c r="V20" s="134">
        <f t="shared" ref="V20" si="63">4/12</f>
        <v>0.33333333333333331</v>
      </c>
      <c r="W20" s="168">
        <f t="shared" si="40"/>
        <v>1.446232339089482E-3</v>
      </c>
      <c r="X20" s="168">
        <f t="shared" si="41"/>
        <v>1.0123626373626373E-2</v>
      </c>
      <c r="Y20" s="169">
        <f t="shared" si="42"/>
        <v>7.3699999999999992</v>
      </c>
      <c r="Z20" s="606"/>
      <c r="AC20" s="613"/>
      <c r="AD20" s="80"/>
      <c r="AE20" s="80" t="s">
        <v>247</v>
      </c>
      <c r="AF20" s="98">
        <v>1</v>
      </c>
      <c r="AG20" s="101">
        <v>22.11</v>
      </c>
      <c r="AH20" s="102">
        <f t="shared" si="53"/>
        <v>6.5410779696493986E-5</v>
      </c>
      <c r="AI20" s="98">
        <f t="shared" si="54"/>
        <v>4.5787545787545788E-4</v>
      </c>
      <c r="AJ20" s="98">
        <f t="shared" ref="AJ20" si="64">4/12</f>
        <v>0.33333333333333331</v>
      </c>
      <c r="AK20" s="98">
        <f t="shared" si="36"/>
        <v>1.446232339089482E-3</v>
      </c>
      <c r="AL20" s="98">
        <f t="shared" si="37"/>
        <v>1.0123626373626373E-2</v>
      </c>
      <c r="AM20" s="98">
        <f t="shared" si="38"/>
        <v>7.3699999999999992</v>
      </c>
      <c r="AN20" s="599"/>
      <c r="AQ20" s="613"/>
      <c r="AR20" s="80"/>
      <c r="AS20" s="80" t="s">
        <v>247</v>
      </c>
      <c r="AT20" s="134">
        <v>1</v>
      </c>
      <c r="AU20" s="150">
        <v>22.11</v>
      </c>
      <c r="AV20" s="139">
        <f t="shared" si="55"/>
        <v>0</v>
      </c>
      <c r="AW20" s="155">
        <v>0</v>
      </c>
      <c r="AX20" s="155">
        <v>0</v>
      </c>
      <c r="AY20" s="155">
        <v>0</v>
      </c>
      <c r="AZ20" s="155">
        <v>0</v>
      </c>
      <c r="BA20" s="155">
        <v>0</v>
      </c>
      <c r="BB20" s="155">
        <v>0</v>
      </c>
      <c r="BC20" s="155">
        <v>0</v>
      </c>
      <c r="BD20" s="155">
        <v>0</v>
      </c>
      <c r="BE20" s="155">
        <v>0</v>
      </c>
      <c r="BF20" s="155">
        <v>0</v>
      </c>
      <c r="BG20" s="155">
        <v>0</v>
      </c>
      <c r="BH20" s="155">
        <v>0</v>
      </c>
      <c r="BI20" s="155">
        <v>0</v>
      </c>
      <c r="BJ20" s="155">
        <v>0</v>
      </c>
      <c r="BK20" s="155">
        <v>0</v>
      </c>
      <c r="BL20" s="155">
        <v>0</v>
      </c>
      <c r="BM20" s="155">
        <v>0</v>
      </c>
      <c r="BN20" s="155">
        <v>0</v>
      </c>
      <c r="BO20" s="155">
        <v>0</v>
      </c>
      <c r="BP20" s="155">
        <v>0</v>
      </c>
      <c r="BQ20" s="155">
        <v>0</v>
      </c>
      <c r="BR20" s="155">
        <v>0</v>
      </c>
      <c r="BS20" s="155">
        <v>0</v>
      </c>
      <c r="BT20" s="155">
        <v>0</v>
      </c>
      <c r="BU20" s="102">
        <f t="shared" si="11"/>
        <v>0</v>
      </c>
      <c r="BX20" s="613"/>
      <c r="BY20" s="80"/>
      <c r="BZ20" s="80" t="s">
        <v>247</v>
      </c>
      <c r="CA20" s="134">
        <v>1</v>
      </c>
      <c r="CB20" s="150">
        <v>22.11</v>
      </c>
      <c r="CC20" s="165">
        <f t="shared" ref="CC20:CZ20" si="65">$CA$20*$CB$20*AW20</f>
        <v>0</v>
      </c>
      <c r="CD20" s="155">
        <f t="shared" si="65"/>
        <v>0</v>
      </c>
      <c r="CE20" s="155">
        <f t="shared" si="65"/>
        <v>0</v>
      </c>
      <c r="CF20" s="155">
        <f t="shared" si="65"/>
        <v>0</v>
      </c>
      <c r="CG20" s="155">
        <f t="shared" si="65"/>
        <v>0</v>
      </c>
      <c r="CH20" s="155">
        <f t="shared" si="65"/>
        <v>0</v>
      </c>
      <c r="CI20" s="155">
        <f t="shared" si="65"/>
        <v>0</v>
      </c>
      <c r="CJ20" s="155">
        <f t="shared" si="65"/>
        <v>0</v>
      </c>
      <c r="CK20" s="155">
        <f t="shared" si="65"/>
        <v>0</v>
      </c>
      <c r="CL20" s="155">
        <f t="shared" si="65"/>
        <v>0</v>
      </c>
      <c r="CM20" s="155">
        <f t="shared" si="65"/>
        <v>0</v>
      </c>
      <c r="CN20" s="155">
        <f t="shared" si="65"/>
        <v>0</v>
      </c>
      <c r="CO20" s="155">
        <f t="shared" si="65"/>
        <v>0</v>
      </c>
      <c r="CP20" s="155">
        <f t="shared" si="65"/>
        <v>0</v>
      </c>
      <c r="CQ20" s="155">
        <f t="shared" si="65"/>
        <v>0</v>
      </c>
      <c r="CR20" s="155">
        <f t="shared" si="65"/>
        <v>0</v>
      </c>
      <c r="CS20" s="155">
        <f t="shared" si="65"/>
        <v>0</v>
      </c>
      <c r="CT20" s="155">
        <f t="shared" si="65"/>
        <v>0</v>
      </c>
      <c r="CU20" s="155">
        <f t="shared" si="65"/>
        <v>0</v>
      </c>
      <c r="CV20" s="155">
        <f t="shared" si="65"/>
        <v>0</v>
      </c>
      <c r="CW20" s="155">
        <f t="shared" si="65"/>
        <v>0</v>
      </c>
      <c r="CX20" s="155">
        <f t="shared" si="65"/>
        <v>0</v>
      </c>
      <c r="CY20" s="155">
        <f t="shared" si="65"/>
        <v>0</v>
      </c>
      <c r="CZ20" s="155">
        <f t="shared" si="65"/>
        <v>0</v>
      </c>
      <c r="DA20" s="102">
        <f t="shared" si="34"/>
        <v>0</v>
      </c>
    </row>
    <row r="21" spans="1:111" ht="17.25" x14ac:dyDescent="0.3">
      <c r="A21" s="115"/>
      <c r="B21" s="80"/>
      <c r="C21" s="80" t="s">
        <v>247</v>
      </c>
      <c r="D21" s="98">
        <v>1</v>
      </c>
      <c r="E21" s="101">
        <v>22.11</v>
      </c>
      <c r="F21" s="98">
        <v>0.25</v>
      </c>
      <c r="G21" s="98">
        <f>F21*5</f>
        <v>1.25</v>
      </c>
      <c r="H21" s="98">
        <f t="shared" si="44"/>
        <v>5.4124999999999996</v>
      </c>
      <c r="I21" s="98">
        <f t="shared" si="45"/>
        <v>5.5274999999999999</v>
      </c>
      <c r="J21" s="98">
        <f t="shared" si="46"/>
        <v>27.637499999999999</v>
      </c>
      <c r="K21" s="98">
        <f t="shared" si="47"/>
        <v>119.67037499999999</v>
      </c>
      <c r="L21" s="599"/>
      <c r="O21" s="613"/>
      <c r="P21" s="94" t="s">
        <v>259</v>
      </c>
      <c r="Q21" s="95"/>
      <c r="R21" s="140">
        <f t="shared" ref="R21:Y21" si="66">SUM(R11:R20)</f>
        <v>55</v>
      </c>
      <c r="S21" s="140">
        <f t="shared" si="66"/>
        <v>517.33000000000004</v>
      </c>
      <c r="T21" s="140">
        <f t="shared" si="66"/>
        <v>10.500392464678175</v>
      </c>
      <c r="U21" s="140">
        <f t="shared" si="66"/>
        <v>52.502747252747255</v>
      </c>
      <c r="V21" s="140">
        <f t="shared" si="66"/>
        <v>227.99959706959703</v>
      </c>
      <c r="W21" s="172">
        <f t="shared" si="66"/>
        <v>1135.5943642072211</v>
      </c>
      <c r="X21" s="173">
        <f t="shared" si="66"/>
        <v>5678.105549450549</v>
      </c>
      <c r="Y21" s="174">
        <f t="shared" si="66"/>
        <v>24600.849358516483</v>
      </c>
      <c r="Z21" s="607"/>
      <c r="AC21" s="613"/>
      <c r="AD21" s="94" t="s">
        <v>259</v>
      </c>
      <c r="AE21" s="95"/>
      <c r="AF21" s="108">
        <f>SUM(AF11:AF19)</f>
        <v>69</v>
      </c>
      <c r="AG21" s="108">
        <f>SUM(AG11:AG19)</f>
        <v>495.22</v>
      </c>
      <c r="AH21" s="108">
        <f>SUM(AH11:AH19)</f>
        <v>10.500327053898479</v>
      </c>
      <c r="AI21" s="108">
        <f>SUM(AI11:AI19)</f>
        <v>52.50228937728938</v>
      </c>
      <c r="AJ21" s="108">
        <f>SUM(AJ11:AJ20)</f>
        <v>227.99959706959703</v>
      </c>
      <c r="AK21" s="108">
        <f>SUM(AK11:AK19)</f>
        <v>2410.5929179748828</v>
      </c>
      <c r="AL21" s="109">
        <f>SUM(AL11:AL19)</f>
        <v>12053.095425824176</v>
      </c>
      <c r="AM21" s="109">
        <f>SUM(AM11:AM19)</f>
        <v>52197.229358516481</v>
      </c>
      <c r="AN21" s="601"/>
      <c r="AQ21" s="613"/>
      <c r="AR21" s="94" t="s">
        <v>259</v>
      </c>
      <c r="AS21" s="95"/>
      <c r="AT21" s="140">
        <f>SUM(AT11:AT20)</f>
        <v>55</v>
      </c>
      <c r="AU21" s="141">
        <f>SUM(AU11:AU20)</f>
        <v>517.33000000000004</v>
      </c>
      <c r="AV21" s="157">
        <f>SUM(AV11:AV20)</f>
        <v>10.5</v>
      </c>
      <c r="AW21" s="140">
        <f t="shared" ref="AW21:BU21" si="67">SUM(AW11:AW19)</f>
        <v>0</v>
      </c>
      <c r="AX21" s="140">
        <f t="shared" si="67"/>
        <v>0</v>
      </c>
      <c r="AY21" s="140">
        <f t="shared" si="67"/>
        <v>0</v>
      </c>
      <c r="AZ21" s="140">
        <f t="shared" si="67"/>
        <v>0</v>
      </c>
      <c r="BA21" s="140">
        <f t="shared" si="67"/>
        <v>0</v>
      </c>
      <c r="BB21" s="140">
        <f t="shared" si="67"/>
        <v>0</v>
      </c>
      <c r="BC21" s="140">
        <f t="shared" si="67"/>
        <v>0</v>
      </c>
      <c r="BD21" s="140">
        <f t="shared" si="67"/>
        <v>0</v>
      </c>
      <c r="BE21" s="140">
        <f t="shared" si="67"/>
        <v>2</v>
      </c>
      <c r="BF21" s="140">
        <f t="shared" si="67"/>
        <v>2</v>
      </c>
      <c r="BG21" s="140">
        <f t="shared" si="67"/>
        <v>2</v>
      </c>
      <c r="BH21" s="140">
        <f t="shared" si="67"/>
        <v>2.5</v>
      </c>
      <c r="BI21" s="140">
        <f>SUM(BI11:BI20)</f>
        <v>2</v>
      </c>
      <c r="BJ21" s="140">
        <f t="shared" si="67"/>
        <v>0</v>
      </c>
      <c r="BK21" s="140">
        <f t="shared" si="67"/>
        <v>0</v>
      </c>
      <c r="BL21" s="140">
        <f t="shared" si="67"/>
        <v>0</v>
      </c>
      <c r="BM21" s="140">
        <f t="shared" si="67"/>
        <v>0</v>
      </c>
      <c r="BN21" s="140">
        <f t="shared" si="67"/>
        <v>0</v>
      </c>
      <c r="BO21" s="140">
        <f t="shared" si="67"/>
        <v>0</v>
      </c>
      <c r="BP21" s="140">
        <f t="shared" si="67"/>
        <v>0</v>
      </c>
      <c r="BQ21" s="140">
        <f t="shared" si="67"/>
        <v>0</v>
      </c>
      <c r="BR21" s="140">
        <f t="shared" si="67"/>
        <v>0</v>
      </c>
      <c r="BS21" s="140">
        <f t="shared" si="67"/>
        <v>0</v>
      </c>
      <c r="BT21" s="141">
        <f>SUM(BT11:BT20)</f>
        <v>0</v>
      </c>
      <c r="BU21" s="157">
        <f t="shared" si="67"/>
        <v>10.5</v>
      </c>
      <c r="BX21" s="613"/>
      <c r="BY21" s="94" t="s">
        <v>259</v>
      </c>
      <c r="BZ21" s="95"/>
      <c r="CA21" s="140">
        <f>SUM(CA11:CA20)</f>
        <v>55</v>
      </c>
      <c r="CB21" s="141">
        <f>SUM(CB11:CB20)</f>
        <v>517.33000000000004</v>
      </c>
      <c r="CC21" s="187">
        <f>SUM(CC11:CC20)</f>
        <v>0</v>
      </c>
      <c r="CD21" s="187">
        <f t="shared" ref="CD21:CZ21" si="68">SUM(CD11:CD20)</f>
        <v>0</v>
      </c>
      <c r="CE21" s="187">
        <f t="shared" si="68"/>
        <v>0</v>
      </c>
      <c r="CF21" s="187">
        <f t="shared" si="68"/>
        <v>0</v>
      </c>
      <c r="CG21" s="187">
        <f t="shared" si="68"/>
        <v>0</v>
      </c>
      <c r="CH21" s="187">
        <f t="shared" si="68"/>
        <v>0</v>
      </c>
      <c r="CI21" s="187">
        <f t="shared" si="68"/>
        <v>0</v>
      </c>
      <c r="CJ21" s="187">
        <f t="shared" si="68"/>
        <v>0</v>
      </c>
      <c r="CK21" s="187">
        <f t="shared" si="68"/>
        <v>221</v>
      </c>
      <c r="CL21" s="187">
        <f t="shared" si="68"/>
        <v>221</v>
      </c>
      <c r="CM21" s="187">
        <f t="shared" si="68"/>
        <v>221</v>
      </c>
      <c r="CN21" s="187">
        <f t="shared" si="68"/>
        <v>251.5275</v>
      </c>
      <c r="CO21" s="187">
        <f t="shared" si="68"/>
        <v>221</v>
      </c>
      <c r="CP21" s="187">
        <f t="shared" si="68"/>
        <v>0</v>
      </c>
      <c r="CQ21" s="187">
        <f t="shared" si="68"/>
        <v>0</v>
      </c>
      <c r="CR21" s="187">
        <f t="shared" si="68"/>
        <v>0</v>
      </c>
      <c r="CS21" s="187">
        <f t="shared" si="68"/>
        <v>0</v>
      </c>
      <c r="CT21" s="187">
        <f t="shared" si="68"/>
        <v>0</v>
      </c>
      <c r="CU21" s="187">
        <f t="shared" si="68"/>
        <v>0</v>
      </c>
      <c r="CV21" s="187">
        <f t="shared" si="68"/>
        <v>0</v>
      </c>
      <c r="CW21" s="187">
        <f t="shared" si="68"/>
        <v>0</v>
      </c>
      <c r="CX21" s="187">
        <f t="shared" si="68"/>
        <v>0</v>
      </c>
      <c r="CY21" s="187">
        <f t="shared" si="68"/>
        <v>0</v>
      </c>
      <c r="CZ21" s="187">
        <f t="shared" si="68"/>
        <v>0</v>
      </c>
      <c r="DA21" s="157">
        <f>SUM(DA11:DA20)</f>
        <v>1135.5274999999999</v>
      </c>
    </row>
    <row r="22" spans="1:111" ht="18" thickBot="1" x14ac:dyDescent="0.35">
      <c r="A22" s="115"/>
      <c r="B22" s="80" t="s">
        <v>193</v>
      </c>
      <c r="C22" s="80" t="s">
        <v>251</v>
      </c>
      <c r="D22" s="98">
        <v>1</v>
      </c>
      <c r="E22" s="101">
        <v>17</v>
      </c>
      <c r="F22" s="98">
        <v>5</v>
      </c>
      <c r="G22" s="98">
        <f>5*F22</f>
        <v>25</v>
      </c>
      <c r="H22" s="98">
        <f t="shared" si="44"/>
        <v>108.25</v>
      </c>
      <c r="I22" s="98">
        <f t="shared" si="45"/>
        <v>85</v>
      </c>
      <c r="J22" s="98">
        <f t="shared" si="46"/>
        <v>425</v>
      </c>
      <c r="K22" s="98">
        <f t="shared" si="47"/>
        <v>1840.25</v>
      </c>
      <c r="L22" s="599"/>
      <c r="O22" s="614" t="s">
        <v>274</v>
      </c>
      <c r="P22" s="615"/>
      <c r="Q22" s="97"/>
      <c r="R22" s="142">
        <f>R10+R21</f>
        <v>65</v>
      </c>
      <c r="S22" s="142">
        <f t="shared" ref="S22:Y22" si="69">S10+S21</f>
        <v>759.33</v>
      </c>
      <c r="T22" s="142">
        <f t="shared" si="69"/>
        <v>49.500392464678171</v>
      </c>
      <c r="U22" s="142">
        <f t="shared" si="69"/>
        <v>320.50274725274727</v>
      </c>
      <c r="V22" s="142">
        <f t="shared" si="69"/>
        <v>1388.4395970695971</v>
      </c>
      <c r="W22" s="175">
        <f t="shared" si="69"/>
        <v>2866.5943642072211</v>
      </c>
      <c r="X22" s="175">
        <f t="shared" si="69"/>
        <v>17635.105549450549</v>
      </c>
      <c r="Y22" s="176">
        <f t="shared" si="69"/>
        <v>76374.659358516496</v>
      </c>
      <c r="Z22" s="144">
        <f>Z11+Z3</f>
        <v>0.31688287086328204</v>
      </c>
      <c r="AC22" s="614" t="s">
        <v>274</v>
      </c>
      <c r="AD22" s="615"/>
      <c r="AE22" s="97"/>
      <c r="AF22" s="110">
        <f>AF10+AF21</f>
        <v>122</v>
      </c>
      <c r="AG22" s="110">
        <f t="shared" ref="AG22:AM22" si="70">AG10+AG21</f>
        <v>737.22</v>
      </c>
      <c r="AH22" s="110">
        <f t="shared" si="70"/>
        <v>56.500327053898481</v>
      </c>
      <c r="AI22" s="110">
        <f t="shared" si="70"/>
        <v>334.5022893772894</v>
      </c>
      <c r="AJ22" s="110">
        <f t="shared" si="70"/>
        <v>1449.059597069597</v>
      </c>
      <c r="AK22" s="110">
        <f t="shared" si="70"/>
        <v>15373.592917974882</v>
      </c>
      <c r="AL22" s="110">
        <f t="shared" si="70"/>
        <v>46474.095425824176</v>
      </c>
      <c r="AM22" s="110">
        <f t="shared" si="70"/>
        <v>201240.15935851651</v>
      </c>
      <c r="AN22" s="125">
        <f>AN11+AN3</f>
        <v>0.4653219026735127</v>
      </c>
      <c r="AQ22" s="614" t="s">
        <v>274</v>
      </c>
      <c r="AR22" s="615"/>
      <c r="AS22" s="97"/>
      <c r="AT22" s="142">
        <f>AT10+AT21</f>
        <v>65</v>
      </c>
      <c r="AU22" s="143">
        <f t="shared" ref="AU22:AV22" si="71">AU10+AU21</f>
        <v>759.33</v>
      </c>
      <c r="AV22" s="158">
        <f t="shared" si="71"/>
        <v>49.5</v>
      </c>
      <c r="AW22" s="142">
        <f t="shared" ref="AW22:BU22" si="72">AW10+AW21</f>
        <v>2</v>
      </c>
      <c r="AX22" s="142">
        <f t="shared" si="72"/>
        <v>2.5</v>
      </c>
      <c r="AY22" s="142">
        <f t="shared" si="72"/>
        <v>3</v>
      </c>
      <c r="AZ22" s="142">
        <f t="shared" si="72"/>
        <v>3</v>
      </c>
      <c r="BA22" s="142">
        <f t="shared" si="72"/>
        <v>2.5</v>
      </c>
      <c r="BB22" s="142">
        <f t="shared" si="72"/>
        <v>3.5</v>
      </c>
      <c r="BC22" s="142">
        <f t="shared" si="72"/>
        <v>2</v>
      </c>
      <c r="BD22" s="142">
        <f t="shared" si="72"/>
        <v>2</v>
      </c>
      <c r="BE22" s="142">
        <f t="shared" si="72"/>
        <v>4</v>
      </c>
      <c r="BF22" s="142">
        <f t="shared" si="72"/>
        <v>2</v>
      </c>
      <c r="BG22" s="142">
        <f t="shared" si="72"/>
        <v>2</v>
      </c>
      <c r="BH22" s="142">
        <f t="shared" si="72"/>
        <v>2.5</v>
      </c>
      <c r="BI22" s="142">
        <f t="shared" si="72"/>
        <v>2</v>
      </c>
      <c r="BJ22" s="142">
        <f t="shared" si="72"/>
        <v>0</v>
      </c>
      <c r="BK22" s="142">
        <f t="shared" si="72"/>
        <v>0</v>
      </c>
      <c r="BL22" s="142">
        <f t="shared" si="72"/>
        <v>1</v>
      </c>
      <c r="BM22" s="142">
        <f t="shared" si="72"/>
        <v>1</v>
      </c>
      <c r="BN22" s="142">
        <f t="shared" si="72"/>
        <v>3.5</v>
      </c>
      <c r="BO22" s="142">
        <f t="shared" si="72"/>
        <v>1</v>
      </c>
      <c r="BP22" s="142">
        <f t="shared" si="72"/>
        <v>1</v>
      </c>
      <c r="BQ22" s="142">
        <f t="shared" si="72"/>
        <v>2</v>
      </c>
      <c r="BR22" s="142">
        <f t="shared" si="72"/>
        <v>3</v>
      </c>
      <c r="BS22" s="142">
        <f t="shared" si="72"/>
        <v>3</v>
      </c>
      <c r="BT22" s="143">
        <f t="shared" si="72"/>
        <v>3</v>
      </c>
      <c r="BU22" s="158">
        <f t="shared" si="72"/>
        <v>51.5</v>
      </c>
      <c r="BX22" s="614" t="s">
        <v>274</v>
      </c>
      <c r="BY22" s="615"/>
      <c r="BZ22" s="97"/>
      <c r="CA22" s="142">
        <f>CA10+CA21</f>
        <v>65</v>
      </c>
      <c r="CB22" s="143">
        <f t="shared" ref="CB22:DA22" si="73">CB10+CB21</f>
        <v>759.33</v>
      </c>
      <c r="CC22" s="188">
        <f t="shared" si="73"/>
        <v>86</v>
      </c>
      <c r="CD22" s="142">
        <f t="shared" si="73"/>
        <v>103</v>
      </c>
      <c r="CE22" s="142">
        <f t="shared" si="73"/>
        <v>120</v>
      </c>
      <c r="CF22" s="142">
        <f t="shared" si="73"/>
        <v>120</v>
      </c>
      <c r="CG22" s="142">
        <f t="shared" si="73"/>
        <v>103</v>
      </c>
      <c r="CH22" s="142">
        <f t="shared" si="73"/>
        <v>178.5</v>
      </c>
      <c r="CI22" s="142">
        <f t="shared" si="73"/>
        <v>86</v>
      </c>
      <c r="CJ22" s="142">
        <f t="shared" si="73"/>
        <v>86</v>
      </c>
      <c r="CK22" s="142">
        <f t="shared" si="73"/>
        <v>307</v>
      </c>
      <c r="CL22" s="142">
        <f t="shared" si="73"/>
        <v>221</v>
      </c>
      <c r="CM22" s="142">
        <f t="shared" si="73"/>
        <v>221</v>
      </c>
      <c r="CN22" s="142">
        <f t="shared" si="73"/>
        <v>251.5275</v>
      </c>
      <c r="CO22" s="142">
        <f t="shared" si="73"/>
        <v>221</v>
      </c>
      <c r="CP22" s="142">
        <f t="shared" si="73"/>
        <v>0</v>
      </c>
      <c r="CQ22" s="142">
        <f t="shared" si="73"/>
        <v>0</v>
      </c>
      <c r="CR22" s="142">
        <f t="shared" si="73"/>
        <v>17</v>
      </c>
      <c r="CS22" s="142">
        <f t="shared" si="73"/>
        <v>17</v>
      </c>
      <c r="CT22" s="142">
        <f t="shared" si="73"/>
        <v>178.5</v>
      </c>
      <c r="CU22" s="142">
        <f t="shared" si="73"/>
        <v>69</v>
      </c>
      <c r="CV22" s="142">
        <f t="shared" si="73"/>
        <v>69</v>
      </c>
      <c r="CW22" s="142">
        <f t="shared" si="73"/>
        <v>86</v>
      </c>
      <c r="CX22" s="142">
        <f t="shared" si="73"/>
        <v>120</v>
      </c>
      <c r="CY22" s="142">
        <f t="shared" si="73"/>
        <v>120</v>
      </c>
      <c r="CZ22" s="143">
        <f t="shared" si="73"/>
        <v>120</v>
      </c>
      <c r="DA22" s="158">
        <f t="shared" si="73"/>
        <v>2900.5275000000001</v>
      </c>
    </row>
    <row r="23" spans="1:111" ht="17.25" x14ac:dyDescent="0.3">
      <c r="A23" s="115"/>
      <c r="B23" s="80" t="s">
        <v>194</v>
      </c>
      <c r="C23" s="80" t="s">
        <v>207</v>
      </c>
      <c r="D23" s="98">
        <v>2</v>
      </c>
      <c r="E23" s="101"/>
      <c r="F23" s="98">
        <f>G23/7</f>
        <v>6.5410779696493986E-5</v>
      </c>
      <c r="G23" s="98">
        <f>(4/((7*24)*52))</f>
        <v>4.5787545787545788E-4</v>
      </c>
      <c r="H23" s="98">
        <f>4/12</f>
        <v>0.33333333333333331</v>
      </c>
      <c r="I23" s="98">
        <f t="shared" si="45"/>
        <v>0</v>
      </c>
      <c r="J23" s="98">
        <f t="shared" si="46"/>
        <v>0</v>
      </c>
      <c r="K23" s="98">
        <f t="shared" si="47"/>
        <v>0</v>
      </c>
      <c r="L23" s="599"/>
      <c r="O23" s="595" t="s">
        <v>199</v>
      </c>
      <c r="P23" s="96" t="s">
        <v>213</v>
      </c>
      <c r="Q23" s="96" t="s">
        <v>251</v>
      </c>
      <c r="R23" s="145">
        <v>4</v>
      </c>
      <c r="S23" s="145">
        <v>17</v>
      </c>
      <c r="T23" s="145">
        <v>4</v>
      </c>
      <c r="U23" s="145">
        <f t="shared" ref="U23:U27" si="74">T23*7</f>
        <v>28</v>
      </c>
      <c r="V23" s="145">
        <f>U23*4.33</f>
        <v>121.24000000000001</v>
      </c>
      <c r="W23" s="168">
        <f>(R23*S23*T23)</f>
        <v>272</v>
      </c>
      <c r="X23" s="168">
        <f>(R23*S23*U23)</f>
        <v>1904</v>
      </c>
      <c r="Y23" s="169">
        <f>(R23*S23*V23)</f>
        <v>8244.32</v>
      </c>
      <c r="Z23" s="609">
        <f>Y30/Y39</f>
        <v>0.19662253891849382</v>
      </c>
      <c r="AC23" s="595" t="s">
        <v>199</v>
      </c>
      <c r="AD23" s="96" t="s">
        <v>213</v>
      </c>
      <c r="AE23" s="96" t="s">
        <v>251</v>
      </c>
      <c r="AF23" s="111">
        <v>4</v>
      </c>
      <c r="AG23" s="111">
        <v>17</v>
      </c>
      <c r="AH23" s="111">
        <v>4</v>
      </c>
      <c r="AI23" s="111">
        <f t="shared" ref="AI23:AI28" si="75">AH23*7</f>
        <v>28</v>
      </c>
      <c r="AJ23" s="111">
        <f>AI23*4.33</f>
        <v>121.24000000000001</v>
      </c>
      <c r="AK23" s="98">
        <f t="shared" ref="AK23" si="76">AF23*AG23*AH23</f>
        <v>272</v>
      </c>
      <c r="AL23" s="98">
        <f t="shared" ref="AL23" si="77">AF23*AG23*AI23</f>
        <v>1904</v>
      </c>
      <c r="AM23" s="98">
        <f t="shared" ref="AM23" si="78">AF23*AG23*AJ23</f>
        <v>8244.32</v>
      </c>
      <c r="AN23" s="598">
        <f>AM30/AM39</f>
        <v>0.11441368382297686</v>
      </c>
      <c r="AQ23" s="595" t="s">
        <v>199</v>
      </c>
      <c r="AR23" s="96" t="s">
        <v>213</v>
      </c>
      <c r="AS23" s="96" t="s">
        <v>251</v>
      </c>
      <c r="AT23" s="145">
        <v>4</v>
      </c>
      <c r="AU23" s="153">
        <v>17</v>
      </c>
      <c r="AV23" s="159">
        <v>4</v>
      </c>
      <c r="AW23" s="155">
        <v>0</v>
      </c>
      <c r="AX23" s="155">
        <v>0</v>
      </c>
      <c r="AY23" s="155">
        <v>0</v>
      </c>
      <c r="AZ23" s="155">
        <v>0</v>
      </c>
      <c r="BA23" s="155">
        <v>0</v>
      </c>
      <c r="BB23" s="155">
        <v>0</v>
      </c>
      <c r="BC23" s="155">
        <v>0</v>
      </c>
      <c r="BD23" s="155">
        <v>0</v>
      </c>
      <c r="BE23" s="155">
        <v>0</v>
      </c>
      <c r="BF23" s="155">
        <v>0</v>
      </c>
      <c r="BG23" s="155">
        <v>0</v>
      </c>
      <c r="BH23" s="155">
        <v>0</v>
      </c>
      <c r="BI23" s="155">
        <v>0</v>
      </c>
      <c r="BJ23" s="155">
        <v>0</v>
      </c>
      <c r="BK23" s="155">
        <v>0</v>
      </c>
      <c r="BL23" s="155">
        <v>0</v>
      </c>
      <c r="BM23" s="155">
        <v>0</v>
      </c>
      <c r="BN23" s="155">
        <v>0</v>
      </c>
      <c r="BO23" s="155">
        <v>1</v>
      </c>
      <c r="BP23" s="155">
        <v>1</v>
      </c>
      <c r="BQ23" s="155">
        <v>1</v>
      </c>
      <c r="BR23" s="155">
        <v>1</v>
      </c>
      <c r="BS23" s="155">
        <v>0</v>
      </c>
      <c r="BT23" s="155">
        <v>0</v>
      </c>
      <c r="BU23" s="102">
        <f t="shared" si="11"/>
        <v>4</v>
      </c>
      <c r="BX23" s="595" t="s">
        <v>199</v>
      </c>
      <c r="BY23" s="96" t="s">
        <v>213</v>
      </c>
      <c r="BZ23" s="96" t="s">
        <v>251</v>
      </c>
      <c r="CA23" s="145">
        <v>4</v>
      </c>
      <c r="CB23" s="153">
        <v>17</v>
      </c>
      <c r="CC23" s="165">
        <f t="shared" ref="CC23:CZ23" si="79">$CA$23*$CB$23*AW23</f>
        <v>0</v>
      </c>
      <c r="CD23" s="155">
        <f t="shared" si="79"/>
        <v>0</v>
      </c>
      <c r="CE23" s="155">
        <f t="shared" si="79"/>
        <v>0</v>
      </c>
      <c r="CF23" s="155">
        <f t="shared" si="79"/>
        <v>0</v>
      </c>
      <c r="CG23" s="155">
        <f t="shared" si="79"/>
        <v>0</v>
      </c>
      <c r="CH23" s="155">
        <f t="shared" si="79"/>
        <v>0</v>
      </c>
      <c r="CI23" s="155">
        <f t="shared" si="79"/>
        <v>0</v>
      </c>
      <c r="CJ23" s="155">
        <f t="shared" si="79"/>
        <v>0</v>
      </c>
      <c r="CK23" s="155">
        <f t="shared" si="79"/>
        <v>0</v>
      </c>
      <c r="CL23" s="155">
        <f t="shared" si="79"/>
        <v>0</v>
      </c>
      <c r="CM23" s="155">
        <f t="shared" si="79"/>
        <v>0</v>
      </c>
      <c r="CN23" s="155">
        <f t="shared" si="79"/>
        <v>0</v>
      </c>
      <c r="CO23" s="155">
        <f t="shared" si="79"/>
        <v>0</v>
      </c>
      <c r="CP23" s="155">
        <f t="shared" si="79"/>
        <v>0</v>
      </c>
      <c r="CQ23" s="155">
        <f t="shared" si="79"/>
        <v>0</v>
      </c>
      <c r="CR23" s="155">
        <f t="shared" si="79"/>
        <v>0</v>
      </c>
      <c r="CS23" s="155">
        <f t="shared" si="79"/>
        <v>0</v>
      </c>
      <c r="CT23" s="155">
        <f t="shared" si="79"/>
        <v>0</v>
      </c>
      <c r="CU23" s="155">
        <f t="shared" si="79"/>
        <v>68</v>
      </c>
      <c r="CV23" s="155">
        <f t="shared" si="79"/>
        <v>68</v>
      </c>
      <c r="CW23" s="155">
        <f t="shared" si="79"/>
        <v>68</v>
      </c>
      <c r="CX23" s="155">
        <f t="shared" si="79"/>
        <v>68</v>
      </c>
      <c r="CY23" s="155">
        <f t="shared" si="79"/>
        <v>0</v>
      </c>
      <c r="CZ23" s="155">
        <f t="shared" si="79"/>
        <v>0</v>
      </c>
      <c r="DA23" s="102">
        <f t="shared" ref="DA23:DA29" si="80">SUM(CC23:CZ23)</f>
        <v>272</v>
      </c>
    </row>
    <row r="24" spans="1:111" ht="17.25" x14ac:dyDescent="0.3">
      <c r="A24" s="115"/>
      <c r="B24" s="80"/>
      <c r="C24" s="80" t="s">
        <v>208</v>
      </c>
      <c r="D24" s="98">
        <v>1</v>
      </c>
      <c r="E24" s="101">
        <v>200</v>
      </c>
      <c r="F24" s="98">
        <f t="shared" ref="F24:F33" si="81">G24/7</f>
        <v>6.5410779696493986E-5</v>
      </c>
      <c r="G24" s="98">
        <f t="shared" ref="G24:G33" si="82">(4/((7*24)*52))</f>
        <v>4.5787545787545788E-4</v>
      </c>
      <c r="H24" s="98">
        <f t="shared" ref="H24:H33" si="83">4/12</f>
        <v>0.33333333333333331</v>
      </c>
      <c r="I24" s="98">
        <f>D24*E24*F24</f>
        <v>1.3082155939298797E-2</v>
      </c>
      <c r="J24" s="98">
        <f>D24*E24*G24</f>
        <v>9.1575091575091569E-2</v>
      </c>
      <c r="K24" s="98">
        <f t="shared" si="47"/>
        <v>66.666666666666657</v>
      </c>
      <c r="L24" s="599"/>
      <c r="O24" s="596"/>
      <c r="P24" s="80" t="s">
        <v>217</v>
      </c>
      <c r="Q24" s="80" t="s">
        <v>264</v>
      </c>
      <c r="R24" s="134">
        <v>1</v>
      </c>
      <c r="S24" s="134">
        <v>100</v>
      </c>
      <c r="T24" s="134">
        <v>1</v>
      </c>
      <c r="U24" s="134">
        <f t="shared" si="74"/>
        <v>7</v>
      </c>
      <c r="V24" s="134">
        <f t="shared" ref="V24:V29" si="84">U24*4.33</f>
        <v>30.310000000000002</v>
      </c>
      <c r="W24" s="168">
        <f>(R24*S24*T24)</f>
        <v>100</v>
      </c>
      <c r="X24" s="168">
        <f>(R24*S24*U24)</f>
        <v>700</v>
      </c>
      <c r="Y24" s="169">
        <f>(R24*S24*V24)</f>
        <v>3031</v>
      </c>
      <c r="Z24" s="610"/>
      <c r="AC24" s="596"/>
      <c r="AD24" s="80" t="s">
        <v>217</v>
      </c>
      <c r="AE24" s="80" t="s">
        <v>264</v>
      </c>
      <c r="AF24" s="98">
        <v>1</v>
      </c>
      <c r="AG24" s="98">
        <v>100</v>
      </c>
      <c r="AH24" s="98">
        <v>1</v>
      </c>
      <c r="AI24" s="98">
        <f t="shared" si="75"/>
        <v>7</v>
      </c>
      <c r="AJ24" s="98">
        <f t="shared" ref="AJ24:AJ29" si="85">AI24*4.33</f>
        <v>30.310000000000002</v>
      </c>
      <c r="AK24" s="98">
        <f t="shared" ref="AK24:AK29" si="86">AF24*AG24*AH24</f>
        <v>100</v>
      </c>
      <c r="AL24" s="98">
        <f t="shared" ref="AL24:AL29" si="87">AF24*AG24*AI24</f>
        <v>700</v>
      </c>
      <c r="AM24" s="98">
        <f t="shared" ref="AM24:AM29" si="88">AF24*AG24*AJ24</f>
        <v>3031</v>
      </c>
      <c r="AN24" s="599"/>
      <c r="AQ24" s="596"/>
      <c r="AR24" s="80" t="s">
        <v>217</v>
      </c>
      <c r="AS24" s="80" t="s">
        <v>264</v>
      </c>
      <c r="AT24" s="134">
        <v>1</v>
      </c>
      <c r="AU24" s="135">
        <v>100</v>
      </c>
      <c r="AV24" s="139">
        <v>1</v>
      </c>
      <c r="AW24" s="155">
        <v>0</v>
      </c>
      <c r="AX24" s="155">
        <v>0</v>
      </c>
      <c r="AY24" s="155">
        <v>0</v>
      </c>
      <c r="AZ24" s="155">
        <v>0</v>
      </c>
      <c r="BA24" s="155">
        <v>0</v>
      </c>
      <c r="BB24" s="155">
        <v>0</v>
      </c>
      <c r="BC24" s="155">
        <v>0.5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0</v>
      </c>
      <c r="BJ24" s="155">
        <v>0</v>
      </c>
      <c r="BK24" s="155">
        <v>0</v>
      </c>
      <c r="BL24" s="155">
        <v>0</v>
      </c>
      <c r="BM24" s="155">
        <v>0</v>
      </c>
      <c r="BN24" s="155">
        <v>0</v>
      </c>
      <c r="BO24" s="155">
        <v>0.5</v>
      </c>
      <c r="BP24" s="155">
        <v>0</v>
      </c>
      <c r="BQ24" s="155">
        <v>0</v>
      </c>
      <c r="BR24" s="155">
        <v>0</v>
      </c>
      <c r="BS24" s="155">
        <v>0</v>
      </c>
      <c r="BT24" s="155">
        <v>0</v>
      </c>
      <c r="BU24" s="102">
        <f t="shared" si="11"/>
        <v>1</v>
      </c>
      <c r="BX24" s="596"/>
      <c r="BY24" s="80" t="s">
        <v>217</v>
      </c>
      <c r="BZ24" s="80" t="s">
        <v>264</v>
      </c>
      <c r="CA24" s="134">
        <v>1</v>
      </c>
      <c r="CB24" s="135">
        <v>100</v>
      </c>
      <c r="CC24" s="165">
        <f t="shared" ref="CC24:CZ24" si="89">$CA$24*$CB$24*AW24</f>
        <v>0</v>
      </c>
      <c r="CD24" s="155">
        <f t="shared" si="89"/>
        <v>0</v>
      </c>
      <c r="CE24" s="155">
        <f t="shared" si="89"/>
        <v>0</v>
      </c>
      <c r="CF24" s="155">
        <f t="shared" si="89"/>
        <v>0</v>
      </c>
      <c r="CG24" s="155">
        <f t="shared" si="89"/>
        <v>0</v>
      </c>
      <c r="CH24" s="155">
        <f t="shared" si="89"/>
        <v>0</v>
      </c>
      <c r="CI24" s="155">
        <f t="shared" si="89"/>
        <v>50</v>
      </c>
      <c r="CJ24" s="155">
        <f t="shared" si="89"/>
        <v>0</v>
      </c>
      <c r="CK24" s="155">
        <f t="shared" si="89"/>
        <v>0</v>
      </c>
      <c r="CL24" s="155">
        <f t="shared" si="89"/>
        <v>0</v>
      </c>
      <c r="CM24" s="155">
        <f t="shared" si="89"/>
        <v>0</v>
      </c>
      <c r="CN24" s="155">
        <f t="shared" si="89"/>
        <v>0</v>
      </c>
      <c r="CO24" s="155">
        <f t="shared" si="89"/>
        <v>0</v>
      </c>
      <c r="CP24" s="155">
        <f t="shared" si="89"/>
        <v>0</v>
      </c>
      <c r="CQ24" s="155">
        <f t="shared" si="89"/>
        <v>0</v>
      </c>
      <c r="CR24" s="155">
        <f t="shared" si="89"/>
        <v>0</v>
      </c>
      <c r="CS24" s="155">
        <f t="shared" si="89"/>
        <v>0</v>
      </c>
      <c r="CT24" s="155">
        <f t="shared" si="89"/>
        <v>0</v>
      </c>
      <c r="CU24" s="155">
        <f t="shared" si="89"/>
        <v>50</v>
      </c>
      <c r="CV24" s="155">
        <f t="shared" si="89"/>
        <v>0</v>
      </c>
      <c r="CW24" s="155">
        <f t="shared" si="89"/>
        <v>0</v>
      </c>
      <c r="CX24" s="155">
        <f t="shared" si="89"/>
        <v>0</v>
      </c>
      <c r="CY24" s="155">
        <f t="shared" si="89"/>
        <v>0</v>
      </c>
      <c r="CZ24" s="155">
        <f t="shared" si="89"/>
        <v>0</v>
      </c>
      <c r="DA24" s="102">
        <f t="shared" si="80"/>
        <v>100</v>
      </c>
    </row>
    <row r="25" spans="1:111" ht="17.25" x14ac:dyDescent="0.3">
      <c r="A25" s="115"/>
      <c r="B25" s="80"/>
      <c r="C25" s="80" t="s">
        <v>209</v>
      </c>
      <c r="D25" s="98">
        <v>2</v>
      </c>
      <c r="E25" s="101">
        <v>200</v>
      </c>
      <c r="F25" s="98">
        <f t="shared" si="81"/>
        <v>6.5410779696493986E-5</v>
      </c>
      <c r="G25" s="98">
        <f t="shared" si="82"/>
        <v>4.5787545787545788E-4</v>
      </c>
      <c r="H25" s="98">
        <f t="shared" si="83"/>
        <v>0.33333333333333331</v>
      </c>
      <c r="I25" s="98">
        <f t="shared" si="45"/>
        <v>2.6164311878597593E-2</v>
      </c>
      <c r="J25" s="98">
        <f t="shared" si="46"/>
        <v>0.18315018315018314</v>
      </c>
      <c r="K25" s="98">
        <f t="shared" si="47"/>
        <v>133.33333333333331</v>
      </c>
      <c r="L25" s="599"/>
      <c r="O25" s="596"/>
      <c r="P25" s="80" t="s">
        <v>193</v>
      </c>
      <c r="Q25" s="80" t="s">
        <v>265</v>
      </c>
      <c r="R25" s="134">
        <v>1</v>
      </c>
      <c r="S25" s="134">
        <v>100</v>
      </c>
      <c r="T25" s="134">
        <v>1</v>
      </c>
      <c r="U25" s="134">
        <f t="shared" si="74"/>
        <v>7</v>
      </c>
      <c r="V25" s="134">
        <f t="shared" si="84"/>
        <v>30.310000000000002</v>
      </c>
      <c r="W25" s="168">
        <f t="shared" ref="W25:W28" si="90">(R25*S25*T25)</f>
        <v>100</v>
      </c>
      <c r="X25" s="168">
        <f t="shared" ref="X25:X29" si="91">(R25*S25*U25)</f>
        <v>700</v>
      </c>
      <c r="Y25" s="169">
        <f t="shared" ref="Y25:Y29" si="92">(R25*S25*V25)</f>
        <v>3031</v>
      </c>
      <c r="Z25" s="610"/>
      <c r="AC25" s="596"/>
      <c r="AD25" s="80" t="s">
        <v>193</v>
      </c>
      <c r="AE25" s="80" t="s">
        <v>265</v>
      </c>
      <c r="AF25" s="98">
        <v>1</v>
      </c>
      <c r="AG25" s="98">
        <v>100</v>
      </c>
      <c r="AH25" s="98">
        <v>1</v>
      </c>
      <c r="AI25" s="98">
        <f t="shared" si="75"/>
        <v>7</v>
      </c>
      <c r="AJ25" s="98">
        <f t="shared" si="85"/>
        <v>30.310000000000002</v>
      </c>
      <c r="AK25" s="98">
        <f t="shared" si="86"/>
        <v>100</v>
      </c>
      <c r="AL25" s="98">
        <f t="shared" si="87"/>
        <v>700</v>
      </c>
      <c r="AM25" s="98">
        <f t="shared" si="88"/>
        <v>3031</v>
      </c>
      <c r="AN25" s="599"/>
      <c r="AQ25" s="596"/>
      <c r="AR25" s="80" t="s">
        <v>193</v>
      </c>
      <c r="AS25" s="80" t="s">
        <v>265</v>
      </c>
      <c r="AT25" s="134">
        <v>1</v>
      </c>
      <c r="AU25" s="135">
        <v>100</v>
      </c>
      <c r="AV25" s="139">
        <v>1</v>
      </c>
      <c r="AW25" s="155">
        <v>0</v>
      </c>
      <c r="AX25" s="155">
        <v>0</v>
      </c>
      <c r="AY25" s="155">
        <v>0</v>
      </c>
      <c r="AZ25" s="155">
        <v>0</v>
      </c>
      <c r="BA25" s="155">
        <v>0</v>
      </c>
      <c r="BB25" s="155">
        <v>0</v>
      </c>
      <c r="BC25" s="155">
        <v>0.5</v>
      </c>
      <c r="BD25" s="155">
        <v>0</v>
      </c>
      <c r="BE25" s="155">
        <v>0</v>
      </c>
      <c r="BF25" s="155">
        <v>0</v>
      </c>
      <c r="BG25" s="155">
        <v>0</v>
      </c>
      <c r="BH25" s="155">
        <v>0</v>
      </c>
      <c r="BI25" s="155">
        <v>0</v>
      </c>
      <c r="BJ25" s="155">
        <v>0</v>
      </c>
      <c r="BK25" s="155">
        <v>0</v>
      </c>
      <c r="BL25" s="155">
        <v>0</v>
      </c>
      <c r="BM25" s="155">
        <v>0</v>
      </c>
      <c r="BN25" s="155">
        <v>0</v>
      </c>
      <c r="BO25" s="155">
        <v>0.5</v>
      </c>
      <c r="BP25" s="155">
        <v>0</v>
      </c>
      <c r="BQ25" s="155">
        <v>0</v>
      </c>
      <c r="BR25" s="155">
        <v>0</v>
      </c>
      <c r="BS25" s="155">
        <v>0</v>
      </c>
      <c r="BT25" s="155">
        <v>0</v>
      </c>
      <c r="BU25" s="102">
        <f t="shared" si="11"/>
        <v>1</v>
      </c>
      <c r="BX25" s="596"/>
      <c r="BY25" s="80" t="s">
        <v>193</v>
      </c>
      <c r="BZ25" s="80" t="s">
        <v>265</v>
      </c>
      <c r="CA25" s="134">
        <v>1</v>
      </c>
      <c r="CB25" s="135">
        <v>100</v>
      </c>
      <c r="CC25" s="165">
        <f t="shared" ref="CC25:CZ25" si="93">$CA$25*$CB$25*AW25</f>
        <v>0</v>
      </c>
      <c r="CD25" s="155">
        <f t="shared" si="93"/>
        <v>0</v>
      </c>
      <c r="CE25" s="155">
        <f t="shared" si="93"/>
        <v>0</v>
      </c>
      <c r="CF25" s="155">
        <f t="shared" si="93"/>
        <v>0</v>
      </c>
      <c r="CG25" s="155">
        <f t="shared" si="93"/>
        <v>0</v>
      </c>
      <c r="CH25" s="155">
        <f t="shared" si="93"/>
        <v>0</v>
      </c>
      <c r="CI25" s="155">
        <f t="shared" si="93"/>
        <v>50</v>
      </c>
      <c r="CJ25" s="155">
        <f t="shared" si="93"/>
        <v>0</v>
      </c>
      <c r="CK25" s="155">
        <f t="shared" si="93"/>
        <v>0</v>
      </c>
      <c r="CL25" s="155">
        <f t="shared" si="93"/>
        <v>0</v>
      </c>
      <c r="CM25" s="155">
        <f t="shared" si="93"/>
        <v>0</v>
      </c>
      <c r="CN25" s="155">
        <f t="shared" si="93"/>
        <v>0</v>
      </c>
      <c r="CO25" s="155">
        <f t="shared" si="93"/>
        <v>0</v>
      </c>
      <c r="CP25" s="155">
        <f t="shared" si="93"/>
        <v>0</v>
      </c>
      <c r="CQ25" s="155">
        <f t="shared" si="93"/>
        <v>0</v>
      </c>
      <c r="CR25" s="155">
        <f t="shared" si="93"/>
        <v>0</v>
      </c>
      <c r="CS25" s="155">
        <f t="shared" si="93"/>
        <v>0</v>
      </c>
      <c r="CT25" s="155">
        <f t="shared" si="93"/>
        <v>0</v>
      </c>
      <c r="CU25" s="155">
        <f t="shared" si="93"/>
        <v>50</v>
      </c>
      <c r="CV25" s="155">
        <f t="shared" si="93"/>
        <v>0</v>
      </c>
      <c r="CW25" s="155">
        <f t="shared" si="93"/>
        <v>0</v>
      </c>
      <c r="CX25" s="155">
        <f t="shared" si="93"/>
        <v>0</v>
      </c>
      <c r="CY25" s="155">
        <f t="shared" si="93"/>
        <v>0</v>
      </c>
      <c r="CZ25" s="155">
        <f t="shared" si="93"/>
        <v>0</v>
      </c>
      <c r="DA25" s="102">
        <f t="shared" si="80"/>
        <v>100</v>
      </c>
    </row>
    <row r="26" spans="1:111" ht="17.25" x14ac:dyDescent="0.3">
      <c r="A26" s="115"/>
      <c r="B26" s="80"/>
      <c r="C26" s="80" t="s">
        <v>248</v>
      </c>
      <c r="D26" s="98">
        <v>1</v>
      </c>
      <c r="E26" s="101"/>
      <c r="F26" s="98">
        <f t="shared" si="81"/>
        <v>6.5410779696493986E-5</v>
      </c>
      <c r="G26" s="98">
        <f t="shared" si="82"/>
        <v>4.5787545787545788E-4</v>
      </c>
      <c r="H26" s="98">
        <f t="shared" si="83"/>
        <v>0.33333333333333331</v>
      </c>
      <c r="I26" s="98">
        <f t="shared" si="45"/>
        <v>0</v>
      </c>
      <c r="J26" s="98">
        <f t="shared" si="46"/>
        <v>0</v>
      </c>
      <c r="K26" s="98">
        <f t="shared" si="47"/>
        <v>0</v>
      </c>
      <c r="L26" s="599"/>
      <c r="O26" s="596"/>
      <c r="P26" s="80" t="s">
        <v>218</v>
      </c>
      <c r="Q26" s="80" t="s">
        <v>222</v>
      </c>
      <c r="R26" s="134">
        <v>4</v>
      </c>
      <c r="S26" s="134">
        <v>28</v>
      </c>
      <c r="T26" s="134">
        <v>6</v>
      </c>
      <c r="U26" s="134">
        <f t="shared" si="74"/>
        <v>42</v>
      </c>
      <c r="V26" s="134">
        <f t="shared" si="84"/>
        <v>181.86</v>
      </c>
      <c r="W26" s="168">
        <f t="shared" si="90"/>
        <v>672</v>
      </c>
      <c r="X26" s="168">
        <f t="shared" si="91"/>
        <v>4704</v>
      </c>
      <c r="Y26" s="169">
        <f t="shared" si="92"/>
        <v>20368.32</v>
      </c>
      <c r="Z26" s="610"/>
      <c r="AC26" s="596"/>
      <c r="AD26" s="80" t="s">
        <v>218</v>
      </c>
      <c r="AE26" s="80" t="s">
        <v>222</v>
      </c>
      <c r="AF26" s="98">
        <v>4</v>
      </c>
      <c r="AG26" s="98">
        <v>28</v>
      </c>
      <c r="AH26" s="98">
        <v>6</v>
      </c>
      <c r="AI26" s="98">
        <f t="shared" si="75"/>
        <v>42</v>
      </c>
      <c r="AJ26" s="98">
        <f t="shared" si="85"/>
        <v>181.86</v>
      </c>
      <c r="AK26" s="98">
        <f t="shared" si="86"/>
        <v>672</v>
      </c>
      <c r="AL26" s="98">
        <f t="shared" si="87"/>
        <v>4704</v>
      </c>
      <c r="AM26" s="98">
        <f t="shared" si="88"/>
        <v>20368.32</v>
      </c>
      <c r="AN26" s="599"/>
      <c r="AQ26" s="596"/>
      <c r="AR26" s="80" t="s">
        <v>218</v>
      </c>
      <c r="AS26" s="80" t="s">
        <v>222</v>
      </c>
      <c r="AT26" s="134">
        <v>4</v>
      </c>
      <c r="AU26" s="135">
        <v>28</v>
      </c>
      <c r="AV26" s="139">
        <v>6</v>
      </c>
      <c r="AW26" s="155">
        <v>0</v>
      </c>
      <c r="AX26" s="155">
        <v>0</v>
      </c>
      <c r="AY26" s="155">
        <v>0</v>
      </c>
      <c r="AZ26" s="155">
        <v>0</v>
      </c>
      <c r="BA26" s="155">
        <v>0</v>
      </c>
      <c r="BB26" s="155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0</v>
      </c>
      <c r="BH26" s="155">
        <v>0</v>
      </c>
      <c r="BI26" s="155">
        <v>0</v>
      </c>
      <c r="BJ26" s="155">
        <v>0</v>
      </c>
      <c r="BK26" s="155">
        <v>0</v>
      </c>
      <c r="BL26" s="155">
        <v>1</v>
      </c>
      <c r="BM26" s="155">
        <v>1</v>
      </c>
      <c r="BN26" s="155">
        <v>1</v>
      </c>
      <c r="BO26" s="155">
        <v>1</v>
      </c>
      <c r="BP26" s="155">
        <v>1</v>
      </c>
      <c r="BQ26" s="155">
        <v>1</v>
      </c>
      <c r="BR26" s="155">
        <v>0</v>
      </c>
      <c r="BS26" s="155">
        <v>0</v>
      </c>
      <c r="BT26" s="155">
        <v>0</v>
      </c>
      <c r="BU26" s="102">
        <f t="shared" si="11"/>
        <v>6</v>
      </c>
      <c r="BX26" s="596"/>
      <c r="BY26" s="80" t="s">
        <v>218</v>
      </c>
      <c r="BZ26" s="80" t="s">
        <v>222</v>
      </c>
      <c r="CA26" s="134">
        <v>4</v>
      </c>
      <c r="CB26" s="135">
        <v>28</v>
      </c>
      <c r="CC26" s="165">
        <f t="shared" ref="CC26:CZ26" si="94">$CA$26*$CB$26*AW26</f>
        <v>0</v>
      </c>
      <c r="CD26" s="155">
        <f t="shared" si="94"/>
        <v>0</v>
      </c>
      <c r="CE26" s="155">
        <f t="shared" si="94"/>
        <v>0</v>
      </c>
      <c r="CF26" s="155">
        <f t="shared" si="94"/>
        <v>0</v>
      </c>
      <c r="CG26" s="155">
        <f t="shared" si="94"/>
        <v>0</v>
      </c>
      <c r="CH26" s="155">
        <f t="shared" si="94"/>
        <v>0</v>
      </c>
      <c r="CI26" s="155">
        <f t="shared" si="94"/>
        <v>0</v>
      </c>
      <c r="CJ26" s="155">
        <f t="shared" si="94"/>
        <v>0</v>
      </c>
      <c r="CK26" s="155">
        <f t="shared" si="94"/>
        <v>0</v>
      </c>
      <c r="CL26" s="155">
        <f t="shared" si="94"/>
        <v>0</v>
      </c>
      <c r="CM26" s="155">
        <f t="shared" si="94"/>
        <v>0</v>
      </c>
      <c r="CN26" s="155">
        <f t="shared" si="94"/>
        <v>0</v>
      </c>
      <c r="CO26" s="155">
        <f t="shared" si="94"/>
        <v>0</v>
      </c>
      <c r="CP26" s="155">
        <f t="shared" si="94"/>
        <v>0</v>
      </c>
      <c r="CQ26" s="155">
        <f t="shared" si="94"/>
        <v>0</v>
      </c>
      <c r="CR26" s="155">
        <f t="shared" si="94"/>
        <v>112</v>
      </c>
      <c r="CS26" s="155">
        <f t="shared" si="94"/>
        <v>112</v>
      </c>
      <c r="CT26" s="155">
        <f t="shared" si="94"/>
        <v>112</v>
      </c>
      <c r="CU26" s="155">
        <f t="shared" si="94"/>
        <v>112</v>
      </c>
      <c r="CV26" s="155">
        <f t="shared" si="94"/>
        <v>112</v>
      </c>
      <c r="CW26" s="155">
        <f t="shared" si="94"/>
        <v>112</v>
      </c>
      <c r="CX26" s="155">
        <f t="shared" si="94"/>
        <v>0</v>
      </c>
      <c r="CY26" s="155">
        <f t="shared" si="94"/>
        <v>0</v>
      </c>
      <c r="CZ26" s="155">
        <f t="shared" si="94"/>
        <v>0</v>
      </c>
      <c r="DA26" s="102">
        <f t="shared" si="80"/>
        <v>672</v>
      </c>
    </row>
    <row r="27" spans="1:111" ht="17.25" x14ac:dyDescent="0.3">
      <c r="A27" s="115"/>
      <c r="B27" s="80"/>
      <c r="C27" s="80" t="s">
        <v>255</v>
      </c>
      <c r="D27" s="98">
        <v>1</v>
      </c>
      <c r="E27" s="101">
        <v>1.5</v>
      </c>
      <c r="F27" s="98">
        <f t="shared" si="81"/>
        <v>6.5410779696493986E-5</v>
      </c>
      <c r="G27" s="98">
        <f t="shared" si="82"/>
        <v>4.5787545787545788E-4</v>
      </c>
      <c r="H27" s="98">
        <f t="shared" si="83"/>
        <v>0.33333333333333331</v>
      </c>
      <c r="I27" s="98">
        <f t="shared" si="45"/>
        <v>9.8116169544740979E-5</v>
      </c>
      <c r="J27" s="98">
        <f t="shared" si="46"/>
        <v>6.8681318681318676E-4</v>
      </c>
      <c r="K27" s="98">
        <f t="shared" si="47"/>
        <v>0.5</v>
      </c>
      <c r="L27" s="599"/>
      <c r="O27" s="596"/>
      <c r="P27" s="80"/>
      <c r="Q27" s="80" t="s">
        <v>223</v>
      </c>
      <c r="R27" s="134">
        <v>4</v>
      </c>
      <c r="S27" s="134">
        <v>17</v>
      </c>
      <c r="T27" s="134">
        <v>6</v>
      </c>
      <c r="U27" s="134">
        <f t="shared" si="74"/>
        <v>42</v>
      </c>
      <c r="V27" s="134">
        <f t="shared" si="84"/>
        <v>181.86</v>
      </c>
      <c r="W27" s="168">
        <f t="shared" si="90"/>
        <v>408</v>
      </c>
      <c r="X27" s="168">
        <f t="shared" si="91"/>
        <v>2856</v>
      </c>
      <c r="Y27" s="169">
        <f t="shared" si="92"/>
        <v>12366.480000000001</v>
      </c>
      <c r="Z27" s="610"/>
      <c r="AC27" s="596"/>
      <c r="AD27" s="80"/>
      <c r="AE27" s="80" t="s">
        <v>223</v>
      </c>
      <c r="AF27" s="98">
        <v>4</v>
      </c>
      <c r="AG27" s="98">
        <v>17</v>
      </c>
      <c r="AH27" s="98">
        <v>6</v>
      </c>
      <c r="AI27" s="98">
        <f t="shared" si="75"/>
        <v>42</v>
      </c>
      <c r="AJ27" s="98">
        <f t="shared" si="85"/>
        <v>181.86</v>
      </c>
      <c r="AK27" s="98">
        <f t="shared" si="86"/>
        <v>408</v>
      </c>
      <c r="AL27" s="98">
        <f t="shared" si="87"/>
        <v>2856</v>
      </c>
      <c r="AM27" s="98">
        <f t="shared" si="88"/>
        <v>12366.480000000001</v>
      </c>
      <c r="AN27" s="599"/>
      <c r="AQ27" s="596"/>
      <c r="AR27" s="80"/>
      <c r="AS27" s="80" t="s">
        <v>223</v>
      </c>
      <c r="AT27" s="134">
        <v>4</v>
      </c>
      <c r="AU27" s="135">
        <v>17</v>
      </c>
      <c r="AV27" s="139">
        <v>6</v>
      </c>
      <c r="AW27" s="155">
        <v>0</v>
      </c>
      <c r="AX27" s="155">
        <v>0</v>
      </c>
      <c r="AY27" s="155">
        <v>0</v>
      </c>
      <c r="AZ27" s="155">
        <v>0</v>
      </c>
      <c r="BA27" s="155">
        <v>0</v>
      </c>
      <c r="BB27" s="155">
        <v>0</v>
      </c>
      <c r="BC27" s="155">
        <v>0</v>
      </c>
      <c r="BD27" s="155">
        <v>0</v>
      </c>
      <c r="BE27" s="155">
        <v>0</v>
      </c>
      <c r="BF27" s="155">
        <v>0</v>
      </c>
      <c r="BG27" s="155">
        <v>0</v>
      </c>
      <c r="BH27" s="155">
        <v>0</v>
      </c>
      <c r="BI27" s="155">
        <v>0</v>
      </c>
      <c r="BJ27" s="155">
        <v>0</v>
      </c>
      <c r="BK27" s="155">
        <v>0</v>
      </c>
      <c r="BL27" s="155">
        <v>1</v>
      </c>
      <c r="BM27" s="155">
        <v>1</v>
      </c>
      <c r="BN27" s="155">
        <v>1</v>
      </c>
      <c r="BO27" s="155">
        <v>1</v>
      </c>
      <c r="BP27" s="155">
        <v>1</v>
      </c>
      <c r="BQ27" s="155">
        <v>1</v>
      </c>
      <c r="BR27" s="155">
        <v>0</v>
      </c>
      <c r="BS27" s="155">
        <v>0</v>
      </c>
      <c r="BT27" s="155">
        <v>0</v>
      </c>
      <c r="BU27" s="102">
        <f t="shared" si="11"/>
        <v>6</v>
      </c>
      <c r="BX27" s="596"/>
      <c r="BY27" s="80"/>
      <c r="BZ27" s="80" t="s">
        <v>223</v>
      </c>
      <c r="CA27" s="134">
        <v>4</v>
      </c>
      <c r="CB27" s="135">
        <v>17</v>
      </c>
      <c r="CC27" s="165">
        <f t="shared" ref="CC27:CZ27" si="95">$CA$27*$CB$27*AW27</f>
        <v>0</v>
      </c>
      <c r="CD27" s="155">
        <f t="shared" si="95"/>
        <v>0</v>
      </c>
      <c r="CE27" s="155">
        <f t="shared" si="95"/>
        <v>0</v>
      </c>
      <c r="CF27" s="155">
        <f t="shared" si="95"/>
        <v>0</v>
      </c>
      <c r="CG27" s="155">
        <f t="shared" si="95"/>
        <v>0</v>
      </c>
      <c r="CH27" s="155">
        <f t="shared" si="95"/>
        <v>0</v>
      </c>
      <c r="CI27" s="155">
        <f t="shared" si="95"/>
        <v>0</v>
      </c>
      <c r="CJ27" s="155">
        <f t="shared" si="95"/>
        <v>0</v>
      </c>
      <c r="CK27" s="155">
        <f t="shared" si="95"/>
        <v>0</v>
      </c>
      <c r="CL27" s="155">
        <f t="shared" si="95"/>
        <v>0</v>
      </c>
      <c r="CM27" s="155">
        <f t="shared" si="95"/>
        <v>0</v>
      </c>
      <c r="CN27" s="155">
        <f t="shared" si="95"/>
        <v>0</v>
      </c>
      <c r="CO27" s="155">
        <f t="shared" si="95"/>
        <v>0</v>
      </c>
      <c r="CP27" s="155">
        <f t="shared" si="95"/>
        <v>0</v>
      </c>
      <c r="CQ27" s="155">
        <f t="shared" si="95"/>
        <v>0</v>
      </c>
      <c r="CR27" s="155">
        <f t="shared" si="95"/>
        <v>68</v>
      </c>
      <c r="CS27" s="155">
        <f t="shared" si="95"/>
        <v>68</v>
      </c>
      <c r="CT27" s="155">
        <f t="shared" si="95"/>
        <v>68</v>
      </c>
      <c r="CU27" s="155">
        <f t="shared" si="95"/>
        <v>68</v>
      </c>
      <c r="CV27" s="155">
        <f t="shared" si="95"/>
        <v>68</v>
      </c>
      <c r="CW27" s="155">
        <f t="shared" si="95"/>
        <v>68</v>
      </c>
      <c r="CX27" s="155">
        <f t="shared" si="95"/>
        <v>0</v>
      </c>
      <c r="CY27" s="155">
        <f t="shared" si="95"/>
        <v>0</v>
      </c>
      <c r="CZ27" s="155">
        <f t="shared" si="95"/>
        <v>0</v>
      </c>
      <c r="DA27" s="102">
        <f t="shared" si="80"/>
        <v>408</v>
      </c>
    </row>
    <row r="28" spans="1:111" ht="17.25" x14ac:dyDescent="0.3">
      <c r="A28" s="115"/>
      <c r="B28" s="80"/>
      <c r="C28" s="80" t="s">
        <v>263</v>
      </c>
      <c r="D28" s="98">
        <v>1</v>
      </c>
      <c r="E28" s="98">
        <v>100</v>
      </c>
      <c r="F28" s="98">
        <f t="shared" si="81"/>
        <v>6.5410779696493986E-5</v>
      </c>
      <c r="G28" s="98">
        <f t="shared" si="82"/>
        <v>4.5787545787545788E-4</v>
      </c>
      <c r="H28" s="98">
        <f t="shared" si="83"/>
        <v>0.33333333333333331</v>
      </c>
      <c r="I28" s="98">
        <f t="shared" si="45"/>
        <v>6.5410779696493983E-3</v>
      </c>
      <c r="J28" s="98">
        <f t="shared" si="46"/>
        <v>4.5787545787545784E-2</v>
      </c>
      <c r="K28" s="98">
        <f t="shared" si="47"/>
        <v>33.333333333333329</v>
      </c>
      <c r="L28" s="599"/>
      <c r="O28" s="596"/>
      <c r="P28" s="80" t="s">
        <v>186</v>
      </c>
      <c r="Q28" s="80" t="s">
        <v>212</v>
      </c>
      <c r="R28" s="134">
        <v>3</v>
      </c>
      <c r="S28" s="134">
        <v>23</v>
      </c>
      <c r="T28" s="134">
        <f>10/60</f>
        <v>0.16666666666666666</v>
      </c>
      <c r="U28" s="134">
        <f t="shared" ref="U28:U29" si="96">T28*7</f>
        <v>1.1666666666666665</v>
      </c>
      <c r="V28" s="134">
        <f t="shared" si="84"/>
        <v>5.0516666666666659</v>
      </c>
      <c r="W28" s="168">
        <f t="shared" si="90"/>
        <v>11.5</v>
      </c>
      <c r="X28" s="168">
        <f t="shared" si="91"/>
        <v>80.499999999999986</v>
      </c>
      <c r="Y28" s="169">
        <f t="shared" si="92"/>
        <v>348.56499999999994</v>
      </c>
      <c r="Z28" s="610"/>
      <c r="AC28" s="596"/>
      <c r="AD28" s="80" t="s">
        <v>186</v>
      </c>
      <c r="AE28" s="80" t="s">
        <v>212</v>
      </c>
      <c r="AF28" s="98">
        <v>3</v>
      </c>
      <c r="AG28" s="98">
        <v>23</v>
      </c>
      <c r="AH28" s="98">
        <f>10/60</f>
        <v>0.16666666666666666</v>
      </c>
      <c r="AI28" s="98">
        <f t="shared" si="75"/>
        <v>1.1666666666666665</v>
      </c>
      <c r="AJ28" s="98">
        <f t="shared" si="85"/>
        <v>5.0516666666666659</v>
      </c>
      <c r="AK28" s="98">
        <f t="shared" si="86"/>
        <v>11.5</v>
      </c>
      <c r="AL28" s="98">
        <f t="shared" si="87"/>
        <v>80.499999999999986</v>
      </c>
      <c r="AM28" s="98">
        <f t="shared" si="88"/>
        <v>348.56499999999994</v>
      </c>
      <c r="AN28" s="599"/>
      <c r="AQ28" s="596"/>
      <c r="AR28" s="80" t="s">
        <v>186</v>
      </c>
      <c r="AS28" s="80" t="s">
        <v>212</v>
      </c>
      <c r="AT28" s="134">
        <v>3</v>
      </c>
      <c r="AU28" s="135">
        <v>23</v>
      </c>
      <c r="AV28" s="139">
        <f>10/60</f>
        <v>0.16666666666666666</v>
      </c>
      <c r="AW28" s="155">
        <v>0</v>
      </c>
      <c r="AX28" s="155">
        <v>0</v>
      </c>
      <c r="AY28" s="155">
        <v>0</v>
      </c>
      <c r="AZ28" s="155">
        <v>0</v>
      </c>
      <c r="BA28" s="155">
        <v>0</v>
      </c>
      <c r="BB28" s="155">
        <v>0</v>
      </c>
      <c r="BC28" s="155">
        <v>0</v>
      </c>
      <c r="BD28" s="155">
        <v>0</v>
      </c>
      <c r="BE28" s="155">
        <v>0</v>
      </c>
      <c r="BF28" s="155">
        <v>0</v>
      </c>
      <c r="BG28" s="155">
        <v>0</v>
      </c>
      <c r="BH28" s="155">
        <v>0</v>
      </c>
      <c r="BI28" s="155">
        <v>0</v>
      </c>
      <c r="BJ28" s="155">
        <v>0</v>
      </c>
      <c r="BK28" s="155">
        <v>0</v>
      </c>
      <c r="BL28" s="155">
        <v>0</v>
      </c>
      <c r="BM28" s="155">
        <v>0</v>
      </c>
      <c r="BN28" s="155">
        <v>0</v>
      </c>
      <c r="BO28" s="155">
        <v>0</v>
      </c>
      <c r="BP28" s="155">
        <v>0</v>
      </c>
      <c r="BQ28" s="155">
        <v>0</v>
      </c>
      <c r="BR28" s="155">
        <v>0</v>
      </c>
      <c r="BS28" s="155">
        <v>0</v>
      </c>
      <c r="BT28" s="155">
        <v>0</v>
      </c>
      <c r="BU28" s="102">
        <f t="shared" si="11"/>
        <v>0</v>
      </c>
      <c r="BX28" s="596"/>
      <c r="BY28" s="80" t="s">
        <v>186</v>
      </c>
      <c r="BZ28" s="80" t="s">
        <v>212</v>
      </c>
      <c r="CA28" s="134">
        <v>3</v>
      </c>
      <c r="CB28" s="135">
        <v>23</v>
      </c>
      <c r="CC28" s="165">
        <f t="shared" ref="CC28:CZ28" si="97">$CA$28*$CB$28*AW28</f>
        <v>0</v>
      </c>
      <c r="CD28" s="155">
        <f t="shared" si="97"/>
        <v>0</v>
      </c>
      <c r="CE28" s="155">
        <f t="shared" si="97"/>
        <v>0</v>
      </c>
      <c r="CF28" s="155">
        <f t="shared" si="97"/>
        <v>0</v>
      </c>
      <c r="CG28" s="155">
        <f t="shared" si="97"/>
        <v>0</v>
      </c>
      <c r="CH28" s="155">
        <f t="shared" si="97"/>
        <v>0</v>
      </c>
      <c r="CI28" s="155">
        <f t="shared" si="97"/>
        <v>0</v>
      </c>
      <c r="CJ28" s="155">
        <f t="shared" si="97"/>
        <v>0</v>
      </c>
      <c r="CK28" s="155">
        <f t="shared" si="97"/>
        <v>0</v>
      </c>
      <c r="CL28" s="155">
        <f t="shared" si="97"/>
        <v>0</v>
      </c>
      <c r="CM28" s="155">
        <f t="shared" si="97"/>
        <v>0</v>
      </c>
      <c r="CN28" s="155">
        <f t="shared" si="97"/>
        <v>0</v>
      </c>
      <c r="CO28" s="155">
        <f t="shared" si="97"/>
        <v>0</v>
      </c>
      <c r="CP28" s="155">
        <f t="shared" si="97"/>
        <v>0</v>
      </c>
      <c r="CQ28" s="155">
        <f t="shared" si="97"/>
        <v>0</v>
      </c>
      <c r="CR28" s="155">
        <f t="shared" si="97"/>
        <v>0</v>
      </c>
      <c r="CS28" s="155">
        <f t="shared" si="97"/>
        <v>0</v>
      </c>
      <c r="CT28" s="155">
        <f t="shared" si="97"/>
        <v>0</v>
      </c>
      <c r="CU28" s="155">
        <f t="shared" si="97"/>
        <v>0</v>
      </c>
      <c r="CV28" s="155">
        <f t="shared" si="97"/>
        <v>0</v>
      </c>
      <c r="CW28" s="155">
        <f t="shared" si="97"/>
        <v>0</v>
      </c>
      <c r="CX28" s="155">
        <f t="shared" si="97"/>
        <v>0</v>
      </c>
      <c r="CY28" s="155">
        <f t="shared" si="97"/>
        <v>0</v>
      </c>
      <c r="CZ28" s="155">
        <f t="shared" si="97"/>
        <v>0</v>
      </c>
      <c r="DA28" s="102">
        <f t="shared" si="80"/>
        <v>0</v>
      </c>
    </row>
    <row r="29" spans="1:111" ht="18" customHeight="1" thickBot="1" x14ac:dyDescent="0.35">
      <c r="A29" s="115"/>
      <c r="B29" s="80"/>
      <c r="C29" s="80" t="s">
        <v>251</v>
      </c>
      <c r="D29" s="98">
        <v>34</v>
      </c>
      <c r="E29" s="98">
        <v>17</v>
      </c>
      <c r="F29" s="98">
        <f t="shared" si="81"/>
        <v>6.5410779696493986E-5</v>
      </c>
      <c r="G29" s="98">
        <f t="shared" si="82"/>
        <v>4.5787545787545788E-4</v>
      </c>
      <c r="H29" s="98">
        <f t="shared" si="83"/>
        <v>0.33333333333333331</v>
      </c>
      <c r="I29" s="98">
        <f t="shared" si="45"/>
        <v>3.7807430664573524E-2</v>
      </c>
      <c r="J29" s="98">
        <f t="shared" si="46"/>
        <v>0.26465201465201466</v>
      </c>
      <c r="K29" s="98">
        <f t="shared" si="47"/>
        <v>192.66666666666666</v>
      </c>
      <c r="L29" s="599"/>
      <c r="O29" s="596"/>
      <c r="P29" s="80" t="s">
        <v>190</v>
      </c>
      <c r="Q29" s="80" t="s">
        <v>212</v>
      </c>
      <c r="R29" s="134">
        <v>3</v>
      </c>
      <c r="S29" s="134">
        <v>23</v>
      </c>
      <c r="T29" s="134">
        <v>0</v>
      </c>
      <c r="U29" s="134">
        <f t="shared" si="96"/>
        <v>0</v>
      </c>
      <c r="V29" s="134">
        <f t="shared" si="84"/>
        <v>0</v>
      </c>
      <c r="W29" s="168">
        <v>0</v>
      </c>
      <c r="X29" s="168">
        <f t="shared" si="91"/>
        <v>0</v>
      </c>
      <c r="Y29" s="169">
        <f t="shared" si="92"/>
        <v>0</v>
      </c>
      <c r="Z29" s="610"/>
      <c r="AC29" s="596"/>
      <c r="AD29" s="80" t="s">
        <v>190</v>
      </c>
      <c r="AE29" s="80" t="s">
        <v>212</v>
      </c>
      <c r="AF29" s="98">
        <v>3</v>
      </c>
      <c r="AG29" s="98">
        <v>23</v>
      </c>
      <c r="AH29" s="98">
        <v>1</v>
      </c>
      <c r="AI29" s="98">
        <f>AH29*7</f>
        <v>7</v>
      </c>
      <c r="AJ29" s="98">
        <f t="shared" si="85"/>
        <v>30.310000000000002</v>
      </c>
      <c r="AK29" s="98">
        <f t="shared" si="86"/>
        <v>69</v>
      </c>
      <c r="AL29" s="98">
        <f t="shared" si="87"/>
        <v>483</v>
      </c>
      <c r="AM29" s="98">
        <f t="shared" si="88"/>
        <v>2091.3900000000003</v>
      </c>
      <c r="AN29" s="599"/>
      <c r="AQ29" s="596"/>
      <c r="AR29" s="80" t="s">
        <v>190</v>
      </c>
      <c r="AS29" s="80" t="s">
        <v>212</v>
      </c>
      <c r="AT29" s="134">
        <v>3</v>
      </c>
      <c r="AU29" s="135">
        <v>23</v>
      </c>
      <c r="AV29" s="139" t="s">
        <v>215</v>
      </c>
      <c r="AW29" s="155">
        <v>0</v>
      </c>
      <c r="AX29" s="155">
        <v>0</v>
      </c>
      <c r="AY29" s="155">
        <v>0</v>
      </c>
      <c r="AZ29" s="155">
        <v>0</v>
      </c>
      <c r="BA29" s="155">
        <v>0</v>
      </c>
      <c r="BB29" s="155">
        <v>0</v>
      </c>
      <c r="BC29" s="155">
        <v>0</v>
      </c>
      <c r="BD29" s="155">
        <v>0</v>
      </c>
      <c r="BE29" s="155">
        <v>0</v>
      </c>
      <c r="BF29" s="155">
        <v>0</v>
      </c>
      <c r="BG29" s="155">
        <v>0</v>
      </c>
      <c r="BH29" s="155">
        <v>0</v>
      </c>
      <c r="BI29" s="155">
        <v>0</v>
      </c>
      <c r="BJ29" s="155">
        <v>0</v>
      </c>
      <c r="BK29" s="155">
        <v>0</v>
      </c>
      <c r="BL29" s="155">
        <v>0</v>
      </c>
      <c r="BM29" s="155">
        <v>0</v>
      </c>
      <c r="BN29" s="155">
        <v>0</v>
      </c>
      <c r="BO29" s="155">
        <v>0</v>
      </c>
      <c r="BP29" s="155">
        <v>0</v>
      </c>
      <c r="BQ29" s="155">
        <v>0</v>
      </c>
      <c r="BR29" s="155">
        <v>0</v>
      </c>
      <c r="BS29" s="155">
        <v>0</v>
      </c>
      <c r="BT29" s="155">
        <v>0</v>
      </c>
      <c r="BU29" s="102">
        <f t="shared" si="11"/>
        <v>0</v>
      </c>
      <c r="BX29" s="596"/>
      <c r="BY29" s="80" t="s">
        <v>190</v>
      </c>
      <c r="BZ29" s="80" t="s">
        <v>212</v>
      </c>
      <c r="CA29" s="134">
        <v>3</v>
      </c>
      <c r="CB29" s="135">
        <v>23</v>
      </c>
      <c r="CC29" s="165">
        <f t="shared" ref="CC29:CZ29" si="98">$CA$29*$CB$29*AW29</f>
        <v>0</v>
      </c>
      <c r="CD29" s="155">
        <f t="shared" si="98"/>
        <v>0</v>
      </c>
      <c r="CE29" s="155">
        <f t="shared" si="98"/>
        <v>0</v>
      </c>
      <c r="CF29" s="155">
        <f t="shared" si="98"/>
        <v>0</v>
      </c>
      <c r="CG29" s="155">
        <f t="shared" si="98"/>
        <v>0</v>
      </c>
      <c r="CH29" s="155">
        <f t="shared" si="98"/>
        <v>0</v>
      </c>
      <c r="CI29" s="155">
        <f t="shared" si="98"/>
        <v>0</v>
      </c>
      <c r="CJ29" s="155">
        <f t="shared" si="98"/>
        <v>0</v>
      </c>
      <c r="CK29" s="155">
        <f t="shared" si="98"/>
        <v>0</v>
      </c>
      <c r="CL29" s="155">
        <f t="shared" si="98"/>
        <v>0</v>
      </c>
      <c r="CM29" s="155">
        <f t="shared" si="98"/>
        <v>0</v>
      </c>
      <c r="CN29" s="155">
        <f t="shared" si="98"/>
        <v>0</v>
      </c>
      <c r="CO29" s="155">
        <f t="shared" si="98"/>
        <v>0</v>
      </c>
      <c r="CP29" s="155">
        <f t="shared" si="98"/>
        <v>0</v>
      </c>
      <c r="CQ29" s="155">
        <f t="shared" si="98"/>
        <v>0</v>
      </c>
      <c r="CR29" s="155">
        <f t="shared" si="98"/>
        <v>0</v>
      </c>
      <c r="CS29" s="155">
        <f t="shared" si="98"/>
        <v>0</v>
      </c>
      <c r="CT29" s="155">
        <f t="shared" si="98"/>
        <v>0</v>
      </c>
      <c r="CU29" s="155">
        <f t="shared" si="98"/>
        <v>0</v>
      </c>
      <c r="CV29" s="155">
        <f t="shared" si="98"/>
        <v>0</v>
      </c>
      <c r="CW29" s="155">
        <f t="shared" si="98"/>
        <v>0</v>
      </c>
      <c r="CX29" s="155">
        <f t="shared" si="98"/>
        <v>0</v>
      </c>
      <c r="CY29" s="155">
        <f t="shared" si="98"/>
        <v>0</v>
      </c>
      <c r="CZ29" s="155">
        <f t="shared" si="98"/>
        <v>0</v>
      </c>
      <c r="DA29" s="102">
        <f t="shared" si="80"/>
        <v>0</v>
      </c>
      <c r="DE29" s="194"/>
    </row>
    <row r="30" spans="1:111" ht="35.25" customHeight="1" thickBot="1" x14ac:dyDescent="0.35">
      <c r="A30" s="115"/>
      <c r="B30" s="80" t="s">
        <v>206</v>
      </c>
      <c r="C30" s="80" t="s">
        <v>263</v>
      </c>
      <c r="D30" s="98">
        <v>2</v>
      </c>
      <c r="E30" s="98">
        <v>100</v>
      </c>
      <c r="F30" s="98">
        <f t="shared" si="81"/>
        <v>6.5410779696493986E-5</v>
      </c>
      <c r="G30" s="98">
        <f t="shared" si="82"/>
        <v>4.5787545787545788E-4</v>
      </c>
      <c r="H30" s="98">
        <f t="shared" si="83"/>
        <v>0.33333333333333331</v>
      </c>
      <c r="I30" s="98">
        <f t="shared" si="45"/>
        <v>1.3082155939298797E-2</v>
      </c>
      <c r="J30" s="98">
        <f t="shared" si="46"/>
        <v>9.1575091575091569E-2</v>
      </c>
      <c r="K30" s="98">
        <f t="shared" si="47"/>
        <v>66.666666666666657</v>
      </c>
      <c r="L30" s="599"/>
      <c r="O30" s="597"/>
      <c r="P30" s="86" t="s">
        <v>259</v>
      </c>
      <c r="Q30" s="97"/>
      <c r="R30" s="146">
        <f t="shared" ref="R30:X30" si="99">SUM(R23:R29)</f>
        <v>20</v>
      </c>
      <c r="S30" s="146">
        <f t="shared" si="99"/>
        <v>308</v>
      </c>
      <c r="T30" s="146">
        <f t="shared" si="99"/>
        <v>18.166666666666668</v>
      </c>
      <c r="U30" s="146">
        <f t="shared" si="99"/>
        <v>127.16666666666667</v>
      </c>
      <c r="V30" s="146">
        <f>SUM(V23:V29)</f>
        <v>550.63166666666666</v>
      </c>
      <c r="W30" s="177">
        <f t="shared" si="99"/>
        <v>1563.5</v>
      </c>
      <c r="X30" s="177">
        <f t="shared" si="99"/>
        <v>10944.5</v>
      </c>
      <c r="Y30" s="176">
        <f t="shared" ref="Y30" si="100">SUM(Y23:Y29)</f>
        <v>47389.685000000005</v>
      </c>
      <c r="Z30" s="611"/>
      <c r="AC30" s="597"/>
      <c r="AD30" s="86" t="s">
        <v>259</v>
      </c>
      <c r="AE30" s="97"/>
      <c r="AF30" s="112">
        <f t="shared" ref="AF30:AI30" si="101">SUM(AF23:AF29)</f>
        <v>20</v>
      </c>
      <c r="AG30" s="112">
        <f t="shared" si="101"/>
        <v>308</v>
      </c>
      <c r="AH30" s="112">
        <f t="shared" si="101"/>
        <v>19.166666666666668</v>
      </c>
      <c r="AI30" s="112">
        <f t="shared" si="101"/>
        <v>134.16666666666669</v>
      </c>
      <c r="AJ30" s="112">
        <f>SUM(AJ23:AJ29)</f>
        <v>580.94166666666661</v>
      </c>
      <c r="AK30" s="112">
        <f t="shared" ref="AK30:AL30" si="102">SUM(AK23:AK29)</f>
        <v>1632.5</v>
      </c>
      <c r="AL30" s="112">
        <f t="shared" si="102"/>
        <v>11427.5</v>
      </c>
      <c r="AM30" s="110">
        <f t="shared" ref="AM30" si="103">SUM(AM23:AM29)</f>
        <v>49481.075000000004</v>
      </c>
      <c r="AN30" s="600"/>
      <c r="AQ30" s="597"/>
      <c r="AR30" s="86" t="s">
        <v>259</v>
      </c>
      <c r="AS30" s="97"/>
      <c r="AT30" s="146">
        <f t="shared" ref="AT30:BU30" si="104">SUM(AT23:AT29)</f>
        <v>20</v>
      </c>
      <c r="AU30" s="143">
        <f t="shared" si="104"/>
        <v>308</v>
      </c>
      <c r="AV30" s="160">
        <f t="shared" si="104"/>
        <v>18.166666666666668</v>
      </c>
      <c r="AW30" s="146">
        <f t="shared" si="104"/>
        <v>0</v>
      </c>
      <c r="AX30" s="146">
        <f t="shared" si="104"/>
        <v>0</v>
      </c>
      <c r="AY30" s="146">
        <f t="shared" si="104"/>
        <v>0</v>
      </c>
      <c r="AZ30" s="146">
        <f t="shared" si="104"/>
        <v>0</v>
      </c>
      <c r="BA30" s="146">
        <f t="shared" si="104"/>
        <v>0</v>
      </c>
      <c r="BB30" s="146">
        <f t="shared" si="104"/>
        <v>0</v>
      </c>
      <c r="BC30" s="146">
        <f t="shared" si="104"/>
        <v>1</v>
      </c>
      <c r="BD30" s="146">
        <f t="shared" si="104"/>
        <v>0</v>
      </c>
      <c r="BE30" s="146">
        <f t="shared" si="104"/>
        <v>0</v>
      </c>
      <c r="BF30" s="146">
        <f t="shared" si="104"/>
        <v>0</v>
      </c>
      <c r="BG30" s="146">
        <f t="shared" si="104"/>
        <v>0</v>
      </c>
      <c r="BH30" s="146">
        <f t="shared" si="104"/>
        <v>0</v>
      </c>
      <c r="BI30" s="146">
        <f t="shared" si="104"/>
        <v>0</v>
      </c>
      <c r="BJ30" s="146">
        <f t="shared" si="104"/>
        <v>0</v>
      </c>
      <c r="BK30" s="146">
        <f t="shared" si="104"/>
        <v>0</v>
      </c>
      <c r="BL30" s="146">
        <f t="shared" si="104"/>
        <v>2</v>
      </c>
      <c r="BM30" s="146">
        <f t="shared" si="104"/>
        <v>2</v>
      </c>
      <c r="BN30" s="146">
        <f t="shared" si="104"/>
        <v>2</v>
      </c>
      <c r="BO30" s="146">
        <f t="shared" si="104"/>
        <v>4</v>
      </c>
      <c r="BP30" s="146">
        <f t="shared" si="104"/>
        <v>3</v>
      </c>
      <c r="BQ30" s="146">
        <f t="shared" si="104"/>
        <v>3</v>
      </c>
      <c r="BR30" s="146">
        <f t="shared" si="104"/>
        <v>1</v>
      </c>
      <c r="BS30" s="146">
        <f t="shared" si="104"/>
        <v>0</v>
      </c>
      <c r="BT30" s="143">
        <f t="shared" si="104"/>
        <v>0</v>
      </c>
      <c r="BU30" s="158">
        <f t="shared" si="104"/>
        <v>18</v>
      </c>
      <c r="BX30" s="597"/>
      <c r="BY30" s="86" t="s">
        <v>259</v>
      </c>
      <c r="BZ30" s="97"/>
      <c r="CA30" s="146">
        <f t="shared" ref="CA30:DA30" si="105">SUM(CA23:CA29)</f>
        <v>20</v>
      </c>
      <c r="CB30" s="143">
        <f t="shared" si="105"/>
        <v>308</v>
      </c>
      <c r="CC30" s="188">
        <f t="shared" si="105"/>
        <v>0</v>
      </c>
      <c r="CD30" s="146">
        <f t="shared" si="105"/>
        <v>0</v>
      </c>
      <c r="CE30" s="146">
        <f t="shared" si="105"/>
        <v>0</v>
      </c>
      <c r="CF30" s="146">
        <f t="shared" si="105"/>
        <v>0</v>
      </c>
      <c r="CG30" s="146">
        <f t="shared" si="105"/>
        <v>0</v>
      </c>
      <c r="CH30" s="146">
        <f t="shared" si="105"/>
        <v>0</v>
      </c>
      <c r="CI30" s="146">
        <f t="shared" si="105"/>
        <v>100</v>
      </c>
      <c r="CJ30" s="146">
        <f t="shared" si="105"/>
        <v>0</v>
      </c>
      <c r="CK30" s="146">
        <f t="shared" si="105"/>
        <v>0</v>
      </c>
      <c r="CL30" s="146">
        <f t="shared" si="105"/>
        <v>0</v>
      </c>
      <c r="CM30" s="146">
        <f t="shared" si="105"/>
        <v>0</v>
      </c>
      <c r="CN30" s="146">
        <f t="shared" si="105"/>
        <v>0</v>
      </c>
      <c r="CO30" s="146">
        <f t="shared" si="105"/>
        <v>0</v>
      </c>
      <c r="CP30" s="146">
        <f t="shared" si="105"/>
        <v>0</v>
      </c>
      <c r="CQ30" s="146">
        <f t="shared" si="105"/>
        <v>0</v>
      </c>
      <c r="CR30" s="146">
        <f t="shared" si="105"/>
        <v>180</v>
      </c>
      <c r="CS30" s="146">
        <f t="shared" si="105"/>
        <v>180</v>
      </c>
      <c r="CT30" s="146">
        <f t="shared" si="105"/>
        <v>180</v>
      </c>
      <c r="CU30" s="146">
        <f t="shared" si="105"/>
        <v>348</v>
      </c>
      <c r="CV30" s="146">
        <f t="shared" si="105"/>
        <v>248</v>
      </c>
      <c r="CW30" s="146">
        <f t="shared" si="105"/>
        <v>248</v>
      </c>
      <c r="CX30" s="146">
        <f t="shared" si="105"/>
        <v>68</v>
      </c>
      <c r="CY30" s="146">
        <f t="shared" si="105"/>
        <v>0</v>
      </c>
      <c r="CZ30" s="143">
        <f t="shared" si="105"/>
        <v>0</v>
      </c>
      <c r="DA30" s="158">
        <f t="shared" si="105"/>
        <v>1552</v>
      </c>
      <c r="DD30" s="198" t="s">
        <v>424</v>
      </c>
      <c r="DE30" s="199" t="s">
        <v>430</v>
      </c>
      <c r="DF30" s="199" t="s">
        <v>431</v>
      </c>
      <c r="DG30" s="200" t="s">
        <v>429</v>
      </c>
    </row>
    <row r="31" spans="1:111" ht="18.75" customHeight="1" x14ac:dyDescent="0.3">
      <c r="A31" s="115"/>
      <c r="B31" s="80"/>
      <c r="C31" s="80" t="s">
        <v>247</v>
      </c>
      <c r="D31" s="98">
        <v>1</v>
      </c>
      <c r="E31" s="101">
        <v>22.11</v>
      </c>
      <c r="F31" s="98">
        <f t="shared" si="81"/>
        <v>6.5410779696493986E-5</v>
      </c>
      <c r="G31" s="98">
        <f t="shared" si="82"/>
        <v>4.5787545787545788E-4</v>
      </c>
      <c r="H31" s="98">
        <f t="shared" si="83"/>
        <v>0.33333333333333331</v>
      </c>
      <c r="I31" s="98">
        <f t="shared" si="45"/>
        <v>1.446232339089482E-3</v>
      </c>
      <c r="J31" s="98">
        <f t="shared" si="46"/>
        <v>1.0123626373626373E-2</v>
      </c>
      <c r="K31" s="98">
        <f t="shared" si="47"/>
        <v>7.3699999999999992</v>
      </c>
      <c r="L31" s="599"/>
      <c r="M31" s="78"/>
      <c r="N31" s="78"/>
      <c r="O31" s="596" t="s">
        <v>198</v>
      </c>
      <c r="P31" s="80" t="s">
        <v>228</v>
      </c>
      <c r="Q31" s="80" t="s">
        <v>205</v>
      </c>
      <c r="R31" s="134">
        <v>4</v>
      </c>
      <c r="S31" s="138">
        <v>28</v>
      </c>
      <c r="T31" s="134">
        <v>2</v>
      </c>
      <c r="U31" s="134">
        <f t="shared" ref="U31:U34" si="106">T31*7</f>
        <v>14</v>
      </c>
      <c r="V31" s="134">
        <f>U31*4.33</f>
        <v>60.620000000000005</v>
      </c>
      <c r="W31" s="168">
        <f>(R31*S31*T31)</f>
        <v>224</v>
      </c>
      <c r="X31" s="168">
        <f>(R31*S31*U31)</f>
        <v>1568</v>
      </c>
      <c r="Y31" s="169">
        <f>(R31*S31*V31)</f>
        <v>6789.4400000000005</v>
      </c>
      <c r="Z31" s="609">
        <f>Y36/Y39</f>
        <v>6.3947912401697532E-2</v>
      </c>
      <c r="AC31" s="596" t="s">
        <v>198</v>
      </c>
      <c r="AD31" s="80" t="s">
        <v>228</v>
      </c>
      <c r="AE31" s="80" t="s">
        <v>205</v>
      </c>
      <c r="AF31" s="98">
        <v>36</v>
      </c>
      <c r="AG31" s="101">
        <v>28</v>
      </c>
      <c r="AH31" s="98">
        <v>2</v>
      </c>
      <c r="AI31" s="98">
        <f t="shared" ref="AI31:AI34" si="107">AH31*7</f>
        <v>14</v>
      </c>
      <c r="AJ31" s="98">
        <f>AI31*4.33</f>
        <v>60.620000000000005</v>
      </c>
      <c r="AK31" s="98">
        <f t="shared" ref="AK31" si="108">AF31*AG31*AH31</f>
        <v>2016</v>
      </c>
      <c r="AL31" s="98">
        <f t="shared" ref="AL31" si="109">AF31*AG31*AI31</f>
        <v>14112</v>
      </c>
      <c r="AM31" s="98">
        <f t="shared" ref="AM31" si="110">AF31*AG31*AJ31</f>
        <v>61104.960000000006</v>
      </c>
      <c r="AN31" s="598">
        <f>AM36/AM39</f>
        <v>0.18477897543600519</v>
      </c>
      <c r="AQ31" s="596" t="s">
        <v>198</v>
      </c>
      <c r="AR31" s="80" t="s">
        <v>228</v>
      </c>
      <c r="AS31" s="80" t="s">
        <v>205</v>
      </c>
      <c r="AT31" s="134">
        <v>4</v>
      </c>
      <c r="AU31" s="150">
        <v>28</v>
      </c>
      <c r="AV31" s="139">
        <v>2</v>
      </c>
      <c r="AW31" s="155">
        <v>0</v>
      </c>
      <c r="AX31" s="155">
        <v>0</v>
      </c>
      <c r="AY31" s="155">
        <v>0</v>
      </c>
      <c r="AZ31" s="155">
        <v>0</v>
      </c>
      <c r="BA31" s="155">
        <v>0</v>
      </c>
      <c r="BB31" s="155">
        <v>0</v>
      </c>
      <c r="BC31" s="155">
        <v>0</v>
      </c>
      <c r="BD31" s="155">
        <v>0</v>
      </c>
      <c r="BE31" s="155">
        <v>0</v>
      </c>
      <c r="BF31" s="155">
        <v>0</v>
      </c>
      <c r="BG31" s="155">
        <v>0</v>
      </c>
      <c r="BH31" s="155">
        <v>0</v>
      </c>
      <c r="BI31" s="155">
        <v>0</v>
      </c>
      <c r="BJ31" s="155">
        <v>0</v>
      </c>
      <c r="BK31" s="155">
        <v>0</v>
      </c>
      <c r="BL31" s="155">
        <v>0</v>
      </c>
      <c r="BM31" s="155">
        <v>0</v>
      </c>
      <c r="BN31" s="155">
        <v>0</v>
      </c>
      <c r="BO31" s="155">
        <v>0</v>
      </c>
      <c r="BP31" s="155">
        <v>1</v>
      </c>
      <c r="BQ31" s="155">
        <v>1</v>
      </c>
      <c r="BR31" s="155">
        <v>0</v>
      </c>
      <c r="BS31" s="155">
        <v>0</v>
      </c>
      <c r="BT31" s="155">
        <v>0</v>
      </c>
      <c r="BU31" s="102">
        <f t="shared" si="11"/>
        <v>2</v>
      </c>
      <c r="BX31" s="596" t="s">
        <v>198</v>
      </c>
      <c r="BY31" s="80" t="s">
        <v>228</v>
      </c>
      <c r="BZ31" s="80" t="s">
        <v>205</v>
      </c>
      <c r="CA31" s="134">
        <v>4</v>
      </c>
      <c r="CB31" s="150">
        <v>28</v>
      </c>
      <c r="CC31" s="165">
        <f t="shared" ref="CC31:CZ31" si="111">$CA$31*$CB$31*AW31</f>
        <v>0</v>
      </c>
      <c r="CD31" s="155">
        <f t="shared" si="111"/>
        <v>0</v>
      </c>
      <c r="CE31" s="155">
        <f t="shared" si="111"/>
        <v>0</v>
      </c>
      <c r="CF31" s="155">
        <f t="shared" si="111"/>
        <v>0</v>
      </c>
      <c r="CG31" s="155">
        <f t="shared" si="111"/>
        <v>0</v>
      </c>
      <c r="CH31" s="155">
        <f t="shared" si="111"/>
        <v>0</v>
      </c>
      <c r="CI31" s="155">
        <f t="shared" si="111"/>
        <v>0</v>
      </c>
      <c r="CJ31" s="155">
        <f t="shared" si="111"/>
        <v>0</v>
      </c>
      <c r="CK31" s="155">
        <f t="shared" si="111"/>
        <v>0</v>
      </c>
      <c r="CL31" s="155">
        <f t="shared" si="111"/>
        <v>0</v>
      </c>
      <c r="CM31" s="155">
        <f t="shared" si="111"/>
        <v>0</v>
      </c>
      <c r="CN31" s="155">
        <f t="shared" si="111"/>
        <v>0</v>
      </c>
      <c r="CO31" s="155">
        <f t="shared" si="111"/>
        <v>0</v>
      </c>
      <c r="CP31" s="155">
        <f t="shared" si="111"/>
        <v>0</v>
      </c>
      <c r="CQ31" s="155">
        <f t="shared" si="111"/>
        <v>0</v>
      </c>
      <c r="CR31" s="155">
        <f t="shared" si="111"/>
        <v>0</v>
      </c>
      <c r="CS31" s="155">
        <f t="shared" si="111"/>
        <v>0</v>
      </c>
      <c r="CT31" s="155">
        <f t="shared" si="111"/>
        <v>0</v>
      </c>
      <c r="CU31" s="155">
        <f t="shared" si="111"/>
        <v>0</v>
      </c>
      <c r="CV31" s="155">
        <f t="shared" si="111"/>
        <v>112</v>
      </c>
      <c r="CW31" s="155">
        <f t="shared" si="111"/>
        <v>112</v>
      </c>
      <c r="CX31" s="155">
        <f t="shared" si="111"/>
        <v>0</v>
      </c>
      <c r="CY31" s="155">
        <f t="shared" si="111"/>
        <v>0</v>
      </c>
      <c r="CZ31" s="155">
        <f t="shared" si="111"/>
        <v>0</v>
      </c>
      <c r="DA31" s="102">
        <f t="shared" ref="DA31:DA35" si="112">SUM(CC31:CZ31)</f>
        <v>224</v>
      </c>
      <c r="DD31" s="208" t="s">
        <v>434</v>
      </c>
      <c r="DE31" s="201">
        <f>AVERAGE(CC39:CZ39)</f>
        <v>347.18864583333334</v>
      </c>
      <c r="DF31" s="202">
        <f>CW39</f>
        <v>1594</v>
      </c>
      <c r="DG31" s="203">
        <f>DE31/DF31</f>
        <v>0.2178096899832706</v>
      </c>
    </row>
    <row r="32" spans="1:111" ht="32.25" customHeight="1" x14ac:dyDescent="0.3">
      <c r="A32" s="115"/>
      <c r="B32" s="82" t="s">
        <v>206</v>
      </c>
      <c r="C32" s="80" t="s">
        <v>263</v>
      </c>
      <c r="D32" s="98">
        <v>1</v>
      </c>
      <c r="E32" s="98">
        <v>100</v>
      </c>
      <c r="F32" s="98">
        <f t="shared" si="81"/>
        <v>6.5410779696493986E-5</v>
      </c>
      <c r="G32" s="98">
        <f t="shared" si="82"/>
        <v>4.5787545787545788E-4</v>
      </c>
      <c r="H32" s="98">
        <f t="shared" si="83"/>
        <v>0.33333333333333331</v>
      </c>
      <c r="I32" s="98">
        <f t="shared" si="45"/>
        <v>6.5410779696493983E-3</v>
      </c>
      <c r="J32" s="98">
        <f t="shared" si="46"/>
        <v>4.5787545787545784E-2</v>
      </c>
      <c r="K32" s="98">
        <f t="shared" si="47"/>
        <v>33.333333333333329</v>
      </c>
      <c r="L32" s="599"/>
      <c r="O32" s="596"/>
      <c r="P32" s="80" t="s">
        <v>186</v>
      </c>
      <c r="Q32" s="80" t="s">
        <v>212</v>
      </c>
      <c r="R32" s="134">
        <v>1</v>
      </c>
      <c r="S32" s="134">
        <v>23</v>
      </c>
      <c r="T32" s="134">
        <v>2.5</v>
      </c>
      <c r="U32" s="134">
        <f t="shared" si="106"/>
        <v>17.5</v>
      </c>
      <c r="V32" s="134">
        <f t="shared" ref="V32:V35" si="113">U32*4.33</f>
        <v>75.775000000000006</v>
      </c>
      <c r="W32" s="168">
        <f>(R32*S32*T32)</f>
        <v>57.5</v>
      </c>
      <c r="X32" s="168">
        <f>(R32*S32*U32)</f>
        <v>402.5</v>
      </c>
      <c r="Y32" s="169">
        <f>(R32*S32*V32)</f>
        <v>1742.825</v>
      </c>
      <c r="Z32" s="610"/>
      <c r="AC32" s="596"/>
      <c r="AD32" s="80" t="s">
        <v>186</v>
      </c>
      <c r="AE32" s="80" t="s">
        <v>212</v>
      </c>
      <c r="AF32" s="98">
        <v>1</v>
      </c>
      <c r="AG32" s="98">
        <v>23</v>
      </c>
      <c r="AH32" s="98">
        <v>2.5</v>
      </c>
      <c r="AI32" s="98">
        <f t="shared" si="107"/>
        <v>17.5</v>
      </c>
      <c r="AJ32" s="98">
        <f t="shared" ref="AJ32:AJ35" si="114">AI32*4.33</f>
        <v>75.775000000000006</v>
      </c>
      <c r="AK32" s="98">
        <f t="shared" ref="AK32:AK35" si="115">AF32*AG32*AH32</f>
        <v>57.5</v>
      </c>
      <c r="AL32" s="98">
        <f t="shared" ref="AL32:AL35" si="116">AF32*AG32*AI32</f>
        <v>402.5</v>
      </c>
      <c r="AM32" s="98">
        <f t="shared" ref="AM32:AM35" si="117">AF32*AG32*AJ32</f>
        <v>1742.825</v>
      </c>
      <c r="AN32" s="599"/>
      <c r="AQ32" s="596"/>
      <c r="AR32" s="80" t="s">
        <v>186</v>
      </c>
      <c r="AS32" s="80" t="s">
        <v>212</v>
      </c>
      <c r="AT32" s="134">
        <v>1</v>
      </c>
      <c r="AU32" s="135">
        <v>23</v>
      </c>
      <c r="AV32" s="139">
        <v>2.5</v>
      </c>
      <c r="AW32" s="155">
        <v>0</v>
      </c>
      <c r="AX32" s="155">
        <v>0</v>
      </c>
      <c r="AY32" s="155">
        <v>0</v>
      </c>
      <c r="AZ32" s="155">
        <v>0</v>
      </c>
      <c r="BA32" s="155">
        <v>0</v>
      </c>
      <c r="BB32" s="155">
        <v>0</v>
      </c>
      <c r="BC32" s="155">
        <v>0</v>
      </c>
      <c r="BD32" s="155">
        <v>0</v>
      </c>
      <c r="BE32" s="155">
        <v>0</v>
      </c>
      <c r="BF32" s="155">
        <v>0</v>
      </c>
      <c r="BG32" s="155">
        <v>0</v>
      </c>
      <c r="BH32" s="155">
        <v>2</v>
      </c>
      <c r="BI32" s="155">
        <v>0</v>
      </c>
      <c r="BJ32" s="155">
        <v>0</v>
      </c>
      <c r="BK32" s="155">
        <v>0</v>
      </c>
      <c r="BL32" s="155">
        <v>0</v>
      </c>
      <c r="BM32" s="155">
        <v>0</v>
      </c>
      <c r="BN32" s="155">
        <v>0</v>
      </c>
      <c r="BO32" s="155">
        <v>0</v>
      </c>
      <c r="BP32" s="155">
        <v>1</v>
      </c>
      <c r="BQ32" s="155">
        <v>0</v>
      </c>
      <c r="BR32" s="155">
        <v>0</v>
      </c>
      <c r="BS32" s="155">
        <v>0</v>
      </c>
      <c r="BT32" s="155">
        <v>0</v>
      </c>
      <c r="BU32" s="102">
        <f t="shared" si="11"/>
        <v>3</v>
      </c>
      <c r="BX32" s="596"/>
      <c r="BY32" s="80" t="s">
        <v>186</v>
      </c>
      <c r="BZ32" s="80" t="s">
        <v>212</v>
      </c>
      <c r="CA32" s="134">
        <v>1</v>
      </c>
      <c r="CB32" s="135">
        <v>23</v>
      </c>
      <c r="CC32" s="165">
        <f t="shared" ref="CC32:CZ32" si="118">$CA$32*$CB$32*AW32</f>
        <v>0</v>
      </c>
      <c r="CD32" s="155">
        <f t="shared" si="118"/>
        <v>0</v>
      </c>
      <c r="CE32" s="155">
        <f t="shared" si="118"/>
        <v>0</v>
      </c>
      <c r="CF32" s="155">
        <f t="shared" si="118"/>
        <v>0</v>
      </c>
      <c r="CG32" s="155">
        <f t="shared" si="118"/>
        <v>0</v>
      </c>
      <c r="CH32" s="155">
        <f t="shared" si="118"/>
        <v>0</v>
      </c>
      <c r="CI32" s="155">
        <f t="shared" si="118"/>
        <v>0</v>
      </c>
      <c r="CJ32" s="155">
        <f t="shared" si="118"/>
        <v>0</v>
      </c>
      <c r="CK32" s="155">
        <f t="shared" si="118"/>
        <v>0</v>
      </c>
      <c r="CL32" s="155">
        <f t="shared" si="118"/>
        <v>0</v>
      </c>
      <c r="CM32" s="155">
        <f t="shared" si="118"/>
        <v>0</v>
      </c>
      <c r="CN32" s="155">
        <f t="shared" si="118"/>
        <v>46</v>
      </c>
      <c r="CO32" s="155">
        <f t="shared" si="118"/>
        <v>0</v>
      </c>
      <c r="CP32" s="155">
        <f t="shared" si="118"/>
        <v>0</v>
      </c>
      <c r="CQ32" s="155">
        <f t="shared" si="118"/>
        <v>0</v>
      </c>
      <c r="CR32" s="155">
        <f t="shared" si="118"/>
        <v>0</v>
      </c>
      <c r="CS32" s="155">
        <f t="shared" si="118"/>
        <v>0</v>
      </c>
      <c r="CT32" s="155">
        <f t="shared" si="118"/>
        <v>0</v>
      </c>
      <c r="CU32" s="155">
        <f t="shared" si="118"/>
        <v>0</v>
      </c>
      <c r="CV32" s="155">
        <f t="shared" si="118"/>
        <v>23</v>
      </c>
      <c r="CW32" s="155">
        <f t="shared" si="118"/>
        <v>0</v>
      </c>
      <c r="CX32" s="155">
        <f t="shared" si="118"/>
        <v>0</v>
      </c>
      <c r="CY32" s="155">
        <f t="shared" si="118"/>
        <v>0</v>
      </c>
      <c r="CZ32" s="155">
        <f t="shared" si="118"/>
        <v>0</v>
      </c>
      <c r="DA32" s="102">
        <f t="shared" si="112"/>
        <v>69</v>
      </c>
      <c r="DD32" s="209" t="s">
        <v>435</v>
      </c>
      <c r="DE32" s="201">
        <f>AVERAGE(CC41:CZ41)</f>
        <v>207.18864583333334</v>
      </c>
      <c r="DF32" s="202">
        <f>CV41</f>
        <v>537.5</v>
      </c>
      <c r="DG32" s="203">
        <f t="shared" ref="DG32:DG35" si="119">DE32/DF32</f>
        <v>0.38546724806201549</v>
      </c>
    </row>
    <row r="33" spans="1:111" ht="19.5" customHeight="1" thickBot="1" x14ac:dyDescent="0.35">
      <c r="A33" s="115"/>
      <c r="B33" s="82"/>
      <c r="C33" s="80" t="s">
        <v>247</v>
      </c>
      <c r="D33" s="98">
        <v>1</v>
      </c>
      <c r="E33" s="101">
        <v>22.11</v>
      </c>
      <c r="F33" s="102">
        <f t="shared" si="81"/>
        <v>6.5410779696493986E-5</v>
      </c>
      <c r="G33" s="98">
        <f t="shared" si="82"/>
        <v>4.5787545787545788E-4</v>
      </c>
      <c r="H33" s="98">
        <f t="shared" si="83"/>
        <v>0.33333333333333331</v>
      </c>
      <c r="I33" s="98">
        <f t="shared" si="45"/>
        <v>1.446232339089482E-3</v>
      </c>
      <c r="J33" s="98">
        <f t="shared" si="46"/>
        <v>1.0123626373626373E-2</v>
      </c>
      <c r="K33" s="98">
        <f t="shared" si="47"/>
        <v>7.3699999999999992</v>
      </c>
      <c r="L33" s="599"/>
      <c r="O33" s="596"/>
      <c r="P33" s="80" t="s">
        <v>237</v>
      </c>
      <c r="Q33" s="80" t="s">
        <v>205</v>
      </c>
      <c r="R33" s="134">
        <v>1</v>
      </c>
      <c r="S33" s="134">
        <v>28</v>
      </c>
      <c r="T33" s="134">
        <v>4</v>
      </c>
      <c r="U33" s="134">
        <f t="shared" si="106"/>
        <v>28</v>
      </c>
      <c r="V33" s="134">
        <f t="shared" si="113"/>
        <v>121.24000000000001</v>
      </c>
      <c r="W33" s="168">
        <f>(R33*S33*T33)</f>
        <v>112</v>
      </c>
      <c r="X33" s="168">
        <f t="shared" ref="X33:X35" si="120">(R33*S33*U33)</f>
        <v>784</v>
      </c>
      <c r="Y33" s="169">
        <f t="shared" ref="Y33:Y35" si="121">(R33*S33*V33)</f>
        <v>3394.7200000000003</v>
      </c>
      <c r="Z33" s="610"/>
      <c r="AC33" s="596"/>
      <c r="AD33" s="80" t="s">
        <v>237</v>
      </c>
      <c r="AE33" s="80" t="s">
        <v>205</v>
      </c>
      <c r="AF33" s="98">
        <v>4</v>
      </c>
      <c r="AG33" s="98">
        <v>28</v>
      </c>
      <c r="AH33" s="98">
        <v>4</v>
      </c>
      <c r="AI33" s="98">
        <f t="shared" si="107"/>
        <v>28</v>
      </c>
      <c r="AJ33" s="98">
        <f t="shared" si="114"/>
        <v>121.24000000000001</v>
      </c>
      <c r="AK33" s="98">
        <f t="shared" si="115"/>
        <v>448</v>
      </c>
      <c r="AL33" s="98">
        <f t="shared" si="116"/>
        <v>3136</v>
      </c>
      <c r="AM33" s="98">
        <f t="shared" si="117"/>
        <v>13578.880000000001</v>
      </c>
      <c r="AN33" s="599"/>
      <c r="AQ33" s="596"/>
      <c r="AR33" s="80" t="s">
        <v>237</v>
      </c>
      <c r="AS33" s="80" t="s">
        <v>205</v>
      </c>
      <c r="AT33" s="134">
        <v>1</v>
      </c>
      <c r="AU33" s="135">
        <v>28</v>
      </c>
      <c r="AV33" s="139">
        <v>4</v>
      </c>
      <c r="AW33" s="155">
        <v>0</v>
      </c>
      <c r="AX33" s="155">
        <v>0</v>
      </c>
      <c r="AY33" s="155">
        <v>0</v>
      </c>
      <c r="AZ33" s="155">
        <v>0</v>
      </c>
      <c r="BA33" s="155">
        <v>0</v>
      </c>
      <c r="BB33" s="155">
        <v>0</v>
      </c>
      <c r="BC33" s="155">
        <v>0</v>
      </c>
      <c r="BD33" s="155">
        <v>0</v>
      </c>
      <c r="BE33" s="155">
        <v>0</v>
      </c>
      <c r="BF33" s="155">
        <v>0</v>
      </c>
      <c r="BG33" s="155">
        <v>0</v>
      </c>
      <c r="BH33" s="155">
        <v>0</v>
      </c>
      <c r="BI33" s="155">
        <v>0</v>
      </c>
      <c r="BJ33" s="155">
        <v>0</v>
      </c>
      <c r="BK33" s="155">
        <v>0</v>
      </c>
      <c r="BL33" s="155">
        <v>0</v>
      </c>
      <c r="BM33" s="155">
        <v>0</v>
      </c>
      <c r="BN33" s="155">
        <v>0</v>
      </c>
      <c r="BO33" s="155">
        <v>0</v>
      </c>
      <c r="BP33" s="155">
        <v>1</v>
      </c>
      <c r="BQ33" s="155">
        <v>1</v>
      </c>
      <c r="BR33" s="155">
        <v>1</v>
      </c>
      <c r="BS33" s="155">
        <v>1</v>
      </c>
      <c r="BT33" s="155">
        <v>0</v>
      </c>
      <c r="BU33" s="102">
        <f t="shared" si="11"/>
        <v>4</v>
      </c>
      <c r="BX33" s="596"/>
      <c r="BY33" s="80" t="s">
        <v>237</v>
      </c>
      <c r="BZ33" s="80" t="s">
        <v>205</v>
      </c>
      <c r="CA33" s="134">
        <v>1</v>
      </c>
      <c r="CB33" s="135">
        <v>28</v>
      </c>
      <c r="CC33" s="165">
        <f t="shared" ref="CC33:CZ33" si="122">$CA$33*$CB$33*AW33</f>
        <v>0</v>
      </c>
      <c r="CD33" s="155">
        <f t="shared" si="122"/>
        <v>0</v>
      </c>
      <c r="CE33" s="155">
        <f t="shared" si="122"/>
        <v>0</v>
      </c>
      <c r="CF33" s="155">
        <f t="shared" si="122"/>
        <v>0</v>
      </c>
      <c r="CG33" s="155">
        <f t="shared" si="122"/>
        <v>0</v>
      </c>
      <c r="CH33" s="155">
        <f t="shared" si="122"/>
        <v>0</v>
      </c>
      <c r="CI33" s="155">
        <f t="shared" si="122"/>
        <v>0</v>
      </c>
      <c r="CJ33" s="155">
        <f t="shared" si="122"/>
        <v>0</v>
      </c>
      <c r="CK33" s="155">
        <f t="shared" si="122"/>
        <v>0</v>
      </c>
      <c r="CL33" s="155">
        <f t="shared" si="122"/>
        <v>0</v>
      </c>
      <c r="CM33" s="155">
        <f t="shared" si="122"/>
        <v>0</v>
      </c>
      <c r="CN33" s="155">
        <f t="shared" si="122"/>
        <v>0</v>
      </c>
      <c r="CO33" s="155">
        <f t="shared" si="122"/>
        <v>0</v>
      </c>
      <c r="CP33" s="155">
        <f t="shared" si="122"/>
        <v>0</v>
      </c>
      <c r="CQ33" s="155">
        <f t="shared" si="122"/>
        <v>0</v>
      </c>
      <c r="CR33" s="155">
        <f t="shared" si="122"/>
        <v>0</v>
      </c>
      <c r="CS33" s="155">
        <f t="shared" si="122"/>
        <v>0</v>
      </c>
      <c r="CT33" s="155">
        <f t="shared" si="122"/>
        <v>0</v>
      </c>
      <c r="CU33" s="155">
        <f t="shared" si="122"/>
        <v>0</v>
      </c>
      <c r="CV33" s="155">
        <f t="shared" si="122"/>
        <v>28</v>
      </c>
      <c r="CW33" s="155">
        <f t="shared" si="122"/>
        <v>28</v>
      </c>
      <c r="CX33" s="155">
        <f t="shared" si="122"/>
        <v>28</v>
      </c>
      <c r="CY33" s="155">
        <f t="shared" si="122"/>
        <v>28</v>
      </c>
      <c r="CZ33" s="155">
        <f t="shared" si="122"/>
        <v>0</v>
      </c>
      <c r="DA33" s="102">
        <f t="shared" si="112"/>
        <v>112</v>
      </c>
      <c r="DD33" s="208" t="s">
        <v>432</v>
      </c>
      <c r="DE33" s="201">
        <f>AVERAGE(CC42:CZ42)</f>
        <v>185.52197916666668</v>
      </c>
      <c r="DF33" s="202">
        <f>CU42</f>
        <v>417</v>
      </c>
      <c r="DG33" s="203">
        <f t="shared" si="119"/>
        <v>0.44489683253397289</v>
      </c>
    </row>
    <row r="34" spans="1:111" ht="18.75" customHeight="1" x14ac:dyDescent="0.3">
      <c r="A34" s="115"/>
      <c r="B34" s="94" t="s">
        <v>259</v>
      </c>
      <c r="C34" s="116"/>
      <c r="D34" s="117">
        <f>SUM(D13:D33)</f>
        <v>68</v>
      </c>
      <c r="E34" s="117">
        <f t="shared" ref="E34:G34" si="123">SUM(E13:E33)</f>
        <v>1839.2399999999996</v>
      </c>
      <c r="F34" s="117">
        <f>SUM(F13:F33)</f>
        <v>25.640784929356371</v>
      </c>
      <c r="G34" s="117">
        <f t="shared" si="123"/>
        <v>128.20549450549444</v>
      </c>
      <c r="H34" s="117">
        <f>SUM(H13:H33)</f>
        <v>559.10600000000045</v>
      </c>
      <c r="I34" s="117">
        <f>SUM(I13:I33)</f>
        <v>3962.8915580847734</v>
      </c>
      <c r="J34" s="117">
        <f>SUM(J13:J33)</f>
        <v>19814.6859065934</v>
      </c>
      <c r="K34" s="117">
        <f>SUM(K13:K33)</f>
        <v>86375.372874999986</v>
      </c>
      <c r="L34" s="601"/>
      <c r="O34" s="596"/>
      <c r="P34" s="80" t="s">
        <v>190</v>
      </c>
      <c r="Q34" s="80" t="s">
        <v>212</v>
      </c>
      <c r="R34" s="134">
        <v>1</v>
      </c>
      <c r="S34" s="134">
        <v>15</v>
      </c>
      <c r="T34" s="134">
        <v>1</v>
      </c>
      <c r="U34" s="134">
        <f t="shared" si="106"/>
        <v>7</v>
      </c>
      <c r="V34" s="134">
        <f t="shared" si="113"/>
        <v>30.310000000000002</v>
      </c>
      <c r="W34" s="168">
        <f>(R34*S34*T34)</f>
        <v>15</v>
      </c>
      <c r="X34" s="168">
        <f t="shared" si="120"/>
        <v>105</v>
      </c>
      <c r="Y34" s="169">
        <f t="shared" si="121"/>
        <v>454.65000000000003</v>
      </c>
      <c r="Z34" s="610"/>
      <c r="AC34" s="596"/>
      <c r="AD34" s="80" t="s">
        <v>190</v>
      </c>
      <c r="AE34" s="80" t="s">
        <v>212</v>
      </c>
      <c r="AF34" s="98">
        <v>1</v>
      </c>
      <c r="AG34" s="98">
        <v>15</v>
      </c>
      <c r="AH34" s="98">
        <v>1</v>
      </c>
      <c r="AI34" s="98">
        <f t="shared" si="107"/>
        <v>7</v>
      </c>
      <c r="AJ34" s="98">
        <f t="shared" si="114"/>
        <v>30.310000000000002</v>
      </c>
      <c r="AK34" s="98">
        <f t="shared" si="115"/>
        <v>15</v>
      </c>
      <c r="AL34" s="98">
        <f t="shared" si="116"/>
        <v>105</v>
      </c>
      <c r="AM34" s="98">
        <f t="shared" si="117"/>
        <v>454.65000000000003</v>
      </c>
      <c r="AN34" s="599"/>
      <c r="AQ34" s="596"/>
      <c r="AR34" s="80" t="s">
        <v>190</v>
      </c>
      <c r="AS34" s="80" t="s">
        <v>212</v>
      </c>
      <c r="AT34" s="134">
        <v>1</v>
      </c>
      <c r="AU34" s="135">
        <v>15</v>
      </c>
      <c r="AV34" s="139">
        <v>1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155">
        <v>0</v>
      </c>
      <c r="BC34" s="155">
        <v>0.5</v>
      </c>
      <c r="BD34" s="155">
        <v>0</v>
      </c>
      <c r="BE34" s="155">
        <v>0</v>
      </c>
      <c r="BF34" s="155">
        <v>0</v>
      </c>
      <c r="BG34" s="155">
        <v>0</v>
      </c>
      <c r="BH34" s="155">
        <v>0</v>
      </c>
      <c r="BI34" s="155">
        <v>0</v>
      </c>
      <c r="BJ34" s="155">
        <v>0</v>
      </c>
      <c r="BK34" s="155">
        <v>0</v>
      </c>
      <c r="BL34" s="155">
        <v>0</v>
      </c>
      <c r="BM34" s="155">
        <v>0</v>
      </c>
      <c r="BN34" s="155">
        <v>0</v>
      </c>
      <c r="BO34" s="155">
        <v>0</v>
      </c>
      <c r="BP34" s="155">
        <v>0.5</v>
      </c>
      <c r="BQ34" s="155">
        <v>0</v>
      </c>
      <c r="BR34" s="155">
        <v>0</v>
      </c>
      <c r="BS34" s="155">
        <v>0</v>
      </c>
      <c r="BT34" s="155">
        <v>0</v>
      </c>
      <c r="BU34" s="102">
        <f t="shared" si="11"/>
        <v>1</v>
      </c>
      <c r="BX34" s="596"/>
      <c r="BY34" s="80" t="s">
        <v>190</v>
      </c>
      <c r="BZ34" s="80" t="s">
        <v>212</v>
      </c>
      <c r="CA34" s="134">
        <v>1</v>
      </c>
      <c r="CB34" s="135">
        <v>15</v>
      </c>
      <c r="CC34" s="165">
        <f t="shared" ref="CC34:CZ34" si="124">$CA$34*$CB$34*AW34</f>
        <v>0</v>
      </c>
      <c r="CD34" s="155">
        <f t="shared" si="124"/>
        <v>0</v>
      </c>
      <c r="CE34" s="155">
        <f t="shared" si="124"/>
        <v>0</v>
      </c>
      <c r="CF34" s="155">
        <f t="shared" si="124"/>
        <v>0</v>
      </c>
      <c r="CG34" s="155">
        <f t="shared" si="124"/>
        <v>0</v>
      </c>
      <c r="CH34" s="155">
        <f t="shared" si="124"/>
        <v>0</v>
      </c>
      <c r="CI34" s="155">
        <f t="shared" si="124"/>
        <v>7.5</v>
      </c>
      <c r="CJ34" s="155">
        <f t="shared" si="124"/>
        <v>0</v>
      </c>
      <c r="CK34" s="155">
        <f t="shared" si="124"/>
        <v>0</v>
      </c>
      <c r="CL34" s="155">
        <f t="shared" si="124"/>
        <v>0</v>
      </c>
      <c r="CM34" s="155">
        <f t="shared" si="124"/>
        <v>0</v>
      </c>
      <c r="CN34" s="155">
        <f t="shared" si="124"/>
        <v>0</v>
      </c>
      <c r="CO34" s="155">
        <f t="shared" si="124"/>
        <v>0</v>
      </c>
      <c r="CP34" s="155">
        <f t="shared" si="124"/>
        <v>0</v>
      </c>
      <c r="CQ34" s="155">
        <f t="shared" si="124"/>
        <v>0</v>
      </c>
      <c r="CR34" s="155">
        <f t="shared" si="124"/>
        <v>0</v>
      </c>
      <c r="CS34" s="155">
        <f t="shared" si="124"/>
        <v>0</v>
      </c>
      <c r="CT34" s="155">
        <f t="shared" si="124"/>
        <v>0</v>
      </c>
      <c r="CU34" s="155">
        <f t="shared" si="124"/>
        <v>0</v>
      </c>
      <c r="CV34" s="155">
        <f t="shared" si="124"/>
        <v>7.5</v>
      </c>
      <c r="CW34" s="155">
        <f t="shared" si="124"/>
        <v>0</v>
      </c>
      <c r="CX34" s="155">
        <f t="shared" si="124"/>
        <v>0</v>
      </c>
      <c r="CY34" s="155">
        <f t="shared" si="124"/>
        <v>0</v>
      </c>
      <c r="CZ34" s="155">
        <f t="shared" si="124"/>
        <v>0</v>
      </c>
      <c r="DA34" s="102">
        <f t="shared" si="112"/>
        <v>15</v>
      </c>
      <c r="DD34" s="208" t="s">
        <v>433</v>
      </c>
      <c r="DE34" s="201">
        <f>AVERAGE(CC43:CZ43)</f>
        <v>144.97945652173914</v>
      </c>
      <c r="DF34" s="202">
        <f>CK43</f>
        <v>307</v>
      </c>
      <c r="DG34" s="203">
        <f t="shared" si="119"/>
        <v>0.47224578671576267</v>
      </c>
    </row>
    <row r="35" spans="1:111" ht="20.25" customHeight="1" thickBot="1" x14ac:dyDescent="0.35">
      <c r="A35" s="616" t="s">
        <v>274</v>
      </c>
      <c r="B35" s="617"/>
      <c r="C35" s="97"/>
      <c r="D35" s="110">
        <f>D12+D34</f>
        <v>78</v>
      </c>
      <c r="E35" s="110">
        <f t="shared" ref="E35:K35" si="125">E12+E34</f>
        <v>2081.2399999999998</v>
      </c>
      <c r="F35" s="110">
        <f t="shared" si="125"/>
        <v>52.640784929356371</v>
      </c>
      <c r="G35" s="110">
        <f t="shared" si="125"/>
        <v>312.20549450549447</v>
      </c>
      <c r="H35" s="110">
        <f t="shared" si="125"/>
        <v>1355.8260000000005</v>
      </c>
      <c r="I35" s="110">
        <f t="shared" si="125"/>
        <v>4865.8915580847734</v>
      </c>
      <c r="J35" s="110">
        <f t="shared" si="125"/>
        <v>25975.6859065934</v>
      </c>
      <c r="K35" s="110">
        <f t="shared" si="125"/>
        <v>113052.50287499999</v>
      </c>
      <c r="L35" s="119">
        <f>L3+L13</f>
        <v>0.19637721923221746</v>
      </c>
      <c r="O35" s="596"/>
      <c r="P35" s="80" t="s">
        <v>193</v>
      </c>
      <c r="Q35" s="80" t="s">
        <v>263</v>
      </c>
      <c r="R35" s="134">
        <v>1</v>
      </c>
      <c r="S35" s="134">
        <v>100</v>
      </c>
      <c r="T35" s="134">
        <v>1</v>
      </c>
      <c r="U35" s="134">
        <f>T35*7</f>
        <v>7</v>
      </c>
      <c r="V35" s="134">
        <f t="shared" si="113"/>
        <v>30.310000000000002</v>
      </c>
      <c r="W35" s="168">
        <f>(R35*S35*T35)</f>
        <v>100</v>
      </c>
      <c r="X35" s="168">
        <f t="shared" si="120"/>
        <v>700</v>
      </c>
      <c r="Y35" s="169">
        <f t="shared" si="121"/>
        <v>3031</v>
      </c>
      <c r="Z35" s="610"/>
      <c r="AC35" s="596"/>
      <c r="AD35" s="80" t="s">
        <v>193</v>
      </c>
      <c r="AE35" s="80" t="s">
        <v>263</v>
      </c>
      <c r="AF35" s="98">
        <v>1</v>
      </c>
      <c r="AG35" s="98">
        <v>100</v>
      </c>
      <c r="AH35" s="98">
        <v>1</v>
      </c>
      <c r="AI35" s="98">
        <f>AH35*7</f>
        <v>7</v>
      </c>
      <c r="AJ35" s="98">
        <f t="shared" si="114"/>
        <v>30.310000000000002</v>
      </c>
      <c r="AK35" s="98">
        <f t="shared" si="115"/>
        <v>100</v>
      </c>
      <c r="AL35" s="98">
        <f t="shared" si="116"/>
        <v>700</v>
      </c>
      <c r="AM35" s="98">
        <f t="shared" si="117"/>
        <v>3031</v>
      </c>
      <c r="AN35" s="599"/>
      <c r="AQ35" s="596"/>
      <c r="AR35" s="80" t="s">
        <v>193</v>
      </c>
      <c r="AS35" s="80" t="s">
        <v>263</v>
      </c>
      <c r="AT35" s="134">
        <v>1</v>
      </c>
      <c r="AU35" s="135">
        <v>100</v>
      </c>
      <c r="AV35" s="139">
        <v>1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55">
        <v>0</v>
      </c>
      <c r="BC35" s="155">
        <v>0.5</v>
      </c>
      <c r="BD35" s="155">
        <v>0</v>
      </c>
      <c r="BE35" s="155">
        <v>0</v>
      </c>
      <c r="BF35" s="155">
        <v>0</v>
      </c>
      <c r="BG35" s="155">
        <v>0</v>
      </c>
      <c r="BH35" s="155">
        <v>0</v>
      </c>
      <c r="BI35" s="155">
        <v>0</v>
      </c>
      <c r="BJ35" s="155">
        <v>0</v>
      </c>
      <c r="BK35" s="155">
        <v>0</v>
      </c>
      <c r="BL35" s="155">
        <v>0</v>
      </c>
      <c r="BM35" s="155">
        <v>0</v>
      </c>
      <c r="BN35" s="155">
        <v>0</v>
      </c>
      <c r="BO35" s="155">
        <v>0</v>
      </c>
      <c r="BP35" s="155">
        <v>0.5</v>
      </c>
      <c r="BQ35" s="155">
        <v>0</v>
      </c>
      <c r="BR35" s="155">
        <v>0</v>
      </c>
      <c r="BS35" s="155">
        <v>0</v>
      </c>
      <c r="BT35" s="155">
        <v>0</v>
      </c>
      <c r="BU35" s="102">
        <f t="shared" si="11"/>
        <v>1</v>
      </c>
      <c r="BX35" s="596"/>
      <c r="BY35" s="80" t="s">
        <v>193</v>
      </c>
      <c r="BZ35" s="80" t="s">
        <v>263</v>
      </c>
      <c r="CA35" s="134">
        <v>1</v>
      </c>
      <c r="CB35" s="135">
        <v>100</v>
      </c>
      <c r="CC35" s="165">
        <f t="shared" ref="CC35:CZ35" si="126">$CA$35*$CB$35*AW35</f>
        <v>0</v>
      </c>
      <c r="CD35" s="155">
        <f t="shared" si="126"/>
        <v>0</v>
      </c>
      <c r="CE35" s="155">
        <f t="shared" si="126"/>
        <v>0</v>
      </c>
      <c r="CF35" s="155">
        <f t="shared" si="126"/>
        <v>0</v>
      </c>
      <c r="CG35" s="155">
        <f t="shared" si="126"/>
        <v>0</v>
      </c>
      <c r="CH35" s="155">
        <f t="shared" si="126"/>
        <v>0</v>
      </c>
      <c r="CI35" s="155">
        <f t="shared" si="126"/>
        <v>50</v>
      </c>
      <c r="CJ35" s="155">
        <f t="shared" si="126"/>
        <v>0</v>
      </c>
      <c r="CK35" s="155">
        <f t="shared" si="126"/>
        <v>0</v>
      </c>
      <c r="CL35" s="155">
        <f t="shared" si="126"/>
        <v>0</v>
      </c>
      <c r="CM35" s="155">
        <f t="shared" si="126"/>
        <v>0</v>
      </c>
      <c r="CN35" s="155">
        <f t="shared" si="126"/>
        <v>0</v>
      </c>
      <c r="CO35" s="155">
        <f t="shared" si="126"/>
        <v>0</v>
      </c>
      <c r="CP35" s="155">
        <f t="shared" si="126"/>
        <v>0</v>
      </c>
      <c r="CQ35" s="155">
        <f t="shared" si="126"/>
        <v>0</v>
      </c>
      <c r="CR35" s="155">
        <f t="shared" si="126"/>
        <v>0</v>
      </c>
      <c r="CS35" s="155">
        <f t="shared" si="126"/>
        <v>0</v>
      </c>
      <c r="CT35" s="155">
        <f t="shared" si="126"/>
        <v>0</v>
      </c>
      <c r="CU35" s="155">
        <f t="shared" si="126"/>
        <v>0</v>
      </c>
      <c r="CV35" s="155">
        <f t="shared" si="126"/>
        <v>50</v>
      </c>
      <c r="CW35" s="155">
        <f t="shared" si="126"/>
        <v>0</v>
      </c>
      <c r="CX35" s="155">
        <f t="shared" si="126"/>
        <v>0</v>
      </c>
      <c r="CY35" s="155">
        <f t="shared" si="126"/>
        <v>0</v>
      </c>
      <c r="CZ35" s="155">
        <f t="shared" si="126"/>
        <v>0</v>
      </c>
      <c r="DA35" s="102">
        <f t="shared" si="112"/>
        <v>100</v>
      </c>
      <c r="DD35" s="210" t="s">
        <v>315</v>
      </c>
      <c r="DE35" s="204">
        <f>SUM(DE31:DE34)</f>
        <v>884.87872735507256</v>
      </c>
      <c r="DF35" s="205">
        <f>SUM(DF31:DF34)</f>
        <v>2855.5</v>
      </c>
      <c r="DG35" s="206">
        <f t="shared" si="119"/>
        <v>0.30988573887412801</v>
      </c>
    </row>
    <row r="36" spans="1:111" ht="18" thickBot="1" x14ac:dyDescent="0.35">
      <c r="A36" s="596" t="s">
        <v>199</v>
      </c>
      <c r="B36" s="80" t="s">
        <v>213</v>
      </c>
      <c r="C36" s="80" t="s">
        <v>45</v>
      </c>
      <c r="D36" s="98">
        <v>1</v>
      </c>
      <c r="E36" s="98">
        <v>45</v>
      </c>
      <c r="F36" s="98">
        <v>4</v>
      </c>
      <c r="G36" s="98">
        <f t="shared" ref="G36:G44" si="127">F36*7</f>
        <v>28</v>
      </c>
      <c r="H36" s="98">
        <f>G36*4.33</f>
        <v>121.24000000000001</v>
      </c>
      <c r="I36" s="98">
        <f>D36*E36*F36</f>
        <v>180</v>
      </c>
      <c r="J36" s="98">
        <f>D36*E36*G36</f>
        <v>1260</v>
      </c>
      <c r="K36" s="98">
        <f>D36*E36*H36</f>
        <v>5455.8</v>
      </c>
      <c r="L36" s="598">
        <f>K52/K79</f>
        <v>0.22839114265014673</v>
      </c>
      <c r="O36" s="597"/>
      <c r="P36" s="86" t="s">
        <v>259</v>
      </c>
      <c r="Q36" s="87"/>
      <c r="R36" s="136">
        <f t="shared" ref="R36:X36" si="128">SUM(R31:R35)</f>
        <v>8</v>
      </c>
      <c r="S36" s="136">
        <f t="shared" si="128"/>
        <v>194</v>
      </c>
      <c r="T36" s="136">
        <f t="shared" si="128"/>
        <v>10.5</v>
      </c>
      <c r="U36" s="136">
        <f t="shared" si="128"/>
        <v>73.5</v>
      </c>
      <c r="V36" s="136">
        <f>SUM(V31:V35)</f>
        <v>318.255</v>
      </c>
      <c r="W36" s="170">
        <f t="shared" si="128"/>
        <v>508.5</v>
      </c>
      <c r="X36" s="170">
        <f t="shared" si="128"/>
        <v>3559.5</v>
      </c>
      <c r="Y36" s="171">
        <f t="shared" ref="Y36" si="129">SUM(Y31:Y35)</f>
        <v>15412.635</v>
      </c>
      <c r="Z36" s="611"/>
      <c r="AC36" s="597"/>
      <c r="AD36" s="86" t="s">
        <v>259</v>
      </c>
      <c r="AE36" s="87"/>
      <c r="AF36" s="107">
        <f t="shared" ref="AF36:AI36" si="130">SUM(AF31:AF35)</f>
        <v>43</v>
      </c>
      <c r="AG36" s="107">
        <f t="shared" si="130"/>
        <v>194</v>
      </c>
      <c r="AH36" s="107">
        <f t="shared" si="130"/>
        <v>10.5</v>
      </c>
      <c r="AI36" s="107">
        <f t="shared" si="130"/>
        <v>73.5</v>
      </c>
      <c r="AJ36" s="107">
        <f>SUM(AJ31:AJ35)</f>
        <v>318.255</v>
      </c>
      <c r="AK36" s="107">
        <f t="shared" ref="AK36:AL36" si="131">SUM(AK31:AK35)</f>
        <v>2636.5</v>
      </c>
      <c r="AL36" s="107">
        <f t="shared" si="131"/>
        <v>18455.5</v>
      </c>
      <c r="AM36" s="107">
        <f t="shared" ref="AM36" si="132">SUM(AM31:AM35)</f>
        <v>79912.315000000002</v>
      </c>
      <c r="AN36" s="600"/>
      <c r="AQ36" s="597"/>
      <c r="AR36" s="86" t="s">
        <v>259</v>
      </c>
      <c r="AS36" s="87"/>
      <c r="AT36" s="136">
        <f t="shared" ref="AT36:BU36" si="133">SUM(AT31:AT35)</f>
        <v>8</v>
      </c>
      <c r="AU36" s="137">
        <f t="shared" si="133"/>
        <v>194</v>
      </c>
      <c r="AV36" s="156">
        <f t="shared" si="133"/>
        <v>10.5</v>
      </c>
      <c r="AW36" s="136">
        <f t="shared" si="133"/>
        <v>0</v>
      </c>
      <c r="AX36" s="136">
        <f t="shared" si="133"/>
        <v>0</v>
      </c>
      <c r="AY36" s="136">
        <f t="shared" si="133"/>
        <v>0</v>
      </c>
      <c r="AZ36" s="136">
        <f t="shared" si="133"/>
        <v>0</v>
      </c>
      <c r="BA36" s="136">
        <f t="shared" si="133"/>
        <v>0</v>
      </c>
      <c r="BB36" s="136">
        <f t="shared" si="133"/>
        <v>0</v>
      </c>
      <c r="BC36" s="136">
        <f t="shared" si="133"/>
        <v>1</v>
      </c>
      <c r="BD36" s="136">
        <f t="shared" si="133"/>
        <v>0</v>
      </c>
      <c r="BE36" s="136">
        <f t="shared" si="133"/>
        <v>0</v>
      </c>
      <c r="BF36" s="136">
        <f t="shared" si="133"/>
        <v>0</v>
      </c>
      <c r="BG36" s="136">
        <f t="shared" si="133"/>
        <v>0</v>
      </c>
      <c r="BH36" s="136">
        <f t="shared" si="133"/>
        <v>2</v>
      </c>
      <c r="BI36" s="136">
        <f t="shared" si="133"/>
        <v>0</v>
      </c>
      <c r="BJ36" s="136">
        <f t="shared" si="133"/>
        <v>0</v>
      </c>
      <c r="BK36" s="136">
        <f t="shared" si="133"/>
        <v>0</v>
      </c>
      <c r="BL36" s="136">
        <f t="shared" si="133"/>
        <v>0</v>
      </c>
      <c r="BM36" s="136">
        <f t="shared" si="133"/>
        <v>0</v>
      </c>
      <c r="BN36" s="136">
        <f t="shared" si="133"/>
        <v>0</v>
      </c>
      <c r="BO36" s="136">
        <f t="shared" si="133"/>
        <v>0</v>
      </c>
      <c r="BP36" s="136">
        <f t="shared" si="133"/>
        <v>4</v>
      </c>
      <c r="BQ36" s="136">
        <f t="shared" si="133"/>
        <v>2</v>
      </c>
      <c r="BR36" s="136">
        <f t="shared" si="133"/>
        <v>1</v>
      </c>
      <c r="BS36" s="136">
        <f t="shared" si="133"/>
        <v>1</v>
      </c>
      <c r="BT36" s="137">
        <f t="shared" si="133"/>
        <v>0</v>
      </c>
      <c r="BU36" s="163">
        <f t="shared" si="133"/>
        <v>11</v>
      </c>
      <c r="BX36" s="597"/>
      <c r="BY36" s="86" t="s">
        <v>259</v>
      </c>
      <c r="BZ36" s="87"/>
      <c r="CA36" s="136">
        <f t="shared" ref="CA36:DA36" si="134">SUM(CA31:CA35)</f>
        <v>8</v>
      </c>
      <c r="CB36" s="137">
        <f t="shared" si="134"/>
        <v>194</v>
      </c>
      <c r="CC36" s="186">
        <f t="shared" si="134"/>
        <v>0</v>
      </c>
      <c r="CD36" s="136">
        <f t="shared" si="134"/>
        <v>0</v>
      </c>
      <c r="CE36" s="136">
        <f t="shared" si="134"/>
        <v>0</v>
      </c>
      <c r="CF36" s="136">
        <f t="shared" si="134"/>
        <v>0</v>
      </c>
      <c r="CG36" s="136">
        <f t="shared" si="134"/>
        <v>0</v>
      </c>
      <c r="CH36" s="136">
        <f t="shared" si="134"/>
        <v>0</v>
      </c>
      <c r="CI36" s="136">
        <f t="shared" si="134"/>
        <v>57.5</v>
      </c>
      <c r="CJ36" s="136">
        <f t="shared" si="134"/>
        <v>0</v>
      </c>
      <c r="CK36" s="136">
        <f t="shared" si="134"/>
        <v>0</v>
      </c>
      <c r="CL36" s="136">
        <f t="shared" si="134"/>
        <v>0</v>
      </c>
      <c r="CM36" s="136">
        <f t="shared" si="134"/>
        <v>0</v>
      </c>
      <c r="CN36" s="136">
        <f t="shared" si="134"/>
        <v>46</v>
      </c>
      <c r="CO36" s="136">
        <f t="shared" si="134"/>
        <v>0</v>
      </c>
      <c r="CP36" s="136">
        <f t="shared" si="134"/>
        <v>0</v>
      </c>
      <c r="CQ36" s="136">
        <f t="shared" si="134"/>
        <v>0</v>
      </c>
      <c r="CR36" s="136">
        <f t="shared" si="134"/>
        <v>0</v>
      </c>
      <c r="CS36" s="136">
        <f t="shared" si="134"/>
        <v>0</v>
      </c>
      <c r="CT36" s="136">
        <f t="shared" si="134"/>
        <v>0</v>
      </c>
      <c r="CU36" s="136">
        <f t="shared" si="134"/>
        <v>0</v>
      </c>
      <c r="CV36" s="136">
        <f t="shared" si="134"/>
        <v>220.5</v>
      </c>
      <c r="CW36" s="136">
        <f t="shared" si="134"/>
        <v>140</v>
      </c>
      <c r="CX36" s="136">
        <f t="shared" si="134"/>
        <v>28</v>
      </c>
      <c r="CY36" s="136">
        <f t="shared" si="134"/>
        <v>28</v>
      </c>
      <c r="CZ36" s="137">
        <f t="shared" si="134"/>
        <v>0</v>
      </c>
      <c r="DA36" s="163">
        <f t="shared" si="134"/>
        <v>520</v>
      </c>
      <c r="DD36" s="196"/>
      <c r="DE36" s="195"/>
      <c r="DF36" s="195"/>
      <c r="DG36" s="197"/>
    </row>
    <row r="37" spans="1:111" ht="18" thickBot="1" x14ac:dyDescent="0.35">
      <c r="A37" s="596"/>
      <c r="B37" s="80"/>
      <c r="C37" s="80" t="s">
        <v>251</v>
      </c>
      <c r="D37" s="98">
        <v>4</v>
      </c>
      <c r="E37" s="98">
        <v>17</v>
      </c>
      <c r="F37" s="98">
        <v>4</v>
      </c>
      <c r="G37" s="98">
        <f t="shared" si="127"/>
        <v>28</v>
      </c>
      <c r="H37" s="98">
        <f t="shared" ref="H37:H51" si="135">G37*4.33</f>
        <v>121.24000000000001</v>
      </c>
      <c r="I37" s="98">
        <f t="shared" ref="I37:I50" si="136">D37*E37*F37</f>
        <v>272</v>
      </c>
      <c r="J37" s="98">
        <f t="shared" ref="J37:J51" si="137">D37*E37*G37</f>
        <v>1904</v>
      </c>
      <c r="K37" s="98">
        <f t="shared" ref="K37:K51" si="138">D37*E37*H37</f>
        <v>8244.32</v>
      </c>
      <c r="L37" s="599"/>
      <c r="O37" s="595" t="s">
        <v>200</v>
      </c>
      <c r="P37" s="80" t="s">
        <v>191</v>
      </c>
      <c r="Q37" s="80" t="s">
        <v>205</v>
      </c>
      <c r="R37" s="134">
        <v>40</v>
      </c>
      <c r="S37" s="134">
        <v>28</v>
      </c>
      <c r="T37" s="134">
        <v>3</v>
      </c>
      <c r="U37" s="134">
        <f t="shared" ref="U37" si="139">T37*7</f>
        <v>21</v>
      </c>
      <c r="V37" s="134">
        <f>U37*4.33</f>
        <v>90.93</v>
      </c>
      <c r="W37" s="168">
        <f>(R37*S37*T37)</f>
        <v>3360</v>
      </c>
      <c r="X37" s="168">
        <f>(R37*S37*U37)</f>
        <v>23520</v>
      </c>
      <c r="Y37" s="168">
        <f>(R37*S37*V37)</f>
        <v>101841.60000000001</v>
      </c>
      <c r="Z37" s="609">
        <f>Y38/Y39</f>
        <v>0.42254667781652649</v>
      </c>
      <c r="AC37" s="595" t="s">
        <v>200</v>
      </c>
      <c r="AD37" s="80" t="s">
        <v>191</v>
      </c>
      <c r="AE37" s="80" t="s">
        <v>205</v>
      </c>
      <c r="AF37" s="98">
        <v>40</v>
      </c>
      <c r="AG37" s="98">
        <v>28</v>
      </c>
      <c r="AH37" s="98">
        <v>3</v>
      </c>
      <c r="AI37" s="98">
        <f t="shared" ref="AI37" si="140">AH37*7</f>
        <v>21</v>
      </c>
      <c r="AJ37" s="98">
        <f>AI37*4.33</f>
        <v>90.93</v>
      </c>
      <c r="AK37" s="98">
        <f t="shared" ref="AK37" si="141">AF37*AG37*AH37</f>
        <v>3360</v>
      </c>
      <c r="AL37" s="98">
        <f t="shared" ref="AL37" si="142">AF37*AG37*AI37</f>
        <v>23520</v>
      </c>
      <c r="AM37" s="98">
        <f t="shared" ref="AM37" si="143">AF37*AG37*AJ37</f>
        <v>101841.60000000001</v>
      </c>
      <c r="AN37" s="598">
        <f>AM38/AM39</f>
        <v>0.23548543806750519</v>
      </c>
      <c r="AQ37" s="595" t="s">
        <v>200</v>
      </c>
      <c r="AR37" s="80" t="s">
        <v>191</v>
      </c>
      <c r="AS37" s="80" t="s">
        <v>205</v>
      </c>
      <c r="AT37" s="134">
        <v>40</v>
      </c>
      <c r="AU37" s="135">
        <v>28</v>
      </c>
      <c r="AV37" s="139">
        <v>3</v>
      </c>
      <c r="AW37" s="155">
        <v>0</v>
      </c>
      <c r="AX37" s="155">
        <v>0</v>
      </c>
      <c r="AY37" s="155">
        <v>0</v>
      </c>
      <c r="AZ37" s="155">
        <v>0</v>
      </c>
      <c r="BA37" s="155">
        <v>0</v>
      </c>
      <c r="BB37" s="155">
        <v>0</v>
      </c>
      <c r="BC37" s="155">
        <v>0</v>
      </c>
      <c r="BD37" s="155">
        <v>0</v>
      </c>
      <c r="BE37" s="155">
        <v>0</v>
      </c>
      <c r="BF37" s="155">
        <v>0</v>
      </c>
      <c r="BG37" s="155">
        <v>0</v>
      </c>
      <c r="BH37" s="155">
        <v>0</v>
      </c>
      <c r="BI37" s="155">
        <v>0</v>
      </c>
      <c r="BJ37" s="155">
        <v>0</v>
      </c>
      <c r="BK37" s="155">
        <v>0</v>
      </c>
      <c r="BL37" s="155">
        <v>0</v>
      </c>
      <c r="BM37" s="155">
        <v>0</v>
      </c>
      <c r="BN37" s="155">
        <v>0</v>
      </c>
      <c r="BO37" s="155">
        <v>0</v>
      </c>
      <c r="BP37" s="155">
        <v>0</v>
      </c>
      <c r="BQ37" s="155">
        <v>1</v>
      </c>
      <c r="BR37" s="155">
        <v>1</v>
      </c>
      <c r="BS37" s="155">
        <v>1</v>
      </c>
      <c r="BT37" s="155">
        <v>0</v>
      </c>
      <c r="BU37" s="102">
        <f t="shared" si="11"/>
        <v>3</v>
      </c>
      <c r="BX37" s="595" t="s">
        <v>200</v>
      </c>
      <c r="BY37" s="80" t="s">
        <v>191</v>
      </c>
      <c r="BZ37" s="80" t="s">
        <v>205</v>
      </c>
      <c r="CA37" s="134">
        <v>40</v>
      </c>
      <c r="CB37" s="135">
        <v>28</v>
      </c>
      <c r="CC37" s="189">
        <f t="shared" ref="CC37:CZ37" si="144">$CA$37*$CB$37*AW37</f>
        <v>0</v>
      </c>
      <c r="CD37" s="155">
        <f t="shared" si="144"/>
        <v>0</v>
      </c>
      <c r="CE37" s="155">
        <f t="shared" si="144"/>
        <v>0</v>
      </c>
      <c r="CF37" s="155">
        <f t="shared" si="144"/>
        <v>0</v>
      </c>
      <c r="CG37" s="155">
        <f t="shared" si="144"/>
        <v>0</v>
      </c>
      <c r="CH37" s="155">
        <f t="shared" si="144"/>
        <v>0</v>
      </c>
      <c r="CI37" s="155">
        <f t="shared" si="144"/>
        <v>0</v>
      </c>
      <c r="CJ37" s="155">
        <f t="shared" si="144"/>
        <v>0</v>
      </c>
      <c r="CK37" s="155">
        <f t="shared" si="144"/>
        <v>0</v>
      </c>
      <c r="CL37" s="155">
        <f t="shared" si="144"/>
        <v>0</v>
      </c>
      <c r="CM37" s="155">
        <f t="shared" si="144"/>
        <v>0</v>
      </c>
      <c r="CN37" s="155">
        <f t="shared" si="144"/>
        <v>0</v>
      </c>
      <c r="CO37" s="155">
        <f t="shared" si="144"/>
        <v>0</v>
      </c>
      <c r="CP37" s="155">
        <f t="shared" si="144"/>
        <v>0</v>
      </c>
      <c r="CQ37" s="155">
        <f t="shared" si="144"/>
        <v>0</v>
      </c>
      <c r="CR37" s="155">
        <f t="shared" si="144"/>
        <v>0</v>
      </c>
      <c r="CS37" s="155">
        <f t="shared" si="144"/>
        <v>0</v>
      </c>
      <c r="CT37" s="155">
        <f t="shared" si="144"/>
        <v>0</v>
      </c>
      <c r="CU37" s="155">
        <f t="shared" si="144"/>
        <v>0</v>
      </c>
      <c r="CV37" s="155">
        <f t="shared" si="144"/>
        <v>0</v>
      </c>
      <c r="CW37" s="155">
        <f t="shared" si="144"/>
        <v>1120</v>
      </c>
      <c r="CX37" s="155">
        <f t="shared" si="144"/>
        <v>1120</v>
      </c>
      <c r="CY37" s="155">
        <f t="shared" si="144"/>
        <v>1120</v>
      </c>
      <c r="CZ37" s="155">
        <f t="shared" si="144"/>
        <v>0</v>
      </c>
      <c r="DA37" s="102">
        <f t="shared" ref="DA37" si="145">SUM(CC37:CZ37)</f>
        <v>3360</v>
      </c>
    </row>
    <row r="38" spans="1:111" ht="18" thickBot="1" x14ac:dyDescent="0.35">
      <c r="A38" s="596"/>
      <c r="B38" s="80" t="s">
        <v>217</v>
      </c>
      <c r="C38" s="80" t="s">
        <v>264</v>
      </c>
      <c r="D38" s="98">
        <v>1</v>
      </c>
      <c r="E38" s="98">
        <v>100</v>
      </c>
      <c r="F38" s="98">
        <v>1</v>
      </c>
      <c r="G38" s="98">
        <f t="shared" si="127"/>
        <v>7</v>
      </c>
      <c r="H38" s="98">
        <f t="shared" si="135"/>
        <v>30.310000000000002</v>
      </c>
      <c r="I38" s="98">
        <f t="shared" si="136"/>
        <v>100</v>
      </c>
      <c r="J38" s="98">
        <f t="shared" si="137"/>
        <v>700</v>
      </c>
      <c r="K38" s="98">
        <f t="shared" si="138"/>
        <v>3031</v>
      </c>
      <c r="L38" s="599"/>
      <c r="O38" s="597"/>
      <c r="P38" s="86" t="s">
        <v>259</v>
      </c>
      <c r="Q38" s="89"/>
      <c r="R38" s="142">
        <f t="shared" ref="R38:X38" si="146">SUM(R37:R37)</f>
        <v>40</v>
      </c>
      <c r="S38" s="142">
        <f t="shared" si="146"/>
        <v>28</v>
      </c>
      <c r="T38" s="142">
        <f t="shared" si="146"/>
        <v>3</v>
      </c>
      <c r="U38" s="142">
        <f t="shared" si="146"/>
        <v>21</v>
      </c>
      <c r="V38" s="142">
        <f>SUM(V37)</f>
        <v>90.93</v>
      </c>
      <c r="W38" s="175">
        <f t="shared" si="146"/>
        <v>3360</v>
      </c>
      <c r="X38" s="175">
        <f t="shared" si="146"/>
        <v>23520</v>
      </c>
      <c r="Y38" s="175">
        <f t="shared" ref="Y38" si="147">SUM(Y37:Y37)</f>
        <v>101841.60000000001</v>
      </c>
      <c r="Z38" s="611"/>
      <c r="AC38" s="597"/>
      <c r="AD38" s="86" t="s">
        <v>259</v>
      </c>
      <c r="AE38" s="89"/>
      <c r="AF38" s="110">
        <f t="shared" ref="AF38:AI38" si="148">SUM(AF37:AF37)</f>
        <v>40</v>
      </c>
      <c r="AG38" s="110">
        <f t="shared" si="148"/>
        <v>28</v>
      </c>
      <c r="AH38" s="110">
        <f t="shared" si="148"/>
        <v>3</v>
      </c>
      <c r="AI38" s="110">
        <f t="shared" si="148"/>
        <v>21</v>
      </c>
      <c r="AJ38" s="110">
        <f>SUM(AJ37)</f>
        <v>90.93</v>
      </c>
      <c r="AK38" s="110">
        <f t="shared" ref="AK38:AL38" si="149">SUM(AK37:AK37)</f>
        <v>3360</v>
      </c>
      <c r="AL38" s="110">
        <f t="shared" si="149"/>
        <v>23520</v>
      </c>
      <c r="AM38" s="110">
        <f t="shared" ref="AM38" si="150">SUM(AM37:AM37)</f>
        <v>101841.60000000001</v>
      </c>
      <c r="AN38" s="600"/>
      <c r="AQ38" s="597"/>
      <c r="AR38" s="86" t="s">
        <v>259</v>
      </c>
      <c r="AS38" s="89"/>
      <c r="AT38" s="142">
        <f t="shared" ref="AT38:AV38" si="151">SUM(AT37:AT37)</f>
        <v>40</v>
      </c>
      <c r="AU38" s="143">
        <f t="shared" si="151"/>
        <v>28</v>
      </c>
      <c r="AV38" s="158">
        <f t="shared" si="151"/>
        <v>3</v>
      </c>
      <c r="AW38" s="142">
        <f t="shared" ref="AW38:BU38" si="152">SUM(AW37:AW37)</f>
        <v>0</v>
      </c>
      <c r="AX38" s="142">
        <f t="shared" si="152"/>
        <v>0</v>
      </c>
      <c r="AY38" s="142">
        <f t="shared" si="152"/>
        <v>0</v>
      </c>
      <c r="AZ38" s="142">
        <f t="shared" si="152"/>
        <v>0</v>
      </c>
      <c r="BA38" s="142">
        <f t="shared" si="152"/>
        <v>0</v>
      </c>
      <c r="BB38" s="142">
        <f t="shared" si="152"/>
        <v>0</v>
      </c>
      <c r="BC38" s="142">
        <f t="shared" si="152"/>
        <v>0</v>
      </c>
      <c r="BD38" s="142">
        <f t="shared" si="152"/>
        <v>0</v>
      </c>
      <c r="BE38" s="142">
        <f t="shared" si="152"/>
        <v>0</v>
      </c>
      <c r="BF38" s="142">
        <f t="shared" si="152"/>
        <v>0</v>
      </c>
      <c r="BG38" s="142">
        <f t="shared" si="152"/>
        <v>0</v>
      </c>
      <c r="BH38" s="142">
        <f t="shared" si="152"/>
        <v>0</v>
      </c>
      <c r="BI38" s="142">
        <f t="shared" si="152"/>
        <v>0</v>
      </c>
      <c r="BJ38" s="142">
        <f t="shared" si="152"/>
        <v>0</v>
      </c>
      <c r="BK38" s="142">
        <f t="shared" si="152"/>
        <v>0</v>
      </c>
      <c r="BL38" s="142">
        <f t="shared" si="152"/>
        <v>0</v>
      </c>
      <c r="BM38" s="142">
        <f t="shared" si="152"/>
        <v>0</v>
      </c>
      <c r="BN38" s="142">
        <f t="shared" si="152"/>
        <v>0</v>
      </c>
      <c r="BO38" s="142">
        <f t="shared" si="152"/>
        <v>0</v>
      </c>
      <c r="BP38" s="142">
        <f t="shared" si="152"/>
        <v>0</v>
      </c>
      <c r="BQ38" s="142">
        <f t="shared" si="152"/>
        <v>1</v>
      </c>
      <c r="BR38" s="142">
        <f t="shared" si="152"/>
        <v>1</v>
      </c>
      <c r="BS38" s="142">
        <f t="shared" si="152"/>
        <v>1</v>
      </c>
      <c r="BT38" s="143">
        <f t="shared" si="152"/>
        <v>0</v>
      </c>
      <c r="BU38" s="158">
        <f t="shared" si="152"/>
        <v>3</v>
      </c>
      <c r="BX38" s="597"/>
      <c r="BY38" s="86" t="s">
        <v>259</v>
      </c>
      <c r="BZ38" s="89"/>
      <c r="CA38" s="142">
        <f t="shared" ref="CA38:DA38" si="153">SUM(CA37:CA37)</f>
        <v>40</v>
      </c>
      <c r="CB38" s="143">
        <f t="shared" si="153"/>
        <v>28</v>
      </c>
      <c r="CC38" s="158">
        <f t="shared" si="153"/>
        <v>0</v>
      </c>
      <c r="CD38" s="142">
        <f t="shared" si="153"/>
        <v>0</v>
      </c>
      <c r="CE38" s="142">
        <f t="shared" si="153"/>
        <v>0</v>
      </c>
      <c r="CF38" s="142">
        <f t="shared" si="153"/>
        <v>0</v>
      </c>
      <c r="CG38" s="142">
        <f t="shared" si="153"/>
        <v>0</v>
      </c>
      <c r="CH38" s="142">
        <f t="shared" si="153"/>
        <v>0</v>
      </c>
      <c r="CI38" s="142">
        <f t="shared" si="153"/>
        <v>0</v>
      </c>
      <c r="CJ38" s="142">
        <f t="shared" si="153"/>
        <v>0</v>
      </c>
      <c r="CK38" s="142">
        <f t="shared" si="153"/>
        <v>0</v>
      </c>
      <c r="CL38" s="142">
        <f t="shared" si="153"/>
        <v>0</v>
      </c>
      <c r="CM38" s="142">
        <f t="shared" si="153"/>
        <v>0</v>
      </c>
      <c r="CN38" s="142">
        <f t="shared" si="153"/>
        <v>0</v>
      </c>
      <c r="CO38" s="142">
        <f t="shared" si="153"/>
        <v>0</v>
      </c>
      <c r="CP38" s="142">
        <f t="shared" si="153"/>
        <v>0</v>
      </c>
      <c r="CQ38" s="142">
        <f t="shared" si="153"/>
        <v>0</v>
      </c>
      <c r="CR38" s="142">
        <f t="shared" si="153"/>
        <v>0</v>
      </c>
      <c r="CS38" s="142">
        <f t="shared" si="153"/>
        <v>0</v>
      </c>
      <c r="CT38" s="142">
        <f t="shared" si="153"/>
        <v>0</v>
      </c>
      <c r="CU38" s="142">
        <f t="shared" si="153"/>
        <v>0</v>
      </c>
      <c r="CV38" s="142">
        <f t="shared" si="153"/>
        <v>0</v>
      </c>
      <c r="CW38" s="142">
        <f t="shared" si="153"/>
        <v>1120</v>
      </c>
      <c r="CX38" s="142">
        <f t="shared" si="153"/>
        <v>1120</v>
      </c>
      <c r="CY38" s="142">
        <f t="shared" si="153"/>
        <v>1120</v>
      </c>
      <c r="CZ38" s="143">
        <f t="shared" si="153"/>
        <v>0</v>
      </c>
      <c r="DA38" s="158">
        <f t="shared" si="153"/>
        <v>3360</v>
      </c>
    </row>
    <row r="39" spans="1:111" ht="19.5" thickBot="1" x14ac:dyDescent="0.35">
      <c r="A39" s="596"/>
      <c r="B39" s="80" t="s">
        <v>193</v>
      </c>
      <c r="C39" s="80" t="s">
        <v>263</v>
      </c>
      <c r="D39" s="98">
        <v>1</v>
      </c>
      <c r="E39" s="98">
        <v>100</v>
      </c>
      <c r="F39" s="98">
        <v>1</v>
      </c>
      <c r="G39" s="98">
        <f t="shared" si="127"/>
        <v>7</v>
      </c>
      <c r="H39" s="98">
        <f t="shared" si="135"/>
        <v>30.310000000000002</v>
      </c>
      <c r="I39" s="98">
        <f t="shared" si="136"/>
        <v>100</v>
      </c>
      <c r="J39" s="98">
        <f t="shared" si="137"/>
        <v>700</v>
      </c>
      <c r="K39" s="98">
        <f t="shared" si="138"/>
        <v>3031</v>
      </c>
      <c r="L39" s="599"/>
      <c r="P39" s="593" t="s">
        <v>158</v>
      </c>
      <c r="Q39" s="594"/>
      <c r="R39" s="182">
        <f t="shared" ref="R39:Y39" si="154">R10+R21+R30+R36+R38</f>
        <v>133</v>
      </c>
      <c r="S39" s="183">
        <f t="shared" si="154"/>
        <v>1289.33</v>
      </c>
      <c r="T39" s="183">
        <f t="shared" si="154"/>
        <v>81.167059131344843</v>
      </c>
      <c r="U39" s="183">
        <f t="shared" si="154"/>
        <v>542.16941391941396</v>
      </c>
      <c r="V39" s="183">
        <f t="shared" si="154"/>
        <v>2348.2562637362635</v>
      </c>
      <c r="W39" s="184">
        <f t="shared" si="154"/>
        <v>8298.5943642072216</v>
      </c>
      <c r="X39" s="184">
        <f t="shared" si="154"/>
        <v>55659.105549450549</v>
      </c>
      <c r="Y39" s="184">
        <f t="shared" si="154"/>
        <v>241018.57935851652</v>
      </c>
      <c r="Z39" s="181">
        <f>SUM(Z3:Z21,Z23:Z38)</f>
        <v>0.99999999999999978</v>
      </c>
      <c r="AD39" s="593" t="s">
        <v>158</v>
      </c>
      <c r="AE39" s="594"/>
      <c r="AF39" s="113">
        <f t="shared" ref="AF39" si="155">AF10+AF21+AF30+AF36+AF38</f>
        <v>225</v>
      </c>
      <c r="AG39" s="105">
        <f t="shared" ref="AG39" si="156">AG10+AG21+AG30+AG36+AG38</f>
        <v>1267.22</v>
      </c>
      <c r="AH39" s="105">
        <f t="shared" ref="AH39" si="157">AH10+AH21+AH30+AH36+AH38</f>
        <v>89.166993720565145</v>
      </c>
      <c r="AI39" s="105">
        <f t="shared" ref="AI39" si="158">AI10+AI21+AI30+AI36+AI38</f>
        <v>563.16895604395609</v>
      </c>
      <c r="AJ39" s="105">
        <f t="shared" ref="AJ39" si="159">AJ10+AJ21+AJ30+AJ36+AJ38</f>
        <v>2439.1862637362633</v>
      </c>
      <c r="AK39" s="105">
        <f t="shared" ref="AK39" si="160">AK10+AK21+AK30+AK36+AK38</f>
        <v>23002.592917974882</v>
      </c>
      <c r="AL39" s="105">
        <f t="shared" ref="AL39" si="161">AL10+AL21+AL30+AL36+AL38</f>
        <v>99877.095425824169</v>
      </c>
      <c r="AM39" s="105">
        <f t="shared" ref="AM39" si="162">AM10+AM21+AM30+AM36+AM38</f>
        <v>432475.14935851656</v>
      </c>
      <c r="AN39" s="121">
        <f>SUM(AN3:AN21,AN23:AN38)</f>
        <v>1</v>
      </c>
      <c r="AR39" s="593" t="s">
        <v>158</v>
      </c>
      <c r="AS39" s="594"/>
      <c r="AT39" s="147">
        <f t="shared" ref="AT39:AV39" si="163">AT10+AT21+AT30+AT36+AT38</f>
        <v>133</v>
      </c>
      <c r="AU39" s="154">
        <f t="shared" si="163"/>
        <v>1289.33</v>
      </c>
      <c r="AV39" s="147">
        <f t="shared" si="163"/>
        <v>81.166666666666671</v>
      </c>
      <c r="AW39" s="148">
        <f t="shared" ref="AW39:BU39" si="164">AW10+AW21+AW30+AW36+AW38</f>
        <v>2</v>
      </c>
      <c r="AX39" s="148">
        <f t="shared" si="164"/>
        <v>2.5</v>
      </c>
      <c r="AY39" s="148">
        <f t="shared" si="164"/>
        <v>3</v>
      </c>
      <c r="AZ39" s="148">
        <f t="shared" si="164"/>
        <v>3</v>
      </c>
      <c r="BA39" s="148">
        <f t="shared" si="164"/>
        <v>2.5</v>
      </c>
      <c r="BB39" s="148">
        <f t="shared" si="164"/>
        <v>3.5</v>
      </c>
      <c r="BC39" s="148">
        <f t="shared" si="164"/>
        <v>4</v>
      </c>
      <c r="BD39" s="148">
        <f t="shared" si="164"/>
        <v>2</v>
      </c>
      <c r="BE39" s="148">
        <f t="shared" si="164"/>
        <v>4</v>
      </c>
      <c r="BF39" s="148">
        <f t="shared" si="164"/>
        <v>2</v>
      </c>
      <c r="BG39" s="148">
        <f t="shared" si="164"/>
        <v>2</v>
      </c>
      <c r="BH39" s="148">
        <f t="shared" si="164"/>
        <v>4.5</v>
      </c>
      <c r="BI39" s="148">
        <f t="shared" si="164"/>
        <v>2</v>
      </c>
      <c r="BJ39" s="148">
        <f t="shared" si="164"/>
        <v>0</v>
      </c>
      <c r="BK39" s="148">
        <f t="shared" si="164"/>
        <v>0</v>
      </c>
      <c r="BL39" s="148">
        <f t="shared" si="164"/>
        <v>3</v>
      </c>
      <c r="BM39" s="148">
        <f t="shared" si="164"/>
        <v>3</v>
      </c>
      <c r="BN39" s="148">
        <f t="shared" si="164"/>
        <v>5.5</v>
      </c>
      <c r="BO39" s="148">
        <f t="shared" si="164"/>
        <v>5</v>
      </c>
      <c r="BP39" s="148">
        <f t="shared" si="164"/>
        <v>8</v>
      </c>
      <c r="BQ39" s="148">
        <f t="shared" si="164"/>
        <v>8</v>
      </c>
      <c r="BR39" s="148">
        <f t="shared" si="164"/>
        <v>6</v>
      </c>
      <c r="BS39" s="148">
        <f t="shared" si="164"/>
        <v>5</v>
      </c>
      <c r="BT39" s="154">
        <f t="shared" si="164"/>
        <v>3</v>
      </c>
      <c r="BU39" s="147">
        <f t="shared" si="164"/>
        <v>83.5</v>
      </c>
      <c r="BY39" s="593" t="s">
        <v>158</v>
      </c>
      <c r="BZ39" s="594"/>
      <c r="CA39" s="147">
        <f t="shared" ref="CA39:DA39" si="165">CA10+CA21+CA30+CA36+CA38</f>
        <v>133</v>
      </c>
      <c r="CB39" s="154">
        <f t="shared" si="165"/>
        <v>1289.33</v>
      </c>
      <c r="CC39" s="147">
        <f t="shared" si="165"/>
        <v>86</v>
      </c>
      <c r="CD39" s="148">
        <f t="shared" si="165"/>
        <v>103</v>
      </c>
      <c r="CE39" s="148">
        <f t="shared" si="165"/>
        <v>120</v>
      </c>
      <c r="CF39" s="148">
        <f t="shared" si="165"/>
        <v>120</v>
      </c>
      <c r="CG39" s="148">
        <f t="shared" si="165"/>
        <v>103</v>
      </c>
      <c r="CH39" s="148">
        <f t="shared" si="165"/>
        <v>178.5</v>
      </c>
      <c r="CI39" s="148">
        <f t="shared" si="165"/>
        <v>243.5</v>
      </c>
      <c r="CJ39" s="148">
        <f t="shared" si="165"/>
        <v>86</v>
      </c>
      <c r="CK39" s="148">
        <f t="shared" si="165"/>
        <v>307</v>
      </c>
      <c r="CL39" s="148">
        <f t="shared" si="165"/>
        <v>221</v>
      </c>
      <c r="CM39" s="148">
        <f t="shared" si="165"/>
        <v>221</v>
      </c>
      <c r="CN39" s="148">
        <f t="shared" si="165"/>
        <v>297.52750000000003</v>
      </c>
      <c r="CO39" s="148">
        <f t="shared" si="165"/>
        <v>221</v>
      </c>
      <c r="CP39" s="148">
        <f t="shared" si="165"/>
        <v>0</v>
      </c>
      <c r="CQ39" s="148">
        <f t="shared" si="165"/>
        <v>0</v>
      </c>
      <c r="CR39" s="148">
        <f t="shared" si="165"/>
        <v>197</v>
      </c>
      <c r="CS39" s="148">
        <f t="shared" si="165"/>
        <v>197</v>
      </c>
      <c r="CT39" s="148">
        <f t="shared" si="165"/>
        <v>358.5</v>
      </c>
      <c r="CU39" s="148">
        <f t="shared" si="165"/>
        <v>417</v>
      </c>
      <c r="CV39" s="148">
        <f t="shared" si="165"/>
        <v>537.5</v>
      </c>
      <c r="CW39" s="148">
        <f t="shared" si="165"/>
        <v>1594</v>
      </c>
      <c r="CX39" s="148">
        <f t="shared" si="165"/>
        <v>1336</v>
      </c>
      <c r="CY39" s="148">
        <f t="shared" si="165"/>
        <v>1268</v>
      </c>
      <c r="CZ39" s="154">
        <f t="shared" si="165"/>
        <v>120</v>
      </c>
      <c r="DA39" s="147">
        <f t="shared" si="165"/>
        <v>8332.5275000000001</v>
      </c>
    </row>
    <row r="40" spans="1:111" ht="15.75" thickBot="1" x14ac:dyDescent="0.3">
      <c r="A40" s="596"/>
      <c r="B40" s="80" t="s">
        <v>218</v>
      </c>
      <c r="C40" s="80" t="s">
        <v>219</v>
      </c>
      <c r="D40" s="98">
        <v>1</v>
      </c>
      <c r="E40" s="98">
        <v>135</v>
      </c>
      <c r="F40" s="98">
        <v>4</v>
      </c>
      <c r="G40" s="98">
        <f t="shared" si="127"/>
        <v>28</v>
      </c>
      <c r="H40" s="98">
        <f t="shared" si="135"/>
        <v>121.24000000000001</v>
      </c>
      <c r="I40" s="98">
        <f t="shared" si="136"/>
        <v>540</v>
      </c>
      <c r="J40" s="98">
        <f t="shared" si="137"/>
        <v>3780</v>
      </c>
      <c r="K40" s="98">
        <f t="shared" si="138"/>
        <v>16367.400000000001</v>
      </c>
      <c r="L40" s="599"/>
      <c r="R40" s="106"/>
      <c r="S40" s="106"/>
      <c r="T40" s="106"/>
      <c r="U40" s="106"/>
      <c r="V40" s="106"/>
      <c r="W40" s="106"/>
      <c r="X40" s="106"/>
      <c r="Y40" s="106"/>
      <c r="AF40" s="106"/>
      <c r="AG40" s="106"/>
      <c r="AH40" s="106"/>
      <c r="AI40" s="106"/>
      <c r="AJ40" s="106"/>
      <c r="AK40" s="106"/>
      <c r="AL40" s="106">
        <f>AL39/1000</f>
        <v>99.877095425824166</v>
      </c>
      <c r="AM40" s="106">
        <f>AM39/1000</f>
        <v>432.47514935851655</v>
      </c>
    </row>
    <row r="41" spans="1:111" ht="18" thickBot="1" x14ac:dyDescent="0.35">
      <c r="A41" s="596"/>
      <c r="B41" s="80"/>
      <c r="C41" s="80" t="s">
        <v>45</v>
      </c>
      <c r="D41" s="98">
        <v>1</v>
      </c>
      <c r="E41" s="98">
        <f>20*2.25</f>
        <v>45</v>
      </c>
      <c r="F41" s="98">
        <v>4</v>
      </c>
      <c r="G41" s="98">
        <f t="shared" si="127"/>
        <v>28</v>
      </c>
      <c r="H41" s="98">
        <f t="shared" si="135"/>
        <v>121.24000000000001</v>
      </c>
      <c r="I41" s="98">
        <f t="shared" si="136"/>
        <v>180</v>
      </c>
      <c r="J41" s="98">
        <f t="shared" si="137"/>
        <v>1260</v>
      </c>
      <c r="K41" s="98">
        <f t="shared" si="138"/>
        <v>5455.8</v>
      </c>
      <c r="L41" s="599"/>
      <c r="BY41" s="593" t="s">
        <v>378</v>
      </c>
      <c r="BZ41" s="594"/>
      <c r="CA41" s="147">
        <f>CA22+CA30+CA36</f>
        <v>93</v>
      </c>
      <c r="CB41" s="147">
        <f>CB22+CB30+CB36</f>
        <v>1261.33</v>
      </c>
      <c r="CC41" s="147">
        <f>CC22+CC30+CC36</f>
        <v>86</v>
      </c>
      <c r="CD41" s="147">
        <f t="shared" ref="CD41:DA41" si="166">CD22+CD30+CD36</f>
        <v>103</v>
      </c>
      <c r="CE41" s="147">
        <f t="shared" si="166"/>
        <v>120</v>
      </c>
      <c r="CF41" s="147">
        <f t="shared" si="166"/>
        <v>120</v>
      </c>
      <c r="CG41" s="147">
        <f t="shared" si="166"/>
        <v>103</v>
      </c>
      <c r="CH41" s="147">
        <f t="shared" si="166"/>
        <v>178.5</v>
      </c>
      <c r="CI41" s="147">
        <f t="shared" si="166"/>
        <v>243.5</v>
      </c>
      <c r="CJ41" s="147">
        <f t="shared" si="166"/>
        <v>86</v>
      </c>
      <c r="CK41" s="147">
        <f t="shared" si="166"/>
        <v>307</v>
      </c>
      <c r="CL41" s="147">
        <f t="shared" si="166"/>
        <v>221</v>
      </c>
      <c r="CM41" s="147">
        <f t="shared" si="166"/>
        <v>221</v>
      </c>
      <c r="CN41" s="147">
        <f t="shared" si="166"/>
        <v>297.52750000000003</v>
      </c>
      <c r="CO41" s="147">
        <f t="shared" si="166"/>
        <v>221</v>
      </c>
      <c r="CP41" s="147">
        <f t="shared" si="166"/>
        <v>0</v>
      </c>
      <c r="CQ41" s="147">
        <f t="shared" si="166"/>
        <v>0</v>
      </c>
      <c r="CR41" s="147">
        <f t="shared" si="166"/>
        <v>197</v>
      </c>
      <c r="CS41" s="147">
        <f t="shared" si="166"/>
        <v>197</v>
      </c>
      <c r="CT41" s="147">
        <f t="shared" si="166"/>
        <v>358.5</v>
      </c>
      <c r="CU41" s="147">
        <f t="shared" si="166"/>
        <v>417</v>
      </c>
      <c r="CV41" s="147">
        <f t="shared" si="166"/>
        <v>537.5</v>
      </c>
      <c r="CW41" s="147">
        <f t="shared" si="166"/>
        <v>474</v>
      </c>
      <c r="CX41" s="147">
        <f t="shared" si="166"/>
        <v>216</v>
      </c>
      <c r="CY41" s="147">
        <f t="shared" si="166"/>
        <v>148</v>
      </c>
      <c r="CZ41" s="147">
        <f t="shared" si="166"/>
        <v>120</v>
      </c>
      <c r="DA41" s="147">
        <f t="shared" si="166"/>
        <v>4972.5275000000001</v>
      </c>
    </row>
    <row r="42" spans="1:111" ht="18" thickBot="1" x14ac:dyDescent="0.35">
      <c r="A42" s="596"/>
      <c r="B42" s="80"/>
      <c r="C42" s="80" t="s">
        <v>220</v>
      </c>
      <c r="D42" s="98">
        <v>1</v>
      </c>
      <c r="E42" s="98">
        <f>0.8*240</f>
        <v>192</v>
      </c>
      <c r="F42" s="98">
        <v>4</v>
      </c>
      <c r="G42" s="98">
        <f t="shared" si="127"/>
        <v>28</v>
      </c>
      <c r="H42" s="98">
        <f t="shared" si="135"/>
        <v>121.24000000000001</v>
      </c>
      <c r="I42" s="98">
        <f t="shared" si="136"/>
        <v>768</v>
      </c>
      <c r="J42" s="98">
        <f t="shared" si="137"/>
        <v>5376</v>
      </c>
      <c r="K42" s="98">
        <f t="shared" si="138"/>
        <v>23278.080000000002</v>
      </c>
      <c r="L42" s="599"/>
      <c r="BY42" s="593" t="s">
        <v>379</v>
      </c>
      <c r="BZ42" s="594"/>
      <c r="CA42" s="147">
        <f>CA22+CA30</f>
        <v>85</v>
      </c>
      <c r="CB42" s="147">
        <f t="shared" ref="CB42:DA42" si="167">CB22+CB30</f>
        <v>1067.33</v>
      </c>
      <c r="CC42" s="147">
        <f t="shared" si="167"/>
        <v>86</v>
      </c>
      <c r="CD42" s="147">
        <f t="shared" si="167"/>
        <v>103</v>
      </c>
      <c r="CE42" s="147">
        <f t="shared" si="167"/>
        <v>120</v>
      </c>
      <c r="CF42" s="147">
        <f t="shared" si="167"/>
        <v>120</v>
      </c>
      <c r="CG42" s="147">
        <f t="shared" si="167"/>
        <v>103</v>
      </c>
      <c r="CH42" s="147">
        <f t="shared" si="167"/>
        <v>178.5</v>
      </c>
      <c r="CI42" s="147">
        <f t="shared" si="167"/>
        <v>186</v>
      </c>
      <c r="CJ42" s="147">
        <f t="shared" si="167"/>
        <v>86</v>
      </c>
      <c r="CK42" s="147">
        <f>CK22+CK30</f>
        <v>307</v>
      </c>
      <c r="CL42" s="147">
        <f t="shared" si="167"/>
        <v>221</v>
      </c>
      <c r="CM42" s="147">
        <f t="shared" si="167"/>
        <v>221</v>
      </c>
      <c r="CN42" s="147">
        <f t="shared" si="167"/>
        <v>251.5275</v>
      </c>
      <c r="CO42" s="147">
        <f t="shared" si="167"/>
        <v>221</v>
      </c>
      <c r="CP42" s="147">
        <f t="shared" si="167"/>
        <v>0</v>
      </c>
      <c r="CQ42" s="147">
        <f t="shared" si="167"/>
        <v>0</v>
      </c>
      <c r="CR42" s="147">
        <f t="shared" si="167"/>
        <v>197</v>
      </c>
      <c r="CS42" s="147">
        <f t="shared" si="167"/>
        <v>197</v>
      </c>
      <c r="CT42" s="147">
        <f t="shared" si="167"/>
        <v>358.5</v>
      </c>
      <c r="CU42" s="147">
        <f>CU22+CU30</f>
        <v>417</v>
      </c>
      <c r="CV42" s="147">
        <f t="shared" si="167"/>
        <v>317</v>
      </c>
      <c r="CW42" s="147">
        <f t="shared" si="167"/>
        <v>334</v>
      </c>
      <c r="CX42" s="147">
        <f t="shared" si="167"/>
        <v>188</v>
      </c>
      <c r="CY42" s="147">
        <f t="shared" si="167"/>
        <v>120</v>
      </c>
      <c r="CZ42" s="147">
        <f t="shared" si="167"/>
        <v>120</v>
      </c>
      <c r="DA42" s="147">
        <f t="shared" si="167"/>
        <v>4452.5275000000001</v>
      </c>
    </row>
    <row r="43" spans="1:111" ht="18" thickBot="1" x14ac:dyDescent="0.35">
      <c r="A43" s="596"/>
      <c r="B43" s="80"/>
      <c r="C43" s="80" t="s">
        <v>222</v>
      </c>
      <c r="D43" s="98">
        <v>4</v>
      </c>
      <c r="E43" s="98">
        <v>28</v>
      </c>
      <c r="F43" s="98">
        <v>6</v>
      </c>
      <c r="G43" s="98">
        <f t="shared" si="127"/>
        <v>42</v>
      </c>
      <c r="H43" s="98">
        <f t="shared" si="135"/>
        <v>181.86</v>
      </c>
      <c r="I43" s="98">
        <f t="shared" si="136"/>
        <v>672</v>
      </c>
      <c r="J43" s="98">
        <f t="shared" si="137"/>
        <v>4704</v>
      </c>
      <c r="K43" s="98">
        <f t="shared" si="138"/>
        <v>20368.32</v>
      </c>
      <c r="L43" s="599"/>
      <c r="BY43" s="593" t="s">
        <v>380</v>
      </c>
      <c r="BZ43" s="594"/>
      <c r="CA43" s="147">
        <f>CA22+CA36</f>
        <v>73</v>
      </c>
      <c r="CB43" s="147">
        <f t="shared" ref="CB43:DA43" si="168">CB22+CB36</f>
        <v>953.33</v>
      </c>
      <c r="CC43" s="147"/>
      <c r="CD43" s="147">
        <f t="shared" si="168"/>
        <v>103</v>
      </c>
      <c r="CE43" s="147">
        <f t="shared" si="168"/>
        <v>120</v>
      </c>
      <c r="CF43" s="147">
        <f t="shared" si="168"/>
        <v>120</v>
      </c>
      <c r="CG43" s="147">
        <f>CG22+CG36</f>
        <v>103</v>
      </c>
      <c r="CH43" s="147">
        <f t="shared" si="168"/>
        <v>178.5</v>
      </c>
      <c r="CI43" s="147">
        <f t="shared" si="168"/>
        <v>143.5</v>
      </c>
      <c r="CJ43" s="147">
        <f t="shared" si="168"/>
        <v>86</v>
      </c>
      <c r="CK43" s="147">
        <f t="shared" si="168"/>
        <v>307</v>
      </c>
      <c r="CL43" s="147">
        <f t="shared" si="168"/>
        <v>221</v>
      </c>
      <c r="CM43" s="147">
        <f t="shared" si="168"/>
        <v>221</v>
      </c>
      <c r="CN43" s="147">
        <f t="shared" si="168"/>
        <v>297.52750000000003</v>
      </c>
      <c r="CO43" s="147">
        <f t="shared" si="168"/>
        <v>221</v>
      </c>
      <c r="CP43" s="147">
        <f t="shared" si="168"/>
        <v>0</v>
      </c>
      <c r="CQ43" s="147">
        <f t="shared" si="168"/>
        <v>0</v>
      </c>
      <c r="CR43" s="147">
        <f t="shared" si="168"/>
        <v>17</v>
      </c>
      <c r="CS43" s="147">
        <f t="shared" si="168"/>
        <v>17</v>
      </c>
      <c r="CT43" s="147">
        <f t="shared" si="168"/>
        <v>178.5</v>
      </c>
      <c r="CU43" s="147">
        <f t="shared" si="168"/>
        <v>69</v>
      </c>
      <c r="CV43" s="147">
        <f t="shared" si="168"/>
        <v>289.5</v>
      </c>
      <c r="CW43" s="147">
        <f t="shared" si="168"/>
        <v>226</v>
      </c>
      <c r="CX43" s="147">
        <f t="shared" si="168"/>
        <v>148</v>
      </c>
      <c r="CY43" s="147">
        <f t="shared" si="168"/>
        <v>148</v>
      </c>
      <c r="CZ43" s="147">
        <f t="shared" si="168"/>
        <v>120</v>
      </c>
      <c r="DA43" s="147">
        <f t="shared" si="168"/>
        <v>3420.5275000000001</v>
      </c>
    </row>
    <row r="44" spans="1:111" x14ac:dyDescent="0.25">
      <c r="A44" s="596"/>
      <c r="B44" s="80"/>
      <c r="C44" s="80" t="s">
        <v>223</v>
      </c>
      <c r="D44" s="98">
        <v>4</v>
      </c>
      <c r="E44" s="98">
        <v>17</v>
      </c>
      <c r="F44" s="98">
        <v>6</v>
      </c>
      <c r="G44" s="98">
        <f t="shared" si="127"/>
        <v>42</v>
      </c>
      <c r="H44" s="98">
        <f t="shared" si="135"/>
        <v>181.86</v>
      </c>
      <c r="I44" s="98">
        <f t="shared" si="136"/>
        <v>408</v>
      </c>
      <c r="J44" s="98">
        <f t="shared" si="137"/>
        <v>2856</v>
      </c>
      <c r="K44" s="98">
        <f t="shared" si="138"/>
        <v>12366.480000000001</v>
      </c>
      <c r="L44" s="599"/>
    </row>
    <row r="45" spans="1:111" x14ac:dyDescent="0.25">
      <c r="A45" s="596"/>
      <c r="B45" s="80" t="s">
        <v>186</v>
      </c>
      <c r="C45" s="80" t="s">
        <v>221</v>
      </c>
      <c r="D45" s="98">
        <v>1</v>
      </c>
      <c r="E45" s="101">
        <v>350</v>
      </c>
      <c r="F45" s="98"/>
      <c r="G45" s="98">
        <f t="shared" ref="G45:G78" si="169">F45*7</f>
        <v>0</v>
      </c>
      <c r="H45" s="98">
        <f t="shared" si="135"/>
        <v>0</v>
      </c>
      <c r="I45" s="98">
        <f t="shared" si="136"/>
        <v>0</v>
      </c>
      <c r="J45" s="98">
        <f t="shared" si="137"/>
        <v>0</v>
      </c>
      <c r="K45" s="98">
        <f t="shared" si="138"/>
        <v>0</v>
      </c>
      <c r="L45" s="599"/>
    </row>
    <row r="46" spans="1:111" x14ac:dyDescent="0.25">
      <c r="A46" s="596"/>
      <c r="B46" s="80"/>
      <c r="C46" s="80" t="s">
        <v>224</v>
      </c>
      <c r="D46" s="98">
        <v>1</v>
      </c>
      <c r="E46" s="98">
        <v>75</v>
      </c>
      <c r="F46" s="98">
        <v>2</v>
      </c>
      <c r="G46" s="98">
        <f t="shared" si="169"/>
        <v>14</v>
      </c>
      <c r="H46" s="98">
        <f t="shared" si="135"/>
        <v>60.620000000000005</v>
      </c>
      <c r="I46" s="98">
        <f t="shared" si="136"/>
        <v>150</v>
      </c>
      <c r="J46" s="98">
        <f t="shared" si="137"/>
        <v>1050</v>
      </c>
      <c r="K46" s="98">
        <f t="shared" si="138"/>
        <v>4546.5</v>
      </c>
      <c r="L46" s="599"/>
    </row>
    <row r="47" spans="1:111" x14ac:dyDescent="0.25">
      <c r="A47" s="596"/>
      <c r="B47" s="80"/>
      <c r="C47" s="80" t="s">
        <v>226</v>
      </c>
      <c r="D47" s="98">
        <v>1</v>
      </c>
      <c r="E47" s="98">
        <v>800</v>
      </c>
      <c r="F47" s="98">
        <f>15/60</f>
        <v>0.25</v>
      </c>
      <c r="G47" s="98">
        <f>F47*2</f>
        <v>0.5</v>
      </c>
      <c r="H47" s="98">
        <f t="shared" si="135"/>
        <v>2.165</v>
      </c>
      <c r="I47" s="98">
        <f t="shared" si="136"/>
        <v>200</v>
      </c>
      <c r="J47" s="98">
        <f t="shared" si="137"/>
        <v>400</v>
      </c>
      <c r="K47" s="98">
        <f t="shared" si="138"/>
        <v>1732</v>
      </c>
      <c r="L47" s="599"/>
    </row>
    <row r="48" spans="1:111" x14ac:dyDescent="0.25">
      <c r="A48" s="596"/>
      <c r="B48" s="80"/>
      <c r="C48" s="80" t="s">
        <v>212</v>
      </c>
      <c r="D48" s="98">
        <v>3</v>
      </c>
      <c r="E48" s="98">
        <v>23</v>
      </c>
      <c r="F48" s="98">
        <f>10/60</f>
        <v>0.16666666666666666</v>
      </c>
      <c r="G48" s="98">
        <f t="shared" si="169"/>
        <v>1.1666666666666665</v>
      </c>
      <c r="H48" s="98">
        <f t="shared" si="135"/>
        <v>5.0516666666666659</v>
      </c>
      <c r="I48" s="98">
        <f t="shared" si="136"/>
        <v>11.5</v>
      </c>
      <c r="J48" s="98">
        <f t="shared" si="137"/>
        <v>80.499999999999986</v>
      </c>
      <c r="K48" s="98">
        <f t="shared" si="138"/>
        <v>348.56499999999994</v>
      </c>
      <c r="L48" s="599"/>
    </row>
    <row r="49" spans="1:12" x14ac:dyDescent="0.25">
      <c r="A49" s="596"/>
      <c r="B49" s="80" t="s">
        <v>197</v>
      </c>
      <c r="C49" s="80" t="s">
        <v>225</v>
      </c>
      <c r="D49" s="98">
        <v>1</v>
      </c>
      <c r="E49" s="98">
        <v>340</v>
      </c>
      <c r="F49" s="98">
        <v>0.5</v>
      </c>
      <c r="G49" s="98">
        <f>F49*1</f>
        <v>0.5</v>
      </c>
      <c r="H49" s="98">
        <f t="shared" si="135"/>
        <v>2.165</v>
      </c>
      <c r="I49" s="98">
        <f t="shared" si="136"/>
        <v>170</v>
      </c>
      <c r="J49" s="98">
        <f t="shared" si="137"/>
        <v>170</v>
      </c>
      <c r="K49" s="98">
        <f t="shared" si="138"/>
        <v>736.1</v>
      </c>
      <c r="L49" s="599"/>
    </row>
    <row r="50" spans="1:12" x14ac:dyDescent="0.25">
      <c r="A50" s="596"/>
      <c r="B50" s="80" t="s">
        <v>190</v>
      </c>
      <c r="C50" s="80" t="s">
        <v>227</v>
      </c>
      <c r="D50" s="98">
        <v>1</v>
      </c>
      <c r="E50" s="98">
        <v>3500</v>
      </c>
      <c r="F50" s="98">
        <f>15/60</f>
        <v>0.25</v>
      </c>
      <c r="G50" s="98">
        <f t="shared" si="169"/>
        <v>1.75</v>
      </c>
      <c r="H50" s="98">
        <f t="shared" si="135"/>
        <v>7.5775000000000006</v>
      </c>
      <c r="I50" s="98">
        <f t="shared" si="136"/>
        <v>875</v>
      </c>
      <c r="J50" s="98">
        <f t="shared" si="137"/>
        <v>6125</v>
      </c>
      <c r="K50" s="98">
        <f t="shared" si="138"/>
        <v>26521.250000000004</v>
      </c>
      <c r="L50" s="599"/>
    </row>
    <row r="51" spans="1:12" ht="15.75" thickBot="1" x14ac:dyDescent="0.3">
      <c r="A51" s="596"/>
      <c r="B51" s="80"/>
      <c r="C51" s="80" t="s">
        <v>212</v>
      </c>
      <c r="D51" s="98">
        <v>3</v>
      </c>
      <c r="E51" s="98">
        <v>23</v>
      </c>
      <c r="F51" s="98" t="s">
        <v>215</v>
      </c>
      <c r="G51" s="98"/>
      <c r="H51" s="98">
        <f t="shared" si="135"/>
        <v>0</v>
      </c>
      <c r="I51" s="98">
        <v>0</v>
      </c>
      <c r="J51" s="98">
        <f t="shared" si="137"/>
        <v>0</v>
      </c>
      <c r="K51" s="98">
        <f t="shared" si="138"/>
        <v>0</v>
      </c>
      <c r="L51" s="599"/>
    </row>
    <row r="52" spans="1:12" ht="15.75" thickBot="1" x14ac:dyDescent="0.3">
      <c r="A52" s="597"/>
      <c r="B52" s="86" t="s">
        <v>259</v>
      </c>
      <c r="C52" s="90"/>
      <c r="D52" s="99">
        <f t="shared" ref="D52:I52" si="170">SUM(D36:D51)</f>
        <v>29</v>
      </c>
      <c r="E52" s="99">
        <f t="shared" si="170"/>
        <v>5790</v>
      </c>
      <c r="F52" s="99">
        <f t="shared" si="170"/>
        <v>37.166666666666664</v>
      </c>
      <c r="G52" s="99">
        <f t="shared" si="170"/>
        <v>255.91666666666666</v>
      </c>
      <c r="H52" s="99">
        <f>SUM(H36:H50)</f>
        <v>1108.1191666666666</v>
      </c>
      <c r="I52" s="99">
        <f t="shared" si="170"/>
        <v>4626.5</v>
      </c>
      <c r="J52" s="99">
        <f>SUM(J36:J51)</f>
        <v>30365.5</v>
      </c>
      <c r="K52" s="99">
        <f>SUM(K36:K50)</f>
        <v>131482.61500000002</v>
      </c>
      <c r="L52" s="600"/>
    </row>
    <row r="53" spans="1:12" x14ac:dyDescent="0.25">
      <c r="A53" s="595" t="s">
        <v>198</v>
      </c>
      <c r="B53" s="80" t="s">
        <v>228</v>
      </c>
      <c r="C53" s="80" t="s">
        <v>204</v>
      </c>
      <c r="D53" s="98">
        <v>1</v>
      </c>
      <c r="E53" s="98">
        <v>145</v>
      </c>
      <c r="F53" s="98">
        <v>1</v>
      </c>
      <c r="G53" s="98">
        <f>F53*2</f>
        <v>2</v>
      </c>
      <c r="H53" s="98">
        <f>G53*4.3</f>
        <v>8.6</v>
      </c>
      <c r="I53" s="98">
        <f>D53*E53*F53</f>
        <v>145</v>
      </c>
      <c r="J53" s="98">
        <f>D53*E53*G53</f>
        <v>290</v>
      </c>
      <c r="K53" s="98">
        <f>D53*E53*H53</f>
        <v>1247</v>
      </c>
      <c r="L53" s="598">
        <f>K72/K79</f>
        <v>0.14245014767323541</v>
      </c>
    </row>
    <row r="54" spans="1:12" x14ac:dyDescent="0.25">
      <c r="A54" s="596"/>
      <c r="B54" s="80"/>
      <c r="C54" s="80" t="s">
        <v>229</v>
      </c>
      <c r="D54" s="98">
        <v>1</v>
      </c>
      <c r="E54" s="101">
        <v>20</v>
      </c>
      <c r="F54" s="98">
        <v>2</v>
      </c>
      <c r="G54" s="98">
        <f>F54*1</f>
        <v>2</v>
      </c>
      <c r="H54" s="98">
        <f t="shared" ref="H54:H71" si="171">G54*4.3</f>
        <v>8.6</v>
      </c>
      <c r="I54" s="98">
        <f t="shared" ref="I54:I71" si="172">D54*E54*F54</f>
        <v>40</v>
      </c>
      <c r="J54" s="98">
        <f t="shared" ref="J54:J71" si="173">D54*E54*G54</f>
        <v>40</v>
      </c>
      <c r="K54" s="98">
        <f t="shared" ref="K54:K71" si="174">D54*E54*H54</f>
        <v>172</v>
      </c>
      <c r="L54" s="599"/>
    </row>
    <row r="55" spans="1:12" x14ac:dyDescent="0.25">
      <c r="A55" s="596"/>
      <c r="B55" s="80"/>
      <c r="C55" s="80" t="s">
        <v>230</v>
      </c>
      <c r="D55" s="98">
        <v>1</v>
      </c>
      <c r="E55" s="98">
        <f>12*1.25</f>
        <v>15</v>
      </c>
      <c r="F55" s="98">
        <v>1</v>
      </c>
      <c r="G55" s="98">
        <f>F55*2</f>
        <v>2</v>
      </c>
      <c r="H55" s="98">
        <f t="shared" si="171"/>
        <v>8.6</v>
      </c>
      <c r="I55" s="98">
        <f t="shared" si="172"/>
        <v>15</v>
      </c>
      <c r="J55" s="98">
        <f t="shared" si="173"/>
        <v>30</v>
      </c>
      <c r="K55" s="98">
        <f t="shared" si="174"/>
        <v>129</v>
      </c>
      <c r="L55" s="599"/>
    </row>
    <row r="56" spans="1:12" x14ac:dyDescent="0.25">
      <c r="A56" s="596"/>
      <c r="B56" s="80"/>
      <c r="C56" s="80" t="s">
        <v>231</v>
      </c>
      <c r="D56" s="98">
        <v>1</v>
      </c>
      <c r="E56" s="98">
        <v>12</v>
      </c>
      <c r="F56" s="98">
        <v>5</v>
      </c>
      <c r="G56" s="98">
        <f>F56*3</f>
        <v>15</v>
      </c>
      <c r="H56" s="98">
        <f t="shared" si="171"/>
        <v>64.5</v>
      </c>
      <c r="I56" s="98">
        <f t="shared" si="172"/>
        <v>60</v>
      </c>
      <c r="J56" s="98">
        <f t="shared" si="173"/>
        <v>180</v>
      </c>
      <c r="K56" s="98">
        <f t="shared" si="174"/>
        <v>774</v>
      </c>
      <c r="L56" s="599"/>
    </row>
    <row r="57" spans="1:12" x14ac:dyDescent="0.25">
      <c r="A57" s="596"/>
      <c r="B57" s="80"/>
      <c r="C57" s="80" t="s">
        <v>238</v>
      </c>
      <c r="D57" s="98">
        <v>1</v>
      </c>
      <c r="E57" s="98">
        <v>200</v>
      </c>
      <c r="F57" s="98">
        <v>5</v>
      </c>
      <c r="G57" s="98">
        <f>F57*3</f>
        <v>15</v>
      </c>
      <c r="H57" s="98">
        <f t="shared" si="171"/>
        <v>64.5</v>
      </c>
      <c r="I57" s="98">
        <f t="shared" si="172"/>
        <v>1000</v>
      </c>
      <c r="J57" s="98">
        <f t="shared" si="173"/>
        <v>3000</v>
      </c>
      <c r="K57" s="98">
        <f t="shared" si="174"/>
        <v>12900</v>
      </c>
      <c r="L57" s="599"/>
    </row>
    <row r="58" spans="1:12" x14ac:dyDescent="0.25">
      <c r="A58" s="596"/>
      <c r="B58" s="80"/>
      <c r="C58" s="80" t="s">
        <v>209</v>
      </c>
      <c r="D58" s="98">
        <v>1</v>
      </c>
      <c r="E58" s="98">
        <v>15</v>
      </c>
      <c r="F58" s="98">
        <v>5</v>
      </c>
      <c r="G58" s="98">
        <f>F58*3</f>
        <v>15</v>
      </c>
      <c r="H58" s="98">
        <f t="shared" si="171"/>
        <v>64.5</v>
      </c>
      <c r="I58" s="98">
        <f t="shared" si="172"/>
        <v>75</v>
      </c>
      <c r="J58" s="98">
        <f t="shared" si="173"/>
        <v>225</v>
      </c>
      <c r="K58" s="98">
        <f t="shared" si="174"/>
        <v>967.5</v>
      </c>
      <c r="L58" s="599"/>
    </row>
    <row r="59" spans="1:12" x14ac:dyDescent="0.25">
      <c r="A59" s="596"/>
      <c r="B59" s="80"/>
      <c r="C59" s="80" t="s">
        <v>239</v>
      </c>
      <c r="D59" s="98">
        <v>1</v>
      </c>
      <c r="E59" s="98">
        <v>15</v>
      </c>
      <c r="F59" s="98">
        <v>5</v>
      </c>
      <c r="G59" s="98">
        <f>F59*3</f>
        <v>15</v>
      </c>
      <c r="H59" s="98">
        <f t="shared" si="171"/>
        <v>64.5</v>
      </c>
      <c r="I59" s="98">
        <f t="shared" si="172"/>
        <v>75</v>
      </c>
      <c r="J59" s="98">
        <f t="shared" si="173"/>
        <v>225</v>
      </c>
      <c r="K59" s="98">
        <f t="shared" si="174"/>
        <v>967.5</v>
      </c>
      <c r="L59" s="599"/>
    </row>
    <row r="60" spans="1:12" x14ac:dyDescent="0.25">
      <c r="A60" s="596"/>
      <c r="B60" s="80"/>
      <c r="C60" s="80" t="s">
        <v>232</v>
      </c>
      <c r="D60" s="98">
        <v>2</v>
      </c>
      <c r="E60" s="98"/>
      <c r="F60" s="98">
        <v>5</v>
      </c>
      <c r="G60" s="98">
        <f>F60*3</f>
        <v>15</v>
      </c>
      <c r="H60" s="98">
        <f t="shared" si="171"/>
        <v>64.5</v>
      </c>
      <c r="I60" s="98">
        <f t="shared" si="172"/>
        <v>0</v>
      </c>
      <c r="J60" s="98">
        <f t="shared" si="173"/>
        <v>0</v>
      </c>
      <c r="K60" s="98">
        <f t="shared" si="174"/>
        <v>0</v>
      </c>
      <c r="L60" s="599"/>
    </row>
    <row r="61" spans="1:12" x14ac:dyDescent="0.25">
      <c r="A61" s="596"/>
      <c r="B61" s="80"/>
      <c r="C61" s="80" t="s">
        <v>233</v>
      </c>
      <c r="D61" s="98">
        <v>1</v>
      </c>
      <c r="E61" s="98">
        <v>110</v>
      </c>
      <c r="F61" s="98">
        <v>0.1</v>
      </c>
      <c r="G61" s="98">
        <f t="shared" si="169"/>
        <v>0.70000000000000007</v>
      </c>
      <c r="H61" s="98">
        <f t="shared" si="171"/>
        <v>3.0100000000000002</v>
      </c>
      <c r="I61" s="98">
        <f t="shared" si="172"/>
        <v>11</v>
      </c>
      <c r="J61" s="98">
        <f t="shared" si="173"/>
        <v>77.000000000000014</v>
      </c>
      <c r="K61" s="98">
        <f t="shared" si="174"/>
        <v>331.1</v>
      </c>
      <c r="L61" s="599"/>
    </row>
    <row r="62" spans="1:12" x14ac:dyDescent="0.25">
      <c r="A62" s="596"/>
      <c r="B62" s="80"/>
      <c r="C62" s="80" t="s">
        <v>240</v>
      </c>
      <c r="D62" s="98">
        <v>1</v>
      </c>
      <c r="E62" s="98">
        <v>7</v>
      </c>
      <c r="F62" s="98">
        <v>5</v>
      </c>
      <c r="G62" s="98">
        <f t="shared" si="169"/>
        <v>35</v>
      </c>
      <c r="H62" s="98">
        <f t="shared" si="171"/>
        <v>150.5</v>
      </c>
      <c r="I62" s="98">
        <f t="shared" si="172"/>
        <v>35</v>
      </c>
      <c r="J62" s="98">
        <f t="shared" si="173"/>
        <v>245</v>
      </c>
      <c r="K62" s="98">
        <f t="shared" si="174"/>
        <v>1053.5</v>
      </c>
      <c r="L62" s="599"/>
    </row>
    <row r="63" spans="1:12" x14ac:dyDescent="0.25">
      <c r="A63" s="596"/>
      <c r="B63" s="80"/>
      <c r="C63" s="80" t="s">
        <v>235</v>
      </c>
      <c r="D63" s="98">
        <v>1</v>
      </c>
      <c r="E63" s="101">
        <v>150</v>
      </c>
      <c r="F63" s="98">
        <v>1</v>
      </c>
      <c r="G63" s="98">
        <f t="shared" si="169"/>
        <v>7</v>
      </c>
      <c r="H63" s="98">
        <f t="shared" si="171"/>
        <v>30.099999999999998</v>
      </c>
      <c r="I63" s="98">
        <f t="shared" si="172"/>
        <v>150</v>
      </c>
      <c r="J63" s="98">
        <f t="shared" si="173"/>
        <v>1050</v>
      </c>
      <c r="K63" s="98">
        <f t="shared" si="174"/>
        <v>4515</v>
      </c>
      <c r="L63" s="599"/>
    </row>
    <row r="64" spans="1:12" x14ac:dyDescent="0.25">
      <c r="A64" s="596"/>
      <c r="B64" s="80"/>
      <c r="C64" s="80" t="s">
        <v>205</v>
      </c>
      <c r="D64" s="98">
        <v>4</v>
      </c>
      <c r="E64" s="101">
        <v>28</v>
      </c>
      <c r="F64" s="98">
        <v>2</v>
      </c>
      <c r="G64" s="98">
        <f t="shared" si="169"/>
        <v>14</v>
      </c>
      <c r="H64" s="98">
        <f t="shared" si="171"/>
        <v>60.199999999999996</v>
      </c>
      <c r="I64" s="98">
        <f t="shared" si="172"/>
        <v>224</v>
      </c>
      <c r="J64" s="98">
        <f t="shared" si="173"/>
        <v>1568</v>
      </c>
      <c r="K64" s="98">
        <f t="shared" si="174"/>
        <v>6742.4</v>
      </c>
      <c r="L64" s="599"/>
    </row>
    <row r="65" spans="1:12" x14ac:dyDescent="0.25">
      <c r="A65" s="596"/>
      <c r="B65" s="80" t="s">
        <v>186</v>
      </c>
      <c r="C65" s="80" t="s">
        <v>236</v>
      </c>
      <c r="D65" s="98">
        <v>1</v>
      </c>
      <c r="E65" s="98">
        <v>350</v>
      </c>
      <c r="F65" s="98">
        <f>8.57/60</f>
        <v>0.14283333333333334</v>
      </c>
      <c r="G65" s="98">
        <f t="shared" si="169"/>
        <v>0.99983333333333335</v>
      </c>
      <c r="H65" s="98">
        <f t="shared" si="171"/>
        <v>4.2992833333333333</v>
      </c>
      <c r="I65" s="98">
        <f t="shared" si="172"/>
        <v>49.991666666666667</v>
      </c>
      <c r="J65" s="98">
        <f t="shared" si="173"/>
        <v>349.94166666666666</v>
      </c>
      <c r="K65" s="98">
        <f t="shared" si="174"/>
        <v>1504.7491666666667</v>
      </c>
      <c r="L65" s="599"/>
    </row>
    <row r="66" spans="1:12" x14ac:dyDescent="0.25">
      <c r="A66" s="596"/>
      <c r="B66" s="80"/>
      <c r="C66" s="80" t="s">
        <v>221</v>
      </c>
      <c r="D66" s="98">
        <v>1</v>
      </c>
      <c r="E66" s="98">
        <v>130</v>
      </c>
      <c r="F66" s="98">
        <v>8</v>
      </c>
      <c r="G66" s="98">
        <f t="shared" si="169"/>
        <v>56</v>
      </c>
      <c r="H66" s="98">
        <f t="shared" si="171"/>
        <v>240.79999999999998</v>
      </c>
      <c r="I66" s="98">
        <f t="shared" si="172"/>
        <v>1040</v>
      </c>
      <c r="J66" s="98">
        <f t="shared" si="173"/>
        <v>7280</v>
      </c>
      <c r="K66" s="98">
        <f t="shared" si="174"/>
        <v>31303.999999999996</v>
      </c>
      <c r="L66" s="599"/>
    </row>
    <row r="67" spans="1:12" x14ac:dyDescent="0.25">
      <c r="A67" s="596"/>
      <c r="B67" s="80"/>
      <c r="C67" s="80" t="s">
        <v>212</v>
      </c>
      <c r="D67" s="98">
        <v>1</v>
      </c>
      <c r="E67" s="98">
        <v>23</v>
      </c>
      <c r="F67" s="98">
        <v>2.5</v>
      </c>
      <c r="G67" s="98">
        <f t="shared" si="169"/>
        <v>17.5</v>
      </c>
      <c r="H67" s="98">
        <f t="shared" si="171"/>
        <v>75.25</v>
      </c>
      <c r="I67" s="98">
        <f t="shared" si="172"/>
        <v>57.5</v>
      </c>
      <c r="J67" s="98">
        <f t="shared" si="173"/>
        <v>402.5</v>
      </c>
      <c r="K67" s="98">
        <f t="shared" si="174"/>
        <v>1730.75</v>
      </c>
      <c r="L67" s="599"/>
    </row>
    <row r="68" spans="1:12" x14ac:dyDescent="0.25">
      <c r="A68" s="596"/>
      <c r="B68" s="80" t="s">
        <v>237</v>
      </c>
      <c r="C68" s="80" t="s">
        <v>204</v>
      </c>
      <c r="D68" s="98">
        <v>1</v>
      </c>
      <c r="E68" s="101">
        <v>120</v>
      </c>
      <c r="F68" s="98">
        <v>3</v>
      </c>
      <c r="G68" s="98">
        <f t="shared" si="169"/>
        <v>21</v>
      </c>
      <c r="H68" s="98">
        <f t="shared" si="171"/>
        <v>90.3</v>
      </c>
      <c r="I68" s="98">
        <f t="shared" si="172"/>
        <v>360</v>
      </c>
      <c r="J68" s="98">
        <f t="shared" si="173"/>
        <v>2520</v>
      </c>
      <c r="K68" s="98">
        <f t="shared" si="174"/>
        <v>10836</v>
      </c>
      <c r="L68" s="599"/>
    </row>
    <row r="69" spans="1:12" x14ac:dyDescent="0.25">
      <c r="A69" s="596"/>
      <c r="B69" s="80"/>
      <c r="C69" s="80" t="s">
        <v>205</v>
      </c>
      <c r="D69" s="98">
        <v>1</v>
      </c>
      <c r="E69" s="98">
        <v>28</v>
      </c>
      <c r="F69" s="98">
        <v>4</v>
      </c>
      <c r="G69" s="98">
        <f t="shared" si="169"/>
        <v>28</v>
      </c>
      <c r="H69" s="98">
        <f t="shared" si="171"/>
        <v>120.39999999999999</v>
      </c>
      <c r="I69" s="98">
        <f t="shared" si="172"/>
        <v>112</v>
      </c>
      <c r="J69" s="98">
        <f t="shared" si="173"/>
        <v>784</v>
      </c>
      <c r="K69" s="98">
        <f t="shared" si="174"/>
        <v>3371.2</v>
      </c>
      <c r="L69" s="599"/>
    </row>
    <row r="70" spans="1:12" x14ac:dyDescent="0.25">
      <c r="A70" s="596"/>
      <c r="B70" s="80" t="s">
        <v>190</v>
      </c>
      <c r="C70" s="80" t="s">
        <v>212</v>
      </c>
      <c r="D70" s="98">
        <v>1</v>
      </c>
      <c r="E70" s="98">
        <v>15</v>
      </c>
      <c r="F70" s="98">
        <v>1</v>
      </c>
      <c r="G70" s="98">
        <f t="shared" si="169"/>
        <v>7</v>
      </c>
      <c r="H70" s="98">
        <f t="shared" si="171"/>
        <v>30.099999999999998</v>
      </c>
      <c r="I70" s="98">
        <f t="shared" si="172"/>
        <v>15</v>
      </c>
      <c r="J70" s="98">
        <f t="shared" si="173"/>
        <v>105</v>
      </c>
      <c r="K70" s="98">
        <f t="shared" si="174"/>
        <v>451.49999999999994</v>
      </c>
      <c r="L70" s="599"/>
    </row>
    <row r="71" spans="1:12" ht="15.75" thickBot="1" x14ac:dyDescent="0.3">
      <c r="A71" s="596"/>
      <c r="B71" s="80" t="s">
        <v>193</v>
      </c>
      <c r="C71" s="80" t="s">
        <v>263</v>
      </c>
      <c r="D71" s="98">
        <v>1</v>
      </c>
      <c r="E71" s="98">
        <v>100</v>
      </c>
      <c r="F71" s="98">
        <v>1</v>
      </c>
      <c r="G71" s="98">
        <f>F71*7</f>
        <v>7</v>
      </c>
      <c r="H71" s="98">
        <f t="shared" si="171"/>
        <v>30.099999999999998</v>
      </c>
      <c r="I71" s="98">
        <f t="shared" si="172"/>
        <v>100</v>
      </c>
      <c r="J71" s="98">
        <f t="shared" si="173"/>
        <v>700</v>
      </c>
      <c r="K71" s="98">
        <f t="shared" si="174"/>
        <v>3010</v>
      </c>
      <c r="L71" s="599"/>
    </row>
    <row r="72" spans="1:12" ht="15.75" thickBot="1" x14ac:dyDescent="0.3">
      <c r="A72" s="597"/>
      <c r="B72" s="86" t="s">
        <v>259</v>
      </c>
      <c r="C72" s="90"/>
      <c r="D72" s="99">
        <f t="shared" ref="D72:I72" si="175">SUM(D53:D71)</f>
        <v>23</v>
      </c>
      <c r="E72" s="99">
        <f t="shared" si="175"/>
        <v>1483</v>
      </c>
      <c r="F72" s="99">
        <f t="shared" si="175"/>
        <v>56.742833333333337</v>
      </c>
      <c r="G72" s="99">
        <f t="shared" si="175"/>
        <v>275.19983333333334</v>
      </c>
      <c r="H72" s="99">
        <f>SUM(H53:H71)</f>
        <v>1183.359283333333</v>
      </c>
      <c r="I72" s="99">
        <f t="shared" si="175"/>
        <v>3564.4916666666668</v>
      </c>
      <c r="J72" s="99">
        <f>SUM(J53:J71)</f>
        <v>19071.441666666666</v>
      </c>
      <c r="K72" s="99">
        <f>SUM(K53:K71)</f>
        <v>82007.199166666658</v>
      </c>
      <c r="L72" s="600"/>
    </row>
    <row r="73" spans="1:12" x14ac:dyDescent="0.25">
      <c r="A73" s="595" t="s">
        <v>200</v>
      </c>
      <c r="B73" s="80" t="s">
        <v>191</v>
      </c>
      <c r="C73" s="80" t="s">
        <v>235</v>
      </c>
      <c r="D73" s="98">
        <v>1</v>
      </c>
      <c r="E73" s="101">
        <v>30</v>
      </c>
      <c r="F73" s="98">
        <v>4</v>
      </c>
      <c r="G73" s="98">
        <f t="shared" si="169"/>
        <v>28</v>
      </c>
      <c r="H73" s="98">
        <f>G73*4.33</f>
        <v>121.24000000000001</v>
      </c>
      <c r="I73" s="98">
        <f t="shared" ref="I73" si="176">D73*E73*F73</f>
        <v>120</v>
      </c>
      <c r="J73" s="98">
        <f t="shared" ref="J73" si="177">D73*E73*G73</f>
        <v>840</v>
      </c>
      <c r="K73" s="98">
        <f t="shared" ref="K73" si="178">D73*E73*H73</f>
        <v>3637.2000000000003</v>
      </c>
      <c r="L73" s="598">
        <f>K77/K79</f>
        <v>0.43278149044440045</v>
      </c>
    </row>
    <row r="74" spans="1:12" x14ac:dyDescent="0.25">
      <c r="A74" s="596"/>
      <c r="B74" s="80"/>
      <c r="C74" s="80" t="s">
        <v>234</v>
      </c>
      <c r="D74" s="98">
        <v>1</v>
      </c>
      <c r="E74" s="101">
        <v>80</v>
      </c>
      <c r="F74" s="98">
        <v>3</v>
      </c>
      <c r="G74" s="98">
        <f t="shared" si="169"/>
        <v>21</v>
      </c>
      <c r="H74" s="98">
        <f t="shared" ref="H74:H76" si="179">G74*4.33</f>
        <v>90.93</v>
      </c>
      <c r="I74" s="98">
        <f t="shared" ref="I74:I76" si="180">D74*E74*F74</f>
        <v>240</v>
      </c>
      <c r="J74" s="98">
        <f t="shared" ref="J74:J76" si="181">D74*E74*G74</f>
        <v>1680</v>
      </c>
      <c r="K74" s="98">
        <f t="shared" ref="K74:K76" si="182">D74*E74*H74</f>
        <v>7274.4000000000005</v>
      </c>
      <c r="L74" s="599"/>
    </row>
    <row r="75" spans="1:12" x14ac:dyDescent="0.25">
      <c r="A75" s="596"/>
      <c r="B75" s="80"/>
      <c r="C75" s="80" t="s">
        <v>242</v>
      </c>
      <c r="D75" s="98">
        <v>40</v>
      </c>
      <c r="E75" s="101">
        <v>28</v>
      </c>
      <c r="F75" s="98">
        <v>3</v>
      </c>
      <c r="G75" s="98">
        <f t="shared" si="169"/>
        <v>21</v>
      </c>
      <c r="H75" s="98">
        <f t="shared" si="179"/>
        <v>90.93</v>
      </c>
      <c r="I75" s="98">
        <f t="shared" si="180"/>
        <v>3360</v>
      </c>
      <c r="J75" s="98">
        <f t="shared" si="181"/>
        <v>23520</v>
      </c>
      <c r="K75" s="98">
        <f t="shared" si="182"/>
        <v>101841.60000000001</v>
      </c>
      <c r="L75" s="599"/>
    </row>
    <row r="76" spans="1:12" ht="15.75" thickBot="1" x14ac:dyDescent="0.3">
      <c r="A76" s="596"/>
      <c r="B76" s="81" t="s">
        <v>186</v>
      </c>
      <c r="C76" s="81" t="s">
        <v>241</v>
      </c>
      <c r="D76" s="103">
        <v>1</v>
      </c>
      <c r="E76" s="454">
        <v>4500</v>
      </c>
      <c r="F76" s="103">
        <v>1</v>
      </c>
      <c r="G76" s="103">
        <f t="shared" si="169"/>
        <v>7</v>
      </c>
      <c r="H76" s="98">
        <f t="shared" si="179"/>
        <v>30.310000000000002</v>
      </c>
      <c r="I76" s="98">
        <f t="shared" si="180"/>
        <v>4500</v>
      </c>
      <c r="J76" s="98">
        <f t="shared" si="181"/>
        <v>31500</v>
      </c>
      <c r="K76" s="98">
        <f t="shared" si="182"/>
        <v>136395</v>
      </c>
      <c r="L76" s="599"/>
    </row>
    <row r="77" spans="1:12" ht="30" customHeight="1" thickBot="1" x14ac:dyDescent="0.3">
      <c r="A77" s="597"/>
      <c r="B77" s="86" t="s">
        <v>259</v>
      </c>
      <c r="C77" s="88"/>
      <c r="D77" s="104">
        <f t="shared" ref="D77:I77" si="183">SUM(D73:D76)</f>
        <v>43</v>
      </c>
      <c r="E77" s="104">
        <f t="shared" si="183"/>
        <v>4638</v>
      </c>
      <c r="F77" s="104">
        <f t="shared" si="183"/>
        <v>11</v>
      </c>
      <c r="G77" s="104">
        <f t="shared" si="183"/>
        <v>77</v>
      </c>
      <c r="H77" s="99">
        <f>SUM(H73:H76)</f>
        <v>333.41</v>
      </c>
      <c r="I77" s="99">
        <f t="shared" si="183"/>
        <v>8220</v>
      </c>
      <c r="J77" s="118">
        <f>SUM(J73:J76)</f>
        <v>57540</v>
      </c>
      <c r="K77" s="118">
        <f>SUM(K73:K76)</f>
        <v>249148.2</v>
      </c>
      <c r="L77" s="600"/>
    </row>
    <row r="78" spans="1:12" ht="30.75" thickBot="1" x14ac:dyDescent="0.3">
      <c r="A78" s="84" t="s">
        <v>201</v>
      </c>
      <c r="B78" s="85" t="s">
        <v>189</v>
      </c>
      <c r="C78" s="80"/>
      <c r="D78" s="103"/>
      <c r="E78" s="103"/>
      <c r="F78" s="103"/>
      <c r="G78" s="103">
        <f t="shared" si="169"/>
        <v>0</v>
      </c>
      <c r="H78" s="103">
        <f>G78*4.33</f>
        <v>0</v>
      </c>
      <c r="I78" s="98">
        <f t="shared" ref="I78" si="184">D78*E78*F78</f>
        <v>0</v>
      </c>
      <c r="J78" s="98">
        <f t="shared" ref="J78" si="185">D78*E78*G78</f>
        <v>0</v>
      </c>
      <c r="K78" s="98">
        <f t="shared" ref="K78" si="186">D78*E78*H78</f>
        <v>0</v>
      </c>
      <c r="L78" s="120"/>
    </row>
    <row r="79" spans="1:12" ht="15.75" thickBot="1" x14ac:dyDescent="0.3">
      <c r="B79" s="593" t="s">
        <v>158</v>
      </c>
      <c r="C79" s="594"/>
      <c r="D79" s="105">
        <f>D12+D34+D52+D72+D77</f>
        <v>173</v>
      </c>
      <c r="E79" s="105">
        <f>E12+E34+E52+E72+E77</f>
        <v>13992.24</v>
      </c>
      <c r="F79" s="105">
        <f>F12+F34+F52+F72+F77</f>
        <v>157.55028492935639</v>
      </c>
      <c r="G79" s="105">
        <f>G12+G34+G52+G72+G77</f>
        <v>920.32199450549444</v>
      </c>
      <c r="H79" s="105">
        <f>SUM(H78)</f>
        <v>0</v>
      </c>
      <c r="I79" s="105">
        <f>I12+I34+I52+I72+I77</f>
        <v>21276.88322475144</v>
      </c>
      <c r="J79" s="105">
        <f>J12+J34+J52+J72+J77</f>
        <v>132952.62757326005</v>
      </c>
      <c r="K79" s="105">
        <f>K12+K34+K52+K72+K77</f>
        <v>575690.51704166667</v>
      </c>
      <c r="L79" s="121">
        <f>SUM(L3:L34,L36:L78)</f>
        <v>1</v>
      </c>
    </row>
    <row r="80" spans="1:12" x14ac:dyDescent="0.25">
      <c r="D80" s="106"/>
      <c r="E80" s="106"/>
      <c r="F80" s="106"/>
      <c r="G80" s="106"/>
      <c r="H80" s="106"/>
      <c r="I80" s="106"/>
      <c r="J80" s="106">
        <f>J79/1000</f>
        <v>132.95262757326006</v>
      </c>
      <c r="K80" s="106">
        <f>K79/1000</f>
        <v>575.69051704166668</v>
      </c>
    </row>
    <row r="84" spans="2:5" x14ac:dyDescent="0.25">
      <c r="B84" t="s">
        <v>256</v>
      </c>
      <c r="C84" t="s">
        <v>249</v>
      </c>
    </row>
    <row r="85" spans="2:5" x14ac:dyDescent="0.25">
      <c r="B85" t="s">
        <v>247</v>
      </c>
      <c r="C85" s="78" t="s">
        <v>244</v>
      </c>
      <c r="D85" s="78" t="s">
        <v>245</v>
      </c>
      <c r="E85" s="78" t="s">
        <v>246</v>
      </c>
    </row>
    <row r="86" spans="2:5" x14ac:dyDescent="0.25">
      <c r="B86" t="s">
        <v>226</v>
      </c>
      <c r="C86" s="78" t="s">
        <v>254</v>
      </c>
    </row>
    <row r="87" spans="2:5" x14ac:dyDescent="0.25">
      <c r="B87" t="s">
        <v>252</v>
      </c>
      <c r="C87" t="s">
        <v>253</v>
      </c>
    </row>
    <row r="88" spans="2:5" x14ac:dyDescent="0.25">
      <c r="B88" t="s">
        <v>257</v>
      </c>
      <c r="C88" s="78" t="s">
        <v>243</v>
      </c>
      <c r="D88" t="s">
        <v>260</v>
      </c>
    </row>
  </sheetData>
  <mergeCells count="61">
    <mergeCell ref="BY42:BZ42"/>
    <mergeCell ref="BY41:BZ41"/>
    <mergeCell ref="BY43:BZ43"/>
    <mergeCell ref="BX31:BX36"/>
    <mergeCell ref="BX37:BX38"/>
    <mergeCell ref="BY39:BZ39"/>
    <mergeCell ref="BX2:BY2"/>
    <mergeCell ref="BX3:BX10"/>
    <mergeCell ref="BX11:BX21"/>
    <mergeCell ref="BX22:BY22"/>
    <mergeCell ref="BX23:BX30"/>
    <mergeCell ref="AQ31:AQ36"/>
    <mergeCell ref="AQ37:AQ38"/>
    <mergeCell ref="AR39:AS39"/>
    <mergeCell ref="AC37:AC38"/>
    <mergeCell ref="AC2:AD2"/>
    <mergeCell ref="AC3:AC10"/>
    <mergeCell ref="AC11:AC21"/>
    <mergeCell ref="AC22:AD22"/>
    <mergeCell ref="AC23:AC30"/>
    <mergeCell ref="AC31:AC36"/>
    <mergeCell ref="AQ2:AR2"/>
    <mergeCell ref="AQ3:AQ10"/>
    <mergeCell ref="AQ11:AQ21"/>
    <mergeCell ref="AQ22:AR22"/>
    <mergeCell ref="AQ23:AQ30"/>
    <mergeCell ref="A73:A77"/>
    <mergeCell ref="A53:A72"/>
    <mergeCell ref="A3:A12"/>
    <mergeCell ref="Z3:Z10"/>
    <mergeCell ref="Z11:Z21"/>
    <mergeCell ref="Z23:Z30"/>
    <mergeCell ref="Z31:Z36"/>
    <mergeCell ref="O11:O21"/>
    <mergeCell ref="O22:P22"/>
    <mergeCell ref="A36:A52"/>
    <mergeCell ref="A35:B35"/>
    <mergeCell ref="Z37:Z38"/>
    <mergeCell ref="O23:O30"/>
    <mergeCell ref="P3:P4"/>
    <mergeCell ref="A1:L1"/>
    <mergeCell ref="L3:L12"/>
    <mergeCell ref="L13:L34"/>
    <mergeCell ref="L36:L52"/>
    <mergeCell ref="A2:B2"/>
    <mergeCell ref="O1:Z1"/>
    <mergeCell ref="O2:P2"/>
    <mergeCell ref="AC1:AN1"/>
    <mergeCell ref="B79:C79"/>
    <mergeCell ref="P39:Q39"/>
    <mergeCell ref="O3:O10"/>
    <mergeCell ref="O31:O36"/>
    <mergeCell ref="O37:O38"/>
    <mergeCell ref="L53:L72"/>
    <mergeCell ref="L73:L77"/>
    <mergeCell ref="AD39:AE39"/>
    <mergeCell ref="AN23:AN30"/>
    <mergeCell ref="AN31:AN36"/>
    <mergeCell ref="AN37:AN38"/>
    <mergeCell ref="AN3:AN10"/>
    <mergeCell ref="AN11:AN21"/>
  </mergeCells>
  <hyperlinks>
    <hyperlink ref="C88" r:id="rId1" xr:uid="{00000000-0004-0000-0600-000000000000}"/>
    <hyperlink ref="C85" r:id="rId2" location="product_section_description" xr:uid="{00000000-0004-0000-0600-000001000000}"/>
    <hyperlink ref="D85" r:id="rId3" xr:uid="{00000000-0004-0000-0600-000002000000}"/>
    <hyperlink ref="E85" r:id="rId4" xr:uid="{00000000-0004-0000-0600-000003000000}"/>
    <hyperlink ref="C86" r:id="rId5" xr:uid="{00000000-0004-0000-0600-000004000000}"/>
  </hyperlinks>
  <pageMargins left="0.7" right="0.7" top="0.75" bottom="0.75" header="0.3" footer="0.3"/>
  <pageSetup orientation="portrait" r:id="rId6"/>
  <ignoredErrors>
    <ignoredError sqref="V10:Y10 U30:Y30 V18:V20 V38 U7 U36:Y36 U31:V31 U32:V35" formula="1"/>
    <ignoredError sqref="BU3:BU9 BU11:BU20 BU23:BU29 BU31:BU35 BU37" formulaRange="1"/>
  </ignoredErrors>
  <drawing r:id="rId7"/>
  <legacy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DA117"/>
  <sheetViews>
    <sheetView topLeftCell="A14" zoomScale="70" zoomScaleNormal="70" zoomScaleSheetLayoutView="50" workbookViewId="0">
      <selection activeCell="EJ1" sqref="EJ1"/>
    </sheetView>
  </sheetViews>
  <sheetFormatPr baseColWidth="10" defaultRowHeight="15" x14ac:dyDescent="0.25"/>
  <cols>
    <col min="2" max="2" width="17.5703125" customWidth="1"/>
    <col min="3" max="3" width="22.5703125" customWidth="1"/>
    <col min="6" max="6" width="12.7109375" customWidth="1"/>
    <col min="7" max="8" width="13.140625" customWidth="1"/>
    <col min="9" max="9" width="12.7109375" customWidth="1"/>
    <col min="10" max="10" width="13.85546875" customWidth="1"/>
    <col min="11" max="11" width="13.28515625" customWidth="1"/>
    <col min="12" max="12" width="13.7109375" customWidth="1"/>
    <col min="16" max="16" width="17.42578125" customWidth="1"/>
    <col min="17" max="17" width="22.42578125" customWidth="1"/>
    <col min="19" max="19" width="12.5703125" customWidth="1"/>
    <col min="20" max="20" width="8" customWidth="1"/>
    <col min="21" max="21" width="8.5703125" customWidth="1"/>
    <col min="22" max="22" width="9" customWidth="1"/>
    <col min="23" max="23" width="10.7109375" customWidth="1"/>
    <col min="24" max="24" width="15.42578125" customWidth="1"/>
    <col min="25" max="25" width="13.85546875" customWidth="1"/>
    <col min="26" max="26" width="11.42578125" style="123"/>
    <col min="30" max="30" width="20.28515625" customWidth="1"/>
    <col min="31" max="31" width="22.7109375" customWidth="1"/>
    <col min="38" max="38" width="14.28515625" customWidth="1"/>
    <col min="39" max="39" width="13" customWidth="1"/>
    <col min="40" max="40" width="11.42578125" style="123"/>
    <col min="49" max="50" width="14.42578125" bestFit="1" customWidth="1"/>
  </cols>
  <sheetData>
    <row r="1" spans="1:105" ht="15.75" thickBot="1" x14ac:dyDescent="0.3">
      <c r="A1" s="603" t="s">
        <v>276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O1" s="588" t="s">
        <v>258</v>
      </c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90"/>
      <c r="AC1" s="588" t="s">
        <v>275</v>
      </c>
      <c r="AD1" s="589"/>
      <c r="AE1" s="589"/>
      <c r="AF1" s="589"/>
      <c r="AG1" s="589"/>
      <c r="AH1" s="589"/>
      <c r="AI1" s="589"/>
      <c r="AJ1" s="589"/>
      <c r="AK1" s="589"/>
      <c r="AL1" s="589"/>
      <c r="AM1" s="589"/>
      <c r="AN1" s="590"/>
    </row>
    <row r="2" spans="1:105" ht="72.75" customHeight="1" thickBot="1" x14ac:dyDescent="0.3">
      <c r="A2" s="591" t="s">
        <v>179</v>
      </c>
      <c r="B2" s="592"/>
      <c r="C2" s="190" t="s">
        <v>180</v>
      </c>
      <c r="D2" s="190" t="s">
        <v>181</v>
      </c>
      <c r="E2" s="190" t="s">
        <v>267</v>
      </c>
      <c r="F2" s="190" t="s">
        <v>182</v>
      </c>
      <c r="G2" s="190" t="s">
        <v>183</v>
      </c>
      <c r="H2" s="190" t="s">
        <v>271</v>
      </c>
      <c r="I2" s="190" t="s">
        <v>270</v>
      </c>
      <c r="J2" s="190" t="s">
        <v>273</v>
      </c>
      <c r="K2" s="190" t="s">
        <v>272</v>
      </c>
      <c r="L2" s="190" t="s">
        <v>277</v>
      </c>
      <c r="O2" s="591" t="s">
        <v>179</v>
      </c>
      <c r="P2" s="592"/>
      <c r="Q2" s="190" t="s">
        <v>180</v>
      </c>
      <c r="R2" s="190" t="s">
        <v>181</v>
      </c>
      <c r="S2" s="190" t="s">
        <v>267</v>
      </c>
      <c r="T2" s="190" t="s">
        <v>182</v>
      </c>
      <c r="U2" s="190" t="s">
        <v>183</v>
      </c>
      <c r="V2" s="190" t="s">
        <v>271</v>
      </c>
      <c r="W2" s="190" t="s">
        <v>316</v>
      </c>
      <c r="X2" s="190" t="s">
        <v>317</v>
      </c>
      <c r="Y2" s="122" t="s">
        <v>318</v>
      </c>
      <c r="Z2" s="124" t="s">
        <v>277</v>
      </c>
      <c r="AC2" s="591" t="s">
        <v>179</v>
      </c>
      <c r="AD2" s="592"/>
      <c r="AE2" s="190" t="s">
        <v>180</v>
      </c>
      <c r="AF2" s="190" t="s">
        <v>181</v>
      </c>
      <c r="AG2" s="190" t="s">
        <v>267</v>
      </c>
      <c r="AH2" s="190" t="s">
        <v>182</v>
      </c>
      <c r="AI2" s="190" t="s">
        <v>183</v>
      </c>
      <c r="AJ2" s="190" t="s">
        <v>271</v>
      </c>
      <c r="AK2" s="190" t="s">
        <v>316</v>
      </c>
      <c r="AL2" s="190" t="s">
        <v>317</v>
      </c>
      <c r="AM2" s="122" t="s">
        <v>318</v>
      </c>
      <c r="AN2" s="124" t="s">
        <v>277</v>
      </c>
      <c r="AQ2" s="591" t="s">
        <v>179</v>
      </c>
      <c r="AR2" s="592"/>
      <c r="AS2" s="190" t="s">
        <v>180</v>
      </c>
      <c r="AT2" s="190" t="s">
        <v>181</v>
      </c>
      <c r="AU2" s="122" t="s">
        <v>267</v>
      </c>
      <c r="AV2" s="151" t="s">
        <v>316</v>
      </c>
      <c r="AW2" s="152" t="s">
        <v>291</v>
      </c>
      <c r="AX2" s="152" t="s">
        <v>292</v>
      </c>
      <c r="AY2" s="152" t="s">
        <v>293</v>
      </c>
      <c r="AZ2" s="152" t="s">
        <v>294</v>
      </c>
      <c r="BA2" s="152" t="s">
        <v>295</v>
      </c>
      <c r="BB2" s="152" t="s">
        <v>296</v>
      </c>
      <c r="BC2" s="152" t="s">
        <v>297</v>
      </c>
      <c r="BD2" s="152" t="s">
        <v>298</v>
      </c>
      <c r="BE2" s="152" t="s">
        <v>299</v>
      </c>
      <c r="BF2" s="152" t="s">
        <v>300</v>
      </c>
      <c r="BG2" s="152" t="s">
        <v>301</v>
      </c>
      <c r="BH2" s="152" t="s">
        <v>302</v>
      </c>
      <c r="BI2" s="152" t="s">
        <v>303</v>
      </c>
      <c r="BJ2" s="152" t="s">
        <v>304</v>
      </c>
      <c r="BK2" s="152" t="s">
        <v>305</v>
      </c>
      <c r="BL2" s="152" t="s">
        <v>306</v>
      </c>
      <c r="BM2" s="152" t="s">
        <v>307</v>
      </c>
      <c r="BN2" s="152" t="s">
        <v>308</v>
      </c>
      <c r="BO2" s="152" t="s">
        <v>309</v>
      </c>
      <c r="BP2" s="152" t="s">
        <v>310</v>
      </c>
      <c r="BQ2" s="152" t="s">
        <v>311</v>
      </c>
      <c r="BR2" s="152" t="s">
        <v>312</v>
      </c>
      <c r="BS2" s="152" t="s">
        <v>313</v>
      </c>
      <c r="BT2" s="161" t="s">
        <v>314</v>
      </c>
      <c r="BU2" s="162" t="s">
        <v>315</v>
      </c>
      <c r="BX2" s="591" t="s">
        <v>179</v>
      </c>
      <c r="BY2" s="592"/>
      <c r="BZ2" s="190" t="s">
        <v>180</v>
      </c>
      <c r="CA2" s="190" t="s">
        <v>181</v>
      </c>
      <c r="CB2" s="122" t="s">
        <v>267</v>
      </c>
      <c r="CC2" s="162" t="s">
        <v>348</v>
      </c>
      <c r="CD2" s="152" t="s">
        <v>349</v>
      </c>
      <c r="CE2" s="152" t="s">
        <v>350</v>
      </c>
      <c r="CF2" s="152" t="s">
        <v>351</v>
      </c>
      <c r="CG2" s="152" t="s">
        <v>352</v>
      </c>
      <c r="CH2" s="152" t="s">
        <v>353</v>
      </c>
      <c r="CI2" s="152" t="s">
        <v>354</v>
      </c>
      <c r="CJ2" s="152" t="s">
        <v>355</v>
      </c>
      <c r="CK2" s="152" t="s">
        <v>356</v>
      </c>
      <c r="CL2" s="152" t="s">
        <v>357</v>
      </c>
      <c r="CM2" s="152" t="s">
        <v>358</v>
      </c>
      <c r="CN2" s="152" t="s">
        <v>359</v>
      </c>
      <c r="CO2" s="152" t="s">
        <v>360</v>
      </c>
      <c r="CP2" s="152" t="s">
        <v>361</v>
      </c>
      <c r="CQ2" s="152" t="s">
        <v>362</v>
      </c>
      <c r="CR2" s="152" t="s">
        <v>363</v>
      </c>
      <c r="CS2" s="152" t="s">
        <v>364</v>
      </c>
      <c r="CT2" s="152" t="s">
        <v>365</v>
      </c>
      <c r="CU2" s="152" t="s">
        <v>366</v>
      </c>
      <c r="CV2" s="152" t="s">
        <v>367</v>
      </c>
      <c r="CW2" s="152" t="s">
        <v>368</v>
      </c>
      <c r="CX2" s="152" t="s">
        <v>369</v>
      </c>
      <c r="CY2" s="152" t="s">
        <v>370</v>
      </c>
      <c r="CZ2" s="161" t="s">
        <v>371</v>
      </c>
      <c r="DA2" s="162" t="s">
        <v>315</v>
      </c>
    </row>
    <row r="3" spans="1:105" ht="17.25" x14ac:dyDescent="0.3">
      <c r="A3" s="595" t="s">
        <v>195</v>
      </c>
      <c r="B3" s="80" t="s">
        <v>261</v>
      </c>
      <c r="C3" s="80" t="s">
        <v>211</v>
      </c>
      <c r="D3" s="98">
        <v>1</v>
      </c>
      <c r="E3" s="98"/>
      <c r="F3" s="98">
        <v>0</v>
      </c>
      <c r="G3" s="98">
        <f>F3*7</f>
        <v>0</v>
      </c>
      <c r="H3" s="98">
        <f>G3*4.33</f>
        <v>0</v>
      </c>
      <c r="I3" s="98">
        <f>D3*E3*F3</f>
        <v>0</v>
      </c>
      <c r="J3" s="98">
        <f>D3*E3*G3</f>
        <v>0</v>
      </c>
      <c r="K3" s="98">
        <f>D3*E3*H3</f>
        <v>0</v>
      </c>
      <c r="L3" s="598">
        <f>K12/K79</f>
        <v>4.6339359795411046E-2</v>
      </c>
      <c r="O3" s="114" t="s">
        <v>195</v>
      </c>
      <c r="P3" s="192" t="s">
        <v>261</v>
      </c>
      <c r="Q3" s="80" t="s">
        <v>251</v>
      </c>
      <c r="R3" s="134">
        <v>2</v>
      </c>
      <c r="S3" s="134">
        <v>17</v>
      </c>
      <c r="T3" s="134">
        <v>6</v>
      </c>
      <c r="U3" s="134">
        <f>T3*7</f>
        <v>42</v>
      </c>
      <c r="V3" s="134">
        <f t="shared" ref="V3:V8" si="0">U3*4.33</f>
        <v>181.86</v>
      </c>
      <c r="W3" s="168">
        <f t="shared" ref="W3:W8" si="1">(R3*S3*T3)</f>
        <v>204</v>
      </c>
      <c r="X3" s="168">
        <f>(R3*S3*U3)</f>
        <v>1428</v>
      </c>
      <c r="Y3" s="169">
        <f>(R3*S3*V3)</f>
        <v>6183.2400000000007</v>
      </c>
      <c r="Z3" s="605">
        <f>Y9/Y38</f>
        <v>0.21481909550100559</v>
      </c>
      <c r="AC3" s="595" t="s">
        <v>195</v>
      </c>
      <c r="AD3" s="80" t="s">
        <v>261</v>
      </c>
      <c r="AE3" s="80" t="s">
        <v>211</v>
      </c>
      <c r="AF3" s="98">
        <v>1</v>
      </c>
      <c r="AG3" s="98"/>
      <c r="AH3" s="98">
        <v>0</v>
      </c>
      <c r="AI3" s="98">
        <f>AH3*7</f>
        <v>0</v>
      </c>
      <c r="AJ3" s="98">
        <f>AI3*4.33</f>
        <v>0</v>
      </c>
      <c r="AK3" s="98">
        <f>AF3*AG3*AH3</f>
        <v>0</v>
      </c>
      <c r="AL3" s="98">
        <f>AF3*AG3*AI3</f>
        <v>0</v>
      </c>
      <c r="AM3" s="98">
        <f>AF3*AG3*AJ3</f>
        <v>0</v>
      </c>
      <c r="AN3" s="598">
        <f>AM10/AM39</f>
        <v>0.34462773230108829</v>
      </c>
      <c r="AQ3" s="595" t="s">
        <v>195</v>
      </c>
      <c r="AR3" s="80" t="s">
        <v>261</v>
      </c>
      <c r="AS3" s="80" t="s">
        <v>211</v>
      </c>
      <c r="AT3" s="134">
        <v>1</v>
      </c>
      <c r="AU3" s="135"/>
      <c r="AV3" s="139">
        <v>0</v>
      </c>
      <c r="AW3" s="155">
        <v>0</v>
      </c>
      <c r="AX3" s="155">
        <v>0</v>
      </c>
      <c r="AY3" s="155">
        <v>0</v>
      </c>
      <c r="AZ3" s="155">
        <v>0</v>
      </c>
      <c r="BA3" s="155">
        <v>0</v>
      </c>
      <c r="BB3" s="155">
        <v>0</v>
      </c>
      <c r="BC3" s="155">
        <v>0</v>
      </c>
      <c r="BD3" s="155">
        <v>0</v>
      </c>
      <c r="BE3" s="155">
        <v>0</v>
      </c>
      <c r="BF3" s="155">
        <v>0</v>
      </c>
      <c r="BG3" s="155">
        <v>0</v>
      </c>
      <c r="BH3" s="155">
        <v>0</v>
      </c>
      <c r="BI3" s="155">
        <v>0</v>
      </c>
      <c r="BJ3" s="155">
        <v>0</v>
      </c>
      <c r="BK3" s="155">
        <v>0</v>
      </c>
      <c r="BL3" s="155">
        <v>0</v>
      </c>
      <c r="BM3" s="155">
        <v>0</v>
      </c>
      <c r="BN3" s="155">
        <v>0</v>
      </c>
      <c r="BO3" s="155">
        <v>0</v>
      </c>
      <c r="BP3" s="155">
        <v>0</v>
      </c>
      <c r="BQ3" s="155">
        <v>0</v>
      </c>
      <c r="BR3" s="155">
        <v>0</v>
      </c>
      <c r="BS3" s="155">
        <v>0</v>
      </c>
      <c r="BT3" s="155">
        <v>0</v>
      </c>
      <c r="BU3" s="102">
        <f>SUM(AW3:BT3)</f>
        <v>0</v>
      </c>
      <c r="BX3" s="595" t="s">
        <v>195</v>
      </c>
      <c r="BY3" s="80" t="s">
        <v>261</v>
      </c>
      <c r="BZ3" s="80" t="s">
        <v>211</v>
      </c>
      <c r="CA3" s="134">
        <v>1</v>
      </c>
      <c r="CB3" s="135"/>
      <c r="CC3" s="165">
        <f t="shared" ref="CC3:CZ3" si="2">$CA$3*$CB$3*AW3</f>
        <v>0</v>
      </c>
      <c r="CD3" s="155">
        <f t="shared" si="2"/>
        <v>0</v>
      </c>
      <c r="CE3" s="155">
        <f t="shared" si="2"/>
        <v>0</v>
      </c>
      <c r="CF3" s="155">
        <f t="shared" si="2"/>
        <v>0</v>
      </c>
      <c r="CG3" s="155">
        <f t="shared" si="2"/>
        <v>0</v>
      </c>
      <c r="CH3" s="155">
        <f t="shared" si="2"/>
        <v>0</v>
      </c>
      <c r="CI3" s="155">
        <f t="shared" si="2"/>
        <v>0</v>
      </c>
      <c r="CJ3" s="155">
        <f t="shared" si="2"/>
        <v>0</v>
      </c>
      <c r="CK3" s="155">
        <f t="shared" si="2"/>
        <v>0</v>
      </c>
      <c r="CL3" s="155">
        <f t="shared" si="2"/>
        <v>0</v>
      </c>
      <c r="CM3" s="155">
        <f t="shared" si="2"/>
        <v>0</v>
      </c>
      <c r="CN3" s="155">
        <f t="shared" si="2"/>
        <v>0</v>
      </c>
      <c r="CO3" s="155">
        <f t="shared" si="2"/>
        <v>0</v>
      </c>
      <c r="CP3" s="155">
        <f t="shared" si="2"/>
        <v>0</v>
      </c>
      <c r="CQ3" s="155">
        <f t="shared" si="2"/>
        <v>0</v>
      </c>
      <c r="CR3" s="155">
        <f t="shared" si="2"/>
        <v>0</v>
      </c>
      <c r="CS3" s="155">
        <f t="shared" si="2"/>
        <v>0</v>
      </c>
      <c r="CT3" s="155">
        <f t="shared" si="2"/>
        <v>0</v>
      </c>
      <c r="CU3" s="155">
        <f t="shared" si="2"/>
        <v>0</v>
      </c>
      <c r="CV3" s="155">
        <f t="shared" si="2"/>
        <v>0</v>
      </c>
      <c r="CW3" s="155">
        <f t="shared" si="2"/>
        <v>0</v>
      </c>
      <c r="CX3" s="155">
        <f t="shared" si="2"/>
        <v>0</v>
      </c>
      <c r="CY3" s="155">
        <f t="shared" si="2"/>
        <v>0</v>
      </c>
      <c r="CZ3" s="155">
        <f t="shared" si="2"/>
        <v>0</v>
      </c>
      <c r="DA3" s="102">
        <f>SUM(CC3:CZ3)</f>
        <v>0</v>
      </c>
    </row>
    <row r="4" spans="1:105" ht="17.25" x14ac:dyDescent="0.3">
      <c r="A4" s="596"/>
      <c r="B4" s="80"/>
      <c r="C4" s="80" t="s">
        <v>251</v>
      </c>
      <c r="D4" s="98">
        <v>2</v>
      </c>
      <c r="E4" s="98">
        <v>17</v>
      </c>
      <c r="F4" s="98">
        <v>6</v>
      </c>
      <c r="G4" s="98">
        <f>F4*7</f>
        <v>42</v>
      </c>
      <c r="H4" s="98">
        <f t="shared" ref="H4:H11" si="3">G4*4.33</f>
        <v>181.86</v>
      </c>
      <c r="I4" s="98">
        <f t="shared" ref="I4:I11" si="4">D4*E4*F4</f>
        <v>204</v>
      </c>
      <c r="J4" s="98">
        <f t="shared" ref="J4:J11" si="5">D4*E4*G4</f>
        <v>1428</v>
      </c>
      <c r="K4" s="98">
        <f t="shared" ref="K4:K11" si="6">D4*E4*H4</f>
        <v>6183.2400000000007</v>
      </c>
      <c r="L4" s="599"/>
      <c r="O4" s="115"/>
      <c r="P4" s="80" t="s">
        <v>262</v>
      </c>
      <c r="Q4" s="80" t="s">
        <v>263</v>
      </c>
      <c r="R4" s="134">
        <v>1</v>
      </c>
      <c r="S4" s="134">
        <v>100</v>
      </c>
      <c r="T4" s="134">
        <v>1</v>
      </c>
      <c r="U4" s="134">
        <f>T4*7</f>
        <v>7</v>
      </c>
      <c r="V4" s="134">
        <f t="shared" si="0"/>
        <v>30.310000000000002</v>
      </c>
      <c r="W4" s="168">
        <f t="shared" si="1"/>
        <v>100</v>
      </c>
      <c r="X4" s="168">
        <f t="shared" ref="X4:X8" si="7">(R4*S4*U4)</f>
        <v>700</v>
      </c>
      <c r="Y4" s="169">
        <f t="shared" ref="Y4:Y8" si="8">(R4*S4*V4)</f>
        <v>3031</v>
      </c>
      <c r="Z4" s="606"/>
      <c r="AC4" s="596"/>
      <c r="AD4" s="80"/>
      <c r="AE4" s="80" t="s">
        <v>251</v>
      </c>
      <c r="AF4" s="98">
        <v>2</v>
      </c>
      <c r="AG4" s="98">
        <v>17</v>
      </c>
      <c r="AH4" s="98">
        <v>6</v>
      </c>
      <c r="AI4" s="98">
        <f>AH4*7</f>
        <v>42</v>
      </c>
      <c r="AJ4" s="98">
        <f t="shared" ref="AJ4:AJ9" si="9">AI4*4.33</f>
        <v>181.86</v>
      </c>
      <c r="AK4" s="98">
        <f t="shared" ref="AK4:AK9" si="10">AF4*AG4*AH4</f>
        <v>204</v>
      </c>
      <c r="AL4" s="98">
        <f t="shared" ref="AL4:AL9" si="11">AF4*AG4*AI4</f>
        <v>1428</v>
      </c>
      <c r="AM4" s="98">
        <f t="shared" ref="AM4:AM9" si="12">AF4*AG4*AJ4</f>
        <v>6183.2400000000007</v>
      </c>
      <c r="AN4" s="599"/>
      <c r="AQ4" s="596"/>
      <c r="AR4" s="80"/>
      <c r="AS4" s="80" t="s">
        <v>251</v>
      </c>
      <c r="AT4" s="134">
        <v>2</v>
      </c>
      <c r="AU4" s="135">
        <v>17</v>
      </c>
      <c r="AV4" s="139">
        <v>6</v>
      </c>
      <c r="AW4" s="155">
        <v>0</v>
      </c>
      <c r="AX4" s="150">
        <v>0.5</v>
      </c>
      <c r="AY4" s="150">
        <v>1</v>
      </c>
      <c r="AZ4" s="150">
        <v>1</v>
      </c>
      <c r="BA4" s="150">
        <v>0.5</v>
      </c>
      <c r="BB4" s="155">
        <v>0</v>
      </c>
      <c r="BC4" s="155">
        <v>0</v>
      </c>
      <c r="BD4" s="155">
        <v>0</v>
      </c>
      <c r="BE4" s="155">
        <v>0</v>
      </c>
      <c r="BF4" s="155">
        <v>0</v>
      </c>
      <c r="BG4" s="155">
        <v>0</v>
      </c>
      <c r="BH4" s="155">
        <v>0</v>
      </c>
      <c r="BI4" s="155">
        <v>0</v>
      </c>
      <c r="BJ4" s="155">
        <v>0</v>
      </c>
      <c r="BK4" s="155">
        <v>0</v>
      </c>
      <c r="BL4" s="155">
        <v>0</v>
      </c>
      <c r="BM4" s="155">
        <v>0</v>
      </c>
      <c r="BN4" s="155">
        <v>0</v>
      </c>
      <c r="BO4" s="155">
        <v>0</v>
      </c>
      <c r="BP4" s="155">
        <v>0</v>
      </c>
      <c r="BQ4" s="155">
        <v>0</v>
      </c>
      <c r="BR4" s="155">
        <v>1</v>
      </c>
      <c r="BS4" s="155">
        <v>1</v>
      </c>
      <c r="BT4" s="155">
        <v>1</v>
      </c>
      <c r="BU4" s="102">
        <f t="shared" ref="BU4:BU37" si="13">SUM(AW4:BT4)</f>
        <v>6</v>
      </c>
      <c r="BX4" s="596"/>
      <c r="BY4" s="80"/>
      <c r="BZ4" s="80" t="s">
        <v>251</v>
      </c>
      <c r="CA4" s="134">
        <v>2</v>
      </c>
      <c r="CB4" s="135">
        <v>17</v>
      </c>
      <c r="CC4" s="165">
        <f t="shared" ref="CC4:CZ4" si="14">$CA$4*$CB$4*AW4</f>
        <v>0</v>
      </c>
      <c r="CD4" s="155">
        <f t="shared" si="14"/>
        <v>17</v>
      </c>
      <c r="CE4" s="155">
        <f t="shared" si="14"/>
        <v>34</v>
      </c>
      <c r="CF4" s="155">
        <f t="shared" si="14"/>
        <v>34</v>
      </c>
      <c r="CG4" s="155">
        <f t="shared" si="14"/>
        <v>17</v>
      </c>
      <c r="CH4" s="155">
        <f t="shared" si="14"/>
        <v>0</v>
      </c>
      <c r="CI4" s="155">
        <f t="shared" si="14"/>
        <v>0</v>
      </c>
      <c r="CJ4" s="155">
        <f t="shared" si="14"/>
        <v>0</v>
      </c>
      <c r="CK4" s="155">
        <f t="shared" si="14"/>
        <v>0</v>
      </c>
      <c r="CL4" s="155">
        <f t="shared" si="14"/>
        <v>0</v>
      </c>
      <c r="CM4" s="155">
        <f t="shared" si="14"/>
        <v>0</v>
      </c>
      <c r="CN4" s="155">
        <f t="shared" si="14"/>
        <v>0</v>
      </c>
      <c r="CO4" s="155">
        <f t="shared" si="14"/>
        <v>0</v>
      </c>
      <c r="CP4" s="155">
        <f t="shared" si="14"/>
        <v>0</v>
      </c>
      <c r="CQ4" s="155">
        <f t="shared" si="14"/>
        <v>0</v>
      </c>
      <c r="CR4" s="155">
        <f t="shared" si="14"/>
        <v>0</v>
      </c>
      <c r="CS4" s="155">
        <f t="shared" si="14"/>
        <v>0</v>
      </c>
      <c r="CT4" s="155">
        <f t="shared" si="14"/>
        <v>0</v>
      </c>
      <c r="CU4" s="155">
        <f t="shared" si="14"/>
        <v>0</v>
      </c>
      <c r="CV4" s="155">
        <f t="shared" si="14"/>
        <v>0</v>
      </c>
      <c r="CW4" s="155">
        <f t="shared" si="14"/>
        <v>0</v>
      </c>
      <c r="CX4" s="155">
        <f t="shared" si="14"/>
        <v>34</v>
      </c>
      <c r="CY4" s="155">
        <f t="shared" si="14"/>
        <v>34</v>
      </c>
      <c r="CZ4" s="155">
        <f t="shared" si="14"/>
        <v>34</v>
      </c>
      <c r="DA4" s="102">
        <f t="shared" ref="DA4:DA9" si="15">SUM(CC4:CZ4)</f>
        <v>204</v>
      </c>
    </row>
    <row r="5" spans="1:105" ht="17.25" x14ac:dyDescent="0.3">
      <c r="A5" s="596"/>
      <c r="B5" s="80" t="s">
        <v>262</v>
      </c>
      <c r="C5" s="80" t="s">
        <v>263</v>
      </c>
      <c r="D5" s="98">
        <v>1</v>
      </c>
      <c r="E5" s="98">
        <v>100</v>
      </c>
      <c r="F5" s="98">
        <v>1</v>
      </c>
      <c r="G5" s="98">
        <f>F5*7</f>
        <v>7</v>
      </c>
      <c r="H5" s="98">
        <f t="shared" si="3"/>
        <v>30.310000000000002</v>
      </c>
      <c r="I5" s="98">
        <f t="shared" si="4"/>
        <v>100</v>
      </c>
      <c r="J5" s="98">
        <f t="shared" si="5"/>
        <v>700</v>
      </c>
      <c r="K5" s="98">
        <f t="shared" si="6"/>
        <v>3031</v>
      </c>
      <c r="L5" s="599"/>
      <c r="N5" s="79"/>
      <c r="O5" s="115"/>
      <c r="P5" s="80" t="s">
        <v>184</v>
      </c>
      <c r="Q5" s="80" t="s">
        <v>250</v>
      </c>
      <c r="R5" s="134">
        <v>3</v>
      </c>
      <c r="S5" s="134">
        <v>23</v>
      </c>
      <c r="T5" s="134">
        <v>16</v>
      </c>
      <c r="U5" s="134">
        <f>T5*7</f>
        <v>112</v>
      </c>
      <c r="V5" s="134">
        <f t="shared" si="0"/>
        <v>484.96000000000004</v>
      </c>
      <c r="W5" s="168">
        <f t="shared" si="1"/>
        <v>1104</v>
      </c>
      <c r="X5" s="168">
        <f t="shared" si="7"/>
        <v>7728</v>
      </c>
      <c r="Y5" s="169">
        <f t="shared" si="8"/>
        <v>33462.240000000005</v>
      </c>
      <c r="Z5" s="606"/>
      <c r="AC5" s="596"/>
      <c r="AD5" s="80" t="s">
        <v>262</v>
      </c>
      <c r="AE5" s="80" t="s">
        <v>263</v>
      </c>
      <c r="AF5" s="98">
        <v>1</v>
      </c>
      <c r="AG5" s="98">
        <v>100</v>
      </c>
      <c r="AH5" s="98">
        <v>1</v>
      </c>
      <c r="AI5" s="98">
        <f>AH5*7</f>
        <v>7</v>
      </c>
      <c r="AJ5" s="98">
        <f t="shared" si="9"/>
        <v>30.310000000000002</v>
      </c>
      <c r="AK5" s="98">
        <f t="shared" si="10"/>
        <v>100</v>
      </c>
      <c r="AL5" s="98">
        <f t="shared" si="11"/>
        <v>700</v>
      </c>
      <c r="AM5" s="98">
        <f t="shared" si="12"/>
        <v>3031</v>
      </c>
      <c r="AN5" s="599"/>
      <c r="AQ5" s="596"/>
      <c r="AR5" s="80" t="s">
        <v>262</v>
      </c>
      <c r="AS5" s="80" t="s">
        <v>263</v>
      </c>
      <c r="AT5" s="134">
        <v>1</v>
      </c>
      <c r="AU5" s="135">
        <v>100</v>
      </c>
      <c r="AV5" s="139">
        <v>1</v>
      </c>
      <c r="AW5" s="155">
        <v>0</v>
      </c>
      <c r="AX5" s="155">
        <v>0</v>
      </c>
      <c r="AY5" s="155">
        <v>0</v>
      </c>
      <c r="AZ5" s="155">
        <v>0</v>
      </c>
      <c r="BA5" s="155">
        <v>0</v>
      </c>
      <c r="BB5" s="155">
        <v>0.5</v>
      </c>
      <c r="BC5" s="155">
        <v>0</v>
      </c>
      <c r="BD5" s="155">
        <v>0</v>
      </c>
      <c r="BE5" s="155">
        <v>0</v>
      </c>
      <c r="BF5" s="155">
        <v>0</v>
      </c>
      <c r="BG5" s="155">
        <v>0</v>
      </c>
      <c r="BH5" s="155">
        <v>0</v>
      </c>
      <c r="BI5" s="155">
        <v>0</v>
      </c>
      <c r="BJ5" s="155">
        <v>0</v>
      </c>
      <c r="BK5" s="155">
        <v>0</v>
      </c>
      <c r="BL5" s="155">
        <v>0</v>
      </c>
      <c r="BM5" s="155">
        <v>0</v>
      </c>
      <c r="BN5" s="155">
        <v>0.5</v>
      </c>
      <c r="BO5" s="155">
        <v>0</v>
      </c>
      <c r="BP5" s="155">
        <v>0</v>
      </c>
      <c r="BQ5" s="155">
        <v>0</v>
      </c>
      <c r="BR5" s="155">
        <v>0</v>
      </c>
      <c r="BS5" s="155">
        <v>0</v>
      </c>
      <c r="BT5" s="155">
        <v>0</v>
      </c>
      <c r="BU5" s="102">
        <f t="shared" si="13"/>
        <v>1</v>
      </c>
      <c r="BX5" s="596"/>
      <c r="BY5" s="80" t="s">
        <v>262</v>
      </c>
      <c r="BZ5" s="80" t="s">
        <v>263</v>
      </c>
      <c r="CA5" s="134">
        <v>1</v>
      </c>
      <c r="CB5" s="135">
        <v>100</v>
      </c>
      <c r="CC5" s="165">
        <f t="shared" ref="CC5:CZ5" si="16">$CA$5*$CB$5*AW5</f>
        <v>0</v>
      </c>
      <c r="CD5" s="155">
        <f t="shared" si="16"/>
        <v>0</v>
      </c>
      <c r="CE5" s="155">
        <f t="shared" si="16"/>
        <v>0</v>
      </c>
      <c r="CF5" s="155">
        <f t="shared" si="16"/>
        <v>0</v>
      </c>
      <c r="CG5" s="155">
        <f t="shared" si="16"/>
        <v>0</v>
      </c>
      <c r="CH5" s="155">
        <f t="shared" si="16"/>
        <v>50</v>
      </c>
      <c r="CI5" s="155">
        <f t="shared" si="16"/>
        <v>0</v>
      </c>
      <c r="CJ5" s="155">
        <f t="shared" si="16"/>
        <v>0</v>
      </c>
      <c r="CK5" s="155">
        <f t="shared" si="16"/>
        <v>0</v>
      </c>
      <c r="CL5" s="155">
        <f t="shared" si="16"/>
        <v>0</v>
      </c>
      <c r="CM5" s="155">
        <f t="shared" si="16"/>
        <v>0</v>
      </c>
      <c r="CN5" s="155">
        <f t="shared" si="16"/>
        <v>0</v>
      </c>
      <c r="CO5" s="155">
        <f t="shared" si="16"/>
        <v>0</v>
      </c>
      <c r="CP5" s="155">
        <f t="shared" si="16"/>
        <v>0</v>
      </c>
      <c r="CQ5" s="155">
        <f t="shared" si="16"/>
        <v>0</v>
      </c>
      <c r="CR5" s="155">
        <f t="shared" si="16"/>
        <v>0</v>
      </c>
      <c r="CS5" s="155">
        <f t="shared" si="16"/>
        <v>0</v>
      </c>
      <c r="CT5" s="155">
        <f t="shared" si="16"/>
        <v>50</v>
      </c>
      <c r="CU5" s="155">
        <f t="shared" si="16"/>
        <v>0</v>
      </c>
      <c r="CV5" s="155">
        <f t="shared" si="16"/>
        <v>0</v>
      </c>
      <c r="CW5" s="155">
        <f t="shared" si="16"/>
        <v>0</v>
      </c>
      <c r="CX5" s="155">
        <f t="shared" si="16"/>
        <v>0</v>
      </c>
      <c r="CY5" s="155">
        <f t="shared" si="16"/>
        <v>0</v>
      </c>
      <c r="CZ5" s="155">
        <f t="shared" si="16"/>
        <v>0</v>
      </c>
      <c r="DA5" s="102">
        <f t="shared" si="15"/>
        <v>100</v>
      </c>
    </row>
    <row r="6" spans="1:105" ht="17.25" x14ac:dyDescent="0.3">
      <c r="A6" s="596"/>
      <c r="B6" s="80" t="s">
        <v>184</v>
      </c>
      <c r="C6" s="80" t="s">
        <v>250</v>
      </c>
      <c r="D6" s="98">
        <v>3</v>
      </c>
      <c r="E6" s="98">
        <v>23</v>
      </c>
      <c r="F6" s="98">
        <v>4</v>
      </c>
      <c r="G6" s="98">
        <f>F6*7</f>
        <v>28</v>
      </c>
      <c r="H6" s="98">
        <f t="shared" si="3"/>
        <v>121.24000000000001</v>
      </c>
      <c r="I6" s="98">
        <f t="shared" si="4"/>
        <v>276</v>
      </c>
      <c r="J6" s="98">
        <f t="shared" si="5"/>
        <v>1932</v>
      </c>
      <c r="K6" s="98">
        <f t="shared" si="6"/>
        <v>8365.5600000000013</v>
      </c>
      <c r="L6" s="599"/>
      <c r="O6" s="115"/>
      <c r="P6" s="80" t="s">
        <v>185</v>
      </c>
      <c r="Q6" s="80" t="s">
        <v>205</v>
      </c>
      <c r="R6" s="134">
        <v>1</v>
      </c>
      <c r="S6" s="134">
        <v>32</v>
      </c>
      <c r="T6" s="134">
        <v>1</v>
      </c>
      <c r="U6" s="134">
        <f>T6*2</f>
        <v>2</v>
      </c>
      <c r="V6" s="134">
        <f t="shared" si="0"/>
        <v>8.66</v>
      </c>
      <c r="W6" s="168">
        <f t="shared" si="1"/>
        <v>32</v>
      </c>
      <c r="X6" s="168">
        <f t="shared" si="7"/>
        <v>64</v>
      </c>
      <c r="Y6" s="169">
        <f t="shared" si="8"/>
        <v>277.12</v>
      </c>
      <c r="Z6" s="606"/>
      <c r="AC6" s="596"/>
      <c r="AD6" s="80" t="s">
        <v>184</v>
      </c>
      <c r="AE6" s="80" t="s">
        <v>250</v>
      </c>
      <c r="AF6" s="98">
        <v>3</v>
      </c>
      <c r="AG6" s="98">
        <v>23</v>
      </c>
      <c r="AH6" s="98">
        <v>16</v>
      </c>
      <c r="AI6" s="98">
        <f>AH6*7</f>
        <v>112</v>
      </c>
      <c r="AJ6" s="98">
        <f t="shared" si="9"/>
        <v>484.96000000000004</v>
      </c>
      <c r="AK6" s="98">
        <f t="shared" si="10"/>
        <v>1104</v>
      </c>
      <c r="AL6" s="98">
        <f t="shared" si="11"/>
        <v>7728</v>
      </c>
      <c r="AM6" s="98">
        <f t="shared" si="12"/>
        <v>33462.240000000005</v>
      </c>
      <c r="AN6" s="599"/>
      <c r="AQ6" s="596"/>
      <c r="AR6" s="80" t="s">
        <v>184</v>
      </c>
      <c r="AS6" s="80" t="s">
        <v>250</v>
      </c>
      <c r="AT6" s="134">
        <v>3</v>
      </c>
      <c r="AU6" s="135">
        <v>23</v>
      </c>
      <c r="AV6" s="139">
        <v>16</v>
      </c>
      <c r="AW6" s="164">
        <v>1</v>
      </c>
      <c r="AX6" s="150">
        <v>1</v>
      </c>
      <c r="AY6" s="150">
        <v>1</v>
      </c>
      <c r="AZ6" s="150">
        <v>1</v>
      </c>
      <c r="BA6" s="150">
        <v>1</v>
      </c>
      <c r="BB6" s="150">
        <v>1</v>
      </c>
      <c r="BC6" s="150">
        <v>1</v>
      </c>
      <c r="BD6" s="150">
        <v>1</v>
      </c>
      <c r="BE6" s="150">
        <v>1</v>
      </c>
      <c r="BF6" s="155">
        <v>0</v>
      </c>
      <c r="BG6" s="155">
        <v>0</v>
      </c>
      <c r="BH6" s="155">
        <v>0</v>
      </c>
      <c r="BI6" s="155">
        <v>0</v>
      </c>
      <c r="BJ6" s="155">
        <v>0</v>
      </c>
      <c r="BK6" s="155">
        <v>0</v>
      </c>
      <c r="BL6" s="155">
        <v>0</v>
      </c>
      <c r="BM6" s="155">
        <v>0</v>
      </c>
      <c r="BN6" s="155">
        <v>1</v>
      </c>
      <c r="BO6" s="155">
        <v>1</v>
      </c>
      <c r="BP6" s="155">
        <v>1</v>
      </c>
      <c r="BQ6" s="155">
        <v>1</v>
      </c>
      <c r="BR6" s="155">
        <v>1</v>
      </c>
      <c r="BS6" s="155">
        <v>1</v>
      </c>
      <c r="BT6" s="155">
        <v>1</v>
      </c>
      <c r="BU6" s="102">
        <f t="shared" si="13"/>
        <v>16</v>
      </c>
      <c r="BX6" s="596"/>
      <c r="BY6" s="80" t="s">
        <v>184</v>
      </c>
      <c r="BZ6" s="80" t="s">
        <v>250</v>
      </c>
      <c r="CA6" s="134">
        <v>3</v>
      </c>
      <c r="CB6" s="135">
        <v>23</v>
      </c>
      <c r="CC6" s="165">
        <f t="shared" ref="CC6:CZ6" si="17">$CA$6*$CB$6*AW6</f>
        <v>69</v>
      </c>
      <c r="CD6" s="155">
        <f t="shared" si="17"/>
        <v>69</v>
      </c>
      <c r="CE6" s="155">
        <f t="shared" si="17"/>
        <v>69</v>
      </c>
      <c r="CF6" s="155">
        <f t="shared" si="17"/>
        <v>69</v>
      </c>
      <c r="CG6" s="155">
        <f t="shared" si="17"/>
        <v>69</v>
      </c>
      <c r="CH6" s="155">
        <f t="shared" si="17"/>
        <v>69</v>
      </c>
      <c r="CI6" s="155">
        <f t="shared" si="17"/>
        <v>69</v>
      </c>
      <c r="CJ6" s="155">
        <f t="shared" si="17"/>
        <v>69</v>
      </c>
      <c r="CK6" s="155">
        <f t="shared" si="17"/>
        <v>69</v>
      </c>
      <c r="CL6" s="155">
        <f t="shared" si="17"/>
        <v>0</v>
      </c>
      <c r="CM6" s="155">
        <f t="shared" si="17"/>
        <v>0</v>
      </c>
      <c r="CN6" s="155">
        <f t="shared" si="17"/>
        <v>0</v>
      </c>
      <c r="CO6" s="155">
        <f t="shared" si="17"/>
        <v>0</v>
      </c>
      <c r="CP6" s="155">
        <f t="shared" si="17"/>
        <v>0</v>
      </c>
      <c r="CQ6" s="155">
        <f t="shared" si="17"/>
        <v>0</v>
      </c>
      <c r="CR6" s="155">
        <f t="shared" si="17"/>
        <v>0</v>
      </c>
      <c r="CS6" s="155">
        <f t="shared" si="17"/>
        <v>0</v>
      </c>
      <c r="CT6" s="155">
        <f t="shared" si="17"/>
        <v>69</v>
      </c>
      <c r="CU6" s="155">
        <f t="shared" si="17"/>
        <v>69</v>
      </c>
      <c r="CV6" s="155">
        <f t="shared" si="17"/>
        <v>69</v>
      </c>
      <c r="CW6" s="155">
        <f t="shared" si="17"/>
        <v>69</v>
      </c>
      <c r="CX6" s="155">
        <f t="shared" si="17"/>
        <v>69</v>
      </c>
      <c r="CY6" s="155">
        <f t="shared" si="17"/>
        <v>69</v>
      </c>
      <c r="CZ6" s="155">
        <f t="shared" si="17"/>
        <v>69</v>
      </c>
      <c r="DA6" s="102">
        <f t="shared" si="15"/>
        <v>1104</v>
      </c>
    </row>
    <row r="7" spans="1:105" ht="17.25" x14ac:dyDescent="0.3">
      <c r="A7" s="596"/>
      <c r="B7" s="80" t="s">
        <v>185</v>
      </c>
      <c r="C7" s="80" t="s">
        <v>205</v>
      </c>
      <c r="D7" s="98">
        <v>1</v>
      </c>
      <c r="E7" s="98">
        <v>32</v>
      </c>
      <c r="F7" s="98">
        <v>1</v>
      </c>
      <c r="G7" s="98">
        <f>F7*2</f>
        <v>2</v>
      </c>
      <c r="H7" s="98">
        <f t="shared" si="3"/>
        <v>8.66</v>
      </c>
      <c r="I7" s="98">
        <f t="shared" si="4"/>
        <v>32</v>
      </c>
      <c r="J7" s="98">
        <f t="shared" si="5"/>
        <v>64</v>
      </c>
      <c r="K7" s="98">
        <f t="shared" si="6"/>
        <v>277.12</v>
      </c>
      <c r="L7" s="599"/>
      <c r="O7" s="115"/>
      <c r="P7" s="80" t="s">
        <v>188</v>
      </c>
      <c r="Q7" s="80" t="s">
        <v>263</v>
      </c>
      <c r="R7" s="134">
        <v>1</v>
      </c>
      <c r="S7" s="134">
        <v>53</v>
      </c>
      <c r="T7" s="134">
        <v>1</v>
      </c>
      <c r="U7" s="134">
        <f>T7*7</f>
        <v>7</v>
      </c>
      <c r="V7" s="134">
        <f t="shared" si="0"/>
        <v>30.310000000000002</v>
      </c>
      <c r="W7" s="168">
        <f t="shared" si="1"/>
        <v>53</v>
      </c>
      <c r="X7" s="168">
        <f t="shared" si="7"/>
        <v>371</v>
      </c>
      <c r="Y7" s="169">
        <f t="shared" si="8"/>
        <v>1606.43</v>
      </c>
      <c r="Z7" s="606"/>
      <c r="AC7" s="596"/>
      <c r="AD7" s="80" t="s">
        <v>185</v>
      </c>
      <c r="AE7" s="80" t="s">
        <v>205</v>
      </c>
      <c r="AF7" s="98">
        <v>44</v>
      </c>
      <c r="AG7" s="98">
        <v>32</v>
      </c>
      <c r="AH7" s="98">
        <v>8</v>
      </c>
      <c r="AI7" s="98">
        <f>AH7*2</f>
        <v>16</v>
      </c>
      <c r="AJ7" s="98">
        <f t="shared" si="9"/>
        <v>69.28</v>
      </c>
      <c r="AK7" s="98">
        <f>AF7*AG7*AH7</f>
        <v>11264</v>
      </c>
      <c r="AL7" s="98">
        <f t="shared" si="11"/>
        <v>22528</v>
      </c>
      <c r="AM7" s="98">
        <f t="shared" si="12"/>
        <v>97546.240000000005</v>
      </c>
      <c r="AN7" s="599"/>
      <c r="AQ7" s="596"/>
      <c r="AR7" s="80" t="s">
        <v>185</v>
      </c>
      <c r="AS7" s="80" t="s">
        <v>205</v>
      </c>
      <c r="AT7" s="134">
        <v>1</v>
      </c>
      <c r="AU7" s="135">
        <v>32</v>
      </c>
      <c r="AV7" s="139">
        <v>1</v>
      </c>
      <c r="AW7" s="165">
        <v>0</v>
      </c>
      <c r="AX7" s="155">
        <v>0</v>
      </c>
      <c r="AY7" s="155">
        <v>0</v>
      </c>
      <c r="AZ7" s="155">
        <v>0</v>
      </c>
      <c r="BA7" s="155">
        <v>0</v>
      </c>
      <c r="BB7" s="155">
        <v>0.5</v>
      </c>
      <c r="BC7" s="155">
        <v>0</v>
      </c>
      <c r="BD7" s="155">
        <v>0</v>
      </c>
      <c r="BE7" s="155">
        <v>0</v>
      </c>
      <c r="BF7" s="155">
        <v>0</v>
      </c>
      <c r="BG7" s="155">
        <v>0</v>
      </c>
      <c r="BH7" s="155">
        <v>0</v>
      </c>
      <c r="BI7" s="155">
        <v>0</v>
      </c>
      <c r="BJ7" s="155">
        <v>0</v>
      </c>
      <c r="BK7" s="155">
        <v>0</v>
      </c>
      <c r="BL7" s="155">
        <v>0</v>
      </c>
      <c r="BM7" s="155">
        <v>0</v>
      </c>
      <c r="BN7" s="155">
        <v>0.5</v>
      </c>
      <c r="BO7" s="155">
        <v>0</v>
      </c>
      <c r="BP7" s="155">
        <v>0</v>
      </c>
      <c r="BQ7" s="155">
        <v>0</v>
      </c>
      <c r="BR7" s="155">
        <v>0</v>
      </c>
      <c r="BS7" s="155">
        <v>0</v>
      </c>
      <c r="BT7" s="155">
        <v>0</v>
      </c>
      <c r="BU7" s="102">
        <f t="shared" si="13"/>
        <v>1</v>
      </c>
      <c r="BX7" s="596"/>
      <c r="BY7" s="80" t="s">
        <v>185</v>
      </c>
      <c r="BZ7" s="80" t="s">
        <v>205</v>
      </c>
      <c r="CA7" s="134">
        <v>1</v>
      </c>
      <c r="CB7" s="135">
        <v>32</v>
      </c>
      <c r="CC7" s="165">
        <f t="shared" ref="CC7:CZ7" si="18">$CA$7*$CB$7*AW7</f>
        <v>0</v>
      </c>
      <c r="CD7" s="155">
        <f t="shared" si="18"/>
        <v>0</v>
      </c>
      <c r="CE7" s="155">
        <f t="shared" si="18"/>
        <v>0</v>
      </c>
      <c r="CF7" s="155">
        <f t="shared" si="18"/>
        <v>0</v>
      </c>
      <c r="CG7" s="155">
        <f t="shared" si="18"/>
        <v>0</v>
      </c>
      <c r="CH7" s="155">
        <f t="shared" si="18"/>
        <v>16</v>
      </c>
      <c r="CI7" s="155">
        <f t="shared" si="18"/>
        <v>0</v>
      </c>
      <c r="CJ7" s="155">
        <f t="shared" si="18"/>
        <v>0</v>
      </c>
      <c r="CK7" s="155">
        <f t="shared" si="18"/>
        <v>0</v>
      </c>
      <c r="CL7" s="155">
        <f t="shared" si="18"/>
        <v>0</v>
      </c>
      <c r="CM7" s="155">
        <f t="shared" si="18"/>
        <v>0</v>
      </c>
      <c r="CN7" s="155">
        <f t="shared" si="18"/>
        <v>0</v>
      </c>
      <c r="CO7" s="155">
        <f t="shared" si="18"/>
        <v>0</v>
      </c>
      <c r="CP7" s="155">
        <f t="shared" si="18"/>
        <v>0</v>
      </c>
      <c r="CQ7" s="155">
        <f t="shared" si="18"/>
        <v>0</v>
      </c>
      <c r="CR7" s="155">
        <f t="shared" si="18"/>
        <v>0</v>
      </c>
      <c r="CS7" s="155">
        <f t="shared" si="18"/>
        <v>0</v>
      </c>
      <c r="CT7" s="155">
        <f t="shared" si="18"/>
        <v>16</v>
      </c>
      <c r="CU7" s="155">
        <f t="shared" si="18"/>
        <v>0</v>
      </c>
      <c r="CV7" s="155">
        <f t="shared" si="18"/>
        <v>0</v>
      </c>
      <c r="CW7" s="155">
        <f t="shared" si="18"/>
        <v>0</v>
      </c>
      <c r="CX7" s="155">
        <f t="shared" si="18"/>
        <v>0</v>
      </c>
      <c r="CY7" s="155">
        <f t="shared" si="18"/>
        <v>0</v>
      </c>
      <c r="CZ7" s="155">
        <f t="shared" si="18"/>
        <v>0</v>
      </c>
      <c r="DA7" s="102">
        <f t="shared" si="15"/>
        <v>32</v>
      </c>
    </row>
    <row r="8" spans="1:105" ht="31.5" thickBot="1" x14ac:dyDescent="0.35">
      <c r="A8" s="596"/>
      <c r="B8" s="80" t="s">
        <v>186</v>
      </c>
      <c r="C8" s="80"/>
      <c r="D8" s="98"/>
      <c r="E8" s="98"/>
      <c r="F8" s="98"/>
      <c r="G8" s="98"/>
      <c r="H8" s="98">
        <f t="shared" si="3"/>
        <v>0</v>
      </c>
      <c r="I8" s="98">
        <f t="shared" si="4"/>
        <v>0</v>
      </c>
      <c r="J8" s="98">
        <f t="shared" si="5"/>
        <v>0</v>
      </c>
      <c r="K8" s="98">
        <f t="shared" si="6"/>
        <v>0</v>
      </c>
      <c r="L8" s="599"/>
      <c r="O8" s="115"/>
      <c r="P8" s="85" t="s">
        <v>189</v>
      </c>
      <c r="Q8" s="80" t="s">
        <v>251</v>
      </c>
      <c r="R8" s="134">
        <v>1</v>
      </c>
      <c r="S8" s="134">
        <v>17</v>
      </c>
      <c r="T8" s="134">
        <v>14</v>
      </c>
      <c r="U8" s="134">
        <f>T8*7</f>
        <v>98</v>
      </c>
      <c r="V8" s="134">
        <f t="shared" si="0"/>
        <v>424.34000000000003</v>
      </c>
      <c r="W8" s="168">
        <f t="shared" si="1"/>
        <v>238</v>
      </c>
      <c r="X8" s="168">
        <f t="shared" si="7"/>
        <v>1666</v>
      </c>
      <c r="Y8" s="169">
        <f t="shared" si="8"/>
        <v>7213.7800000000007</v>
      </c>
      <c r="Z8" s="606"/>
      <c r="AC8" s="596"/>
      <c r="AD8" s="80" t="s">
        <v>188</v>
      </c>
      <c r="AE8" s="80" t="s">
        <v>263</v>
      </c>
      <c r="AF8" s="98">
        <v>1</v>
      </c>
      <c r="AG8" s="98">
        <v>53</v>
      </c>
      <c r="AH8" s="98">
        <v>1</v>
      </c>
      <c r="AI8" s="98">
        <f>AH8*7</f>
        <v>7</v>
      </c>
      <c r="AJ8" s="98">
        <f t="shared" si="9"/>
        <v>30.310000000000002</v>
      </c>
      <c r="AK8" s="98">
        <f t="shared" si="10"/>
        <v>53</v>
      </c>
      <c r="AL8" s="98">
        <f t="shared" si="11"/>
        <v>371</v>
      </c>
      <c r="AM8" s="98">
        <f t="shared" si="12"/>
        <v>1606.43</v>
      </c>
      <c r="AN8" s="599"/>
      <c r="AQ8" s="596"/>
      <c r="AR8" s="80" t="s">
        <v>188</v>
      </c>
      <c r="AS8" s="80" t="s">
        <v>263</v>
      </c>
      <c r="AT8" s="134">
        <v>1</v>
      </c>
      <c r="AU8" s="135">
        <v>53</v>
      </c>
      <c r="AV8" s="139">
        <v>1</v>
      </c>
      <c r="AW8" s="165">
        <v>0</v>
      </c>
      <c r="AX8" s="155">
        <v>0</v>
      </c>
      <c r="AY8" s="155">
        <v>0</v>
      </c>
      <c r="AZ8" s="155">
        <v>0</v>
      </c>
      <c r="BA8" s="155">
        <v>0</v>
      </c>
      <c r="BB8" s="155">
        <v>0.5</v>
      </c>
      <c r="BC8" s="155">
        <v>0</v>
      </c>
      <c r="BD8" s="155">
        <v>0</v>
      </c>
      <c r="BE8" s="155">
        <v>0</v>
      </c>
      <c r="BF8" s="155">
        <v>0</v>
      </c>
      <c r="BG8" s="155">
        <v>0</v>
      </c>
      <c r="BH8" s="155">
        <v>0</v>
      </c>
      <c r="BI8" s="155">
        <v>0</v>
      </c>
      <c r="BJ8" s="155">
        <v>0</v>
      </c>
      <c r="BK8" s="155">
        <v>0</v>
      </c>
      <c r="BL8" s="155">
        <v>0</v>
      </c>
      <c r="BM8" s="155">
        <v>0</v>
      </c>
      <c r="BN8" s="155">
        <v>0.5</v>
      </c>
      <c r="BO8" s="155">
        <v>0</v>
      </c>
      <c r="BP8" s="155">
        <v>0</v>
      </c>
      <c r="BQ8" s="155">
        <v>0</v>
      </c>
      <c r="BR8" s="155">
        <v>0</v>
      </c>
      <c r="BS8" s="155">
        <v>0</v>
      </c>
      <c r="BT8" s="155">
        <v>0</v>
      </c>
      <c r="BU8" s="102">
        <f t="shared" si="13"/>
        <v>1</v>
      </c>
      <c r="BX8" s="596"/>
      <c r="BY8" s="80" t="s">
        <v>188</v>
      </c>
      <c r="BZ8" s="80" t="s">
        <v>263</v>
      </c>
      <c r="CA8" s="134">
        <v>1</v>
      </c>
      <c r="CB8" s="135">
        <v>53</v>
      </c>
      <c r="CC8" s="165">
        <f t="shared" ref="CC8:CZ8" si="19">$CA$8*$CB$8*AW8</f>
        <v>0</v>
      </c>
      <c r="CD8" s="155">
        <f t="shared" si="19"/>
        <v>0</v>
      </c>
      <c r="CE8" s="155">
        <f t="shared" si="19"/>
        <v>0</v>
      </c>
      <c r="CF8" s="155">
        <f t="shared" si="19"/>
        <v>0</v>
      </c>
      <c r="CG8" s="155">
        <f t="shared" si="19"/>
        <v>0</v>
      </c>
      <c r="CH8" s="155">
        <f t="shared" si="19"/>
        <v>26.5</v>
      </c>
      <c r="CI8" s="155">
        <f t="shared" si="19"/>
        <v>0</v>
      </c>
      <c r="CJ8" s="155">
        <f t="shared" si="19"/>
        <v>0</v>
      </c>
      <c r="CK8" s="155">
        <f t="shared" si="19"/>
        <v>0</v>
      </c>
      <c r="CL8" s="155">
        <f t="shared" si="19"/>
        <v>0</v>
      </c>
      <c r="CM8" s="155">
        <f t="shared" si="19"/>
        <v>0</v>
      </c>
      <c r="CN8" s="155">
        <f t="shared" si="19"/>
        <v>0</v>
      </c>
      <c r="CO8" s="155">
        <f t="shared" si="19"/>
        <v>0</v>
      </c>
      <c r="CP8" s="155">
        <f t="shared" si="19"/>
        <v>0</v>
      </c>
      <c r="CQ8" s="155">
        <f t="shared" si="19"/>
        <v>0</v>
      </c>
      <c r="CR8" s="155">
        <f t="shared" si="19"/>
        <v>0</v>
      </c>
      <c r="CS8" s="155">
        <f t="shared" si="19"/>
        <v>0</v>
      </c>
      <c r="CT8" s="155">
        <f t="shared" si="19"/>
        <v>26.5</v>
      </c>
      <c r="CU8" s="155">
        <f t="shared" si="19"/>
        <v>0</v>
      </c>
      <c r="CV8" s="155">
        <f t="shared" si="19"/>
        <v>0</v>
      </c>
      <c r="CW8" s="155">
        <f t="shared" si="19"/>
        <v>0</v>
      </c>
      <c r="CX8" s="155">
        <f t="shared" si="19"/>
        <v>0</v>
      </c>
      <c r="CY8" s="155">
        <f t="shared" si="19"/>
        <v>0</v>
      </c>
      <c r="CZ8" s="155">
        <f t="shared" si="19"/>
        <v>0</v>
      </c>
      <c r="DA8" s="102">
        <f t="shared" si="15"/>
        <v>53</v>
      </c>
    </row>
    <row r="9" spans="1:105" ht="46.5" thickBot="1" x14ac:dyDescent="0.35">
      <c r="A9" s="596"/>
      <c r="B9" s="80" t="s">
        <v>187</v>
      </c>
      <c r="C9" s="80"/>
      <c r="D9" s="98"/>
      <c r="E9" s="98"/>
      <c r="F9" s="98"/>
      <c r="G9" s="98"/>
      <c r="H9" s="98">
        <f t="shared" si="3"/>
        <v>0</v>
      </c>
      <c r="I9" s="98">
        <f t="shared" si="4"/>
        <v>0</v>
      </c>
      <c r="J9" s="98">
        <f t="shared" si="5"/>
        <v>0</v>
      </c>
      <c r="K9" s="98">
        <f t="shared" si="6"/>
        <v>0</v>
      </c>
      <c r="L9" s="599"/>
      <c r="M9" s="455"/>
      <c r="O9" s="191"/>
      <c r="P9" s="86" t="s">
        <v>259</v>
      </c>
      <c r="Q9" s="87"/>
      <c r="R9" s="136">
        <f t="shared" ref="R9:Y9" si="20">SUM(R3:R8)</f>
        <v>9</v>
      </c>
      <c r="S9" s="136">
        <f t="shared" si="20"/>
        <v>242</v>
      </c>
      <c r="T9" s="136">
        <f t="shared" si="20"/>
        <v>39</v>
      </c>
      <c r="U9" s="136">
        <f t="shared" si="20"/>
        <v>268</v>
      </c>
      <c r="V9" s="136">
        <f t="shared" si="20"/>
        <v>1160.44</v>
      </c>
      <c r="W9" s="170">
        <f t="shared" si="20"/>
        <v>1731</v>
      </c>
      <c r="X9" s="170">
        <f t="shared" si="20"/>
        <v>11957</v>
      </c>
      <c r="Y9" s="171">
        <f t="shared" si="20"/>
        <v>51773.810000000012</v>
      </c>
      <c r="Z9" s="607"/>
      <c r="AC9" s="596"/>
      <c r="AD9" s="85" t="s">
        <v>189</v>
      </c>
      <c r="AE9" s="80" t="s">
        <v>251</v>
      </c>
      <c r="AF9" s="98">
        <v>1</v>
      </c>
      <c r="AG9" s="98">
        <v>17</v>
      </c>
      <c r="AH9" s="98">
        <v>14</v>
      </c>
      <c r="AI9" s="98">
        <f>AH9*7</f>
        <v>98</v>
      </c>
      <c r="AJ9" s="98">
        <f t="shared" si="9"/>
        <v>424.34000000000003</v>
      </c>
      <c r="AK9" s="98">
        <f t="shared" si="10"/>
        <v>238</v>
      </c>
      <c r="AL9" s="98">
        <f t="shared" si="11"/>
        <v>1666</v>
      </c>
      <c r="AM9" s="98">
        <f t="shared" si="12"/>
        <v>7213.7800000000007</v>
      </c>
      <c r="AN9" s="599"/>
      <c r="AQ9" s="596"/>
      <c r="AR9" s="85" t="s">
        <v>189</v>
      </c>
      <c r="AS9" s="80" t="s">
        <v>251</v>
      </c>
      <c r="AT9" s="134">
        <v>1</v>
      </c>
      <c r="AU9" s="135">
        <v>17</v>
      </c>
      <c r="AV9" s="139">
        <v>14</v>
      </c>
      <c r="AW9" s="166">
        <v>1</v>
      </c>
      <c r="AX9" s="167">
        <v>1</v>
      </c>
      <c r="AY9" s="167">
        <v>1</v>
      </c>
      <c r="AZ9" s="167">
        <v>1</v>
      </c>
      <c r="BA9" s="167">
        <v>1</v>
      </c>
      <c r="BB9" s="167">
        <v>1</v>
      </c>
      <c r="BC9" s="167">
        <v>1</v>
      </c>
      <c r="BD9" s="167">
        <v>1</v>
      </c>
      <c r="BE9" s="167">
        <v>1</v>
      </c>
      <c r="BF9" s="155">
        <v>0</v>
      </c>
      <c r="BG9" s="155">
        <v>0</v>
      </c>
      <c r="BH9" s="155">
        <v>0</v>
      </c>
      <c r="BI9" s="155">
        <v>0</v>
      </c>
      <c r="BJ9" s="155">
        <v>0</v>
      </c>
      <c r="BK9" s="155">
        <v>0</v>
      </c>
      <c r="BL9" s="155">
        <v>1</v>
      </c>
      <c r="BM9" s="155">
        <v>1</v>
      </c>
      <c r="BN9" s="155">
        <v>1</v>
      </c>
      <c r="BO9" s="155">
        <v>0</v>
      </c>
      <c r="BP9" s="155">
        <v>0</v>
      </c>
      <c r="BQ9" s="155">
        <v>1</v>
      </c>
      <c r="BR9" s="155">
        <v>1</v>
      </c>
      <c r="BS9" s="155">
        <v>1</v>
      </c>
      <c r="BT9" s="155">
        <v>1</v>
      </c>
      <c r="BU9" s="102">
        <f t="shared" si="13"/>
        <v>16</v>
      </c>
      <c r="BX9" s="596"/>
      <c r="BY9" s="85" t="s">
        <v>189</v>
      </c>
      <c r="BZ9" s="80" t="s">
        <v>251</v>
      </c>
      <c r="CA9" s="134">
        <v>1</v>
      </c>
      <c r="CB9" s="135">
        <v>17</v>
      </c>
      <c r="CC9" s="165">
        <f t="shared" ref="CC9:CZ9" si="21">$CA$9*$CB$9*AW9</f>
        <v>17</v>
      </c>
      <c r="CD9" s="155">
        <f t="shared" si="21"/>
        <v>17</v>
      </c>
      <c r="CE9" s="155">
        <f t="shared" si="21"/>
        <v>17</v>
      </c>
      <c r="CF9" s="155">
        <f t="shared" si="21"/>
        <v>17</v>
      </c>
      <c r="CG9" s="155">
        <f t="shared" si="21"/>
        <v>17</v>
      </c>
      <c r="CH9" s="155">
        <f t="shared" si="21"/>
        <v>17</v>
      </c>
      <c r="CI9" s="155">
        <f t="shared" si="21"/>
        <v>17</v>
      </c>
      <c r="CJ9" s="155">
        <f t="shared" si="21"/>
        <v>17</v>
      </c>
      <c r="CK9" s="155">
        <f t="shared" si="21"/>
        <v>17</v>
      </c>
      <c r="CL9" s="155">
        <f t="shared" si="21"/>
        <v>0</v>
      </c>
      <c r="CM9" s="155">
        <f t="shared" si="21"/>
        <v>0</v>
      </c>
      <c r="CN9" s="155">
        <f t="shared" si="21"/>
        <v>0</v>
      </c>
      <c r="CO9" s="155">
        <f t="shared" si="21"/>
        <v>0</v>
      </c>
      <c r="CP9" s="155">
        <f t="shared" si="21"/>
        <v>0</v>
      </c>
      <c r="CQ9" s="155">
        <f t="shared" si="21"/>
        <v>0</v>
      </c>
      <c r="CR9" s="155">
        <f t="shared" si="21"/>
        <v>17</v>
      </c>
      <c r="CS9" s="155">
        <f t="shared" si="21"/>
        <v>17</v>
      </c>
      <c r="CT9" s="155">
        <f t="shared" si="21"/>
        <v>17</v>
      </c>
      <c r="CU9" s="155">
        <f t="shared" si="21"/>
        <v>0</v>
      </c>
      <c r="CV9" s="155">
        <f t="shared" si="21"/>
        <v>0</v>
      </c>
      <c r="CW9" s="155">
        <f t="shared" si="21"/>
        <v>17</v>
      </c>
      <c r="CX9" s="155">
        <f t="shared" si="21"/>
        <v>17</v>
      </c>
      <c r="CY9" s="155">
        <f t="shared" si="21"/>
        <v>17</v>
      </c>
      <c r="CZ9" s="155">
        <f t="shared" si="21"/>
        <v>17</v>
      </c>
      <c r="DA9" s="102">
        <f t="shared" si="15"/>
        <v>272</v>
      </c>
    </row>
    <row r="10" spans="1:105" ht="18" thickBot="1" x14ac:dyDescent="0.35">
      <c r="A10" s="596"/>
      <c r="B10" s="80" t="s">
        <v>188</v>
      </c>
      <c r="C10" s="80" t="s">
        <v>263</v>
      </c>
      <c r="D10" s="98">
        <v>1</v>
      </c>
      <c r="E10" s="98">
        <v>53</v>
      </c>
      <c r="F10" s="98">
        <v>1</v>
      </c>
      <c r="G10" s="98">
        <f>F10*7</f>
        <v>7</v>
      </c>
      <c r="H10" s="98">
        <f t="shared" si="3"/>
        <v>30.310000000000002</v>
      </c>
      <c r="I10" s="98">
        <f t="shared" si="4"/>
        <v>53</v>
      </c>
      <c r="J10" s="98">
        <f t="shared" si="5"/>
        <v>371</v>
      </c>
      <c r="K10" s="98">
        <f t="shared" si="6"/>
        <v>1606.43</v>
      </c>
      <c r="L10" s="599"/>
      <c r="M10" s="455"/>
      <c r="O10" s="612" t="s">
        <v>196</v>
      </c>
      <c r="P10" s="80" t="s">
        <v>191</v>
      </c>
      <c r="Q10" s="80" t="s">
        <v>251</v>
      </c>
      <c r="R10" s="134">
        <v>12</v>
      </c>
      <c r="S10" s="138">
        <v>17</v>
      </c>
      <c r="T10" s="134">
        <v>5</v>
      </c>
      <c r="U10" s="134">
        <f>T10*5</f>
        <v>25</v>
      </c>
      <c r="V10" s="134">
        <f t="shared" ref="V10:V11" si="22">U10*4.33</f>
        <v>108.25</v>
      </c>
      <c r="W10" s="168">
        <f>(R10*S10*T10)</f>
        <v>1020</v>
      </c>
      <c r="X10" s="168">
        <f>(R10*S10*U10)</f>
        <v>5100</v>
      </c>
      <c r="Y10" s="169">
        <f>(R10*S10*V10)</f>
        <v>22083</v>
      </c>
      <c r="Z10" s="608">
        <f>Y20/Y38</f>
        <v>0.10204288598847874</v>
      </c>
      <c r="AC10" s="597"/>
      <c r="AD10" s="86" t="s">
        <v>259</v>
      </c>
      <c r="AE10" s="87"/>
      <c r="AF10" s="107">
        <f t="shared" ref="AF10:AI10" si="23">SUM(AF3:AF9)</f>
        <v>53</v>
      </c>
      <c r="AG10" s="107">
        <f t="shared" si="23"/>
        <v>242</v>
      </c>
      <c r="AH10" s="107">
        <f t="shared" si="23"/>
        <v>46</v>
      </c>
      <c r="AI10" s="107">
        <f t="shared" si="23"/>
        <v>282</v>
      </c>
      <c r="AJ10" s="107">
        <f>SUM(AJ3:AJ9)</f>
        <v>1221.06</v>
      </c>
      <c r="AK10" s="107">
        <f t="shared" ref="AK10:AM10" si="24">SUM(AK3:AK9)</f>
        <v>12963</v>
      </c>
      <c r="AL10" s="107">
        <f t="shared" si="24"/>
        <v>34421</v>
      </c>
      <c r="AM10" s="107">
        <f t="shared" si="24"/>
        <v>149042.93000000002</v>
      </c>
      <c r="AN10" s="601"/>
      <c r="AQ10" s="597"/>
      <c r="AR10" s="86" t="s">
        <v>259</v>
      </c>
      <c r="AS10" s="87"/>
      <c r="AT10" s="136">
        <f t="shared" ref="AT10:BU10" si="25">SUM(AT3:AT9)</f>
        <v>10</v>
      </c>
      <c r="AU10" s="137">
        <f t="shared" si="25"/>
        <v>242</v>
      </c>
      <c r="AV10" s="156">
        <f t="shared" si="25"/>
        <v>39</v>
      </c>
      <c r="AW10" s="136">
        <f t="shared" si="25"/>
        <v>2</v>
      </c>
      <c r="AX10" s="136">
        <f t="shared" si="25"/>
        <v>2.5</v>
      </c>
      <c r="AY10" s="136">
        <f t="shared" si="25"/>
        <v>3</v>
      </c>
      <c r="AZ10" s="136">
        <f t="shared" si="25"/>
        <v>3</v>
      </c>
      <c r="BA10" s="136">
        <f t="shared" si="25"/>
        <v>2.5</v>
      </c>
      <c r="BB10" s="136">
        <f t="shared" si="25"/>
        <v>3.5</v>
      </c>
      <c r="BC10" s="136">
        <f t="shared" si="25"/>
        <v>2</v>
      </c>
      <c r="BD10" s="136">
        <f t="shared" si="25"/>
        <v>2</v>
      </c>
      <c r="BE10" s="136">
        <f t="shared" si="25"/>
        <v>2</v>
      </c>
      <c r="BF10" s="136">
        <f t="shared" si="25"/>
        <v>0</v>
      </c>
      <c r="BG10" s="136">
        <f t="shared" si="25"/>
        <v>0</v>
      </c>
      <c r="BH10" s="136">
        <f t="shared" si="25"/>
        <v>0</v>
      </c>
      <c r="BI10" s="136">
        <f t="shared" si="25"/>
        <v>0</v>
      </c>
      <c r="BJ10" s="136">
        <f t="shared" si="25"/>
        <v>0</v>
      </c>
      <c r="BK10" s="136">
        <f t="shared" si="25"/>
        <v>0</v>
      </c>
      <c r="BL10" s="136">
        <f t="shared" si="25"/>
        <v>1</v>
      </c>
      <c r="BM10" s="136">
        <f t="shared" si="25"/>
        <v>1</v>
      </c>
      <c r="BN10" s="136">
        <f t="shared" si="25"/>
        <v>3.5</v>
      </c>
      <c r="BO10" s="136">
        <f t="shared" si="25"/>
        <v>1</v>
      </c>
      <c r="BP10" s="136">
        <f t="shared" si="25"/>
        <v>1</v>
      </c>
      <c r="BQ10" s="136">
        <f t="shared" si="25"/>
        <v>2</v>
      </c>
      <c r="BR10" s="136">
        <f t="shared" si="25"/>
        <v>3</v>
      </c>
      <c r="BS10" s="136">
        <f t="shared" si="25"/>
        <v>3</v>
      </c>
      <c r="BT10" s="137">
        <f t="shared" si="25"/>
        <v>3</v>
      </c>
      <c r="BU10" s="163">
        <f t="shared" si="25"/>
        <v>41</v>
      </c>
      <c r="BX10" s="597"/>
      <c r="BY10" s="86" t="s">
        <v>259</v>
      </c>
      <c r="BZ10" s="87"/>
      <c r="CA10" s="136">
        <f t="shared" ref="CA10:DA10" si="26">SUM(CA3:CA9)</f>
        <v>10</v>
      </c>
      <c r="CB10" s="137">
        <f t="shared" si="26"/>
        <v>242</v>
      </c>
      <c r="CC10" s="186">
        <f t="shared" si="26"/>
        <v>86</v>
      </c>
      <c r="CD10" s="136">
        <f t="shared" si="26"/>
        <v>103</v>
      </c>
      <c r="CE10" s="136">
        <f t="shared" si="26"/>
        <v>120</v>
      </c>
      <c r="CF10" s="136">
        <f t="shared" si="26"/>
        <v>120</v>
      </c>
      <c r="CG10" s="136">
        <f t="shared" si="26"/>
        <v>103</v>
      </c>
      <c r="CH10" s="136">
        <f t="shared" si="26"/>
        <v>178.5</v>
      </c>
      <c r="CI10" s="136">
        <f t="shared" si="26"/>
        <v>86</v>
      </c>
      <c r="CJ10" s="136">
        <f t="shared" si="26"/>
        <v>86</v>
      </c>
      <c r="CK10" s="136">
        <f t="shared" si="26"/>
        <v>86</v>
      </c>
      <c r="CL10" s="136">
        <f t="shared" si="26"/>
        <v>0</v>
      </c>
      <c r="CM10" s="136">
        <f t="shared" si="26"/>
        <v>0</v>
      </c>
      <c r="CN10" s="136">
        <f t="shared" si="26"/>
        <v>0</v>
      </c>
      <c r="CO10" s="136">
        <f t="shared" si="26"/>
        <v>0</v>
      </c>
      <c r="CP10" s="136">
        <f t="shared" si="26"/>
        <v>0</v>
      </c>
      <c r="CQ10" s="136">
        <f t="shared" si="26"/>
        <v>0</v>
      </c>
      <c r="CR10" s="136">
        <f t="shared" si="26"/>
        <v>17</v>
      </c>
      <c r="CS10" s="136">
        <f t="shared" si="26"/>
        <v>17</v>
      </c>
      <c r="CT10" s="136">
        <f t="shared" si="26"/>
        <v>178.5</v>
      </c>
      <c r="CU10" s="136">
        <f t="shared" si="26"/>
        <v>69</v>
      </c>
      <c r="CV10" s="136">
        <f t="shared" si="26"/>
        <v>69</v>
      </c>
      <c r="CW10" s="136">
        <f t="shared" si="26"/>
        <v>86</v>
      </c>
      <c r="CX10" s="136">
        <f t="shared" si="26"/>
        <v>120</v>
      </c>
      <c r="CY10" s="136">
        <f t="shared" si="26"/>
        <v>120</v>
      </c>
      <c r="CZ10" s="137">
        <f t="shared" si="26"/>
        <v>120</v>
      </c>
      <c r="DA10" s="163">
        <f t="shared" si="26"/>
        <v>1765</v>
      </c>
    </row>
    <row r="11" spans="1:105" ht="30" customHeight="1" thickBot="1" x14ac:dyDescent="0.35">
      <c r="A11" s="596"/>
      <c r="B11" s="85" t="s">
        <v>189</v>
      </c>
      <c r="C11" s="80" t="s">
        <v>251</v>
      </c>
      <c r="D11" s="98">
        <v>1</v>
      </c>
      <c r="E11" s="98">
        <v>17</v>
      </c>
      <c r="F11" s="98">
        <v>14</v>
      </c>
      <c r="G11" s="98">
        <f>F11*7</f>
        <v>98</v>
      </c>
      <c r="H11" s="98">
        <f t="shared" si="3"/>
        <v>424.34000000000003</v>
      </c>
      <c r="I11" s="98">
        <f t="shared" si="4"/>
        <v>238</v>
      </c>
      <c r="J11" s="98">
        <f t="shared" si="5"/>
        <v>1666</v>
      </c>
      <c r="K11" s="98">
        <f t="shared" si="6"/>
        <v>7213.7800000000007</v>
      </c>
      <c r="L11" s="599"/>
      <c r="M11" s="455"/>
      <c r="O11" s="613"/>
      <c r="P11" s="80" t="s">
        <v>192</v>
      </c>
      <c r="Q11" s="80" t="s">
        <v>263</v>
      </c>
      <c r="R11" s="134">
        <v>1</v>
      </c>
      <c r="S11" s="134">
        <v>100</v>
      </c>
      <c r="T11" s="134">
        <v>0.25</v>
      </c>
      <c r="U11" s="134">
        <f>T11*5</f>
        <v>1.25</v>
      </c>
      <c r="V11" s="134">
        <f t="shared" si="22"/>
        <v>5.4124999999999996</v>
      </c>
      <c r="W11" s="168">
        <f>(R11*S11*T11)</f>
        <v>25</v>
      </c>
      <c r="X11" s="168">
        <f>(R11*S11*U11)</f>
        <v>125</v>
      </c>
      <c r="Y11" s="169">
        <f>(R11*S11*V11)</f>
        <v>541.25</v>
      </c>
      <c r="Z11" s="606"/>
      <c r="AC11" s="612" t="s">
        <v>196</v>
      </c>
      <c r="AD11" s="80" t="s">
        <v>191</v>
      </c>
      <c r="AE11" s="80" t="s">
        <v>251</v>
      </c>
      <c r="AF11" s="98">
        <v>16</v>
      </c>
      <c r="AG11" s="101">
        <v>17</v>
      </c>
      <c r="AH11" s="98">
        <v>5</v>
      </c>
      <c r="AI11" s="98">
        <f>AH11*5</f>
        <v>25</v>
      </c>
      <c r="AJ11" s="98">
        <f t="shared" ref="AJ11:AJ12" si="27">AI11*4.33</f>
        <v>108.25</v>
      </c>
      <c r="AK11" s="98">
        <f t="shared" ref="AK11:AK20" si="28">AF11*AG11*AH11</f>
        <v>1360</v>
      </c>
      <c r="AL11" s="98">
        <f t="shared" ref="AL11:AL20" si="29">AF11*AG11*AI11</f>
        <v>6800</v>
      </c>
      <c r="AM11" s="98">
        <f t="shared" ref="AM11:AM20" si="30">AF11*AG11*AJ11</f>
        <v>29444</v>
      </c>
      <c r="AN11" s="602">
        <f>AM21/AM39</f>
        <v>0.12069417037242439</v>
      </c>
      <c r="AQ11" s="612" t="s">
        <v>196</v>
      </c>
      <c r="AR11" s="80" t="s">
        <v>191</v>
      </c>
      <c r="AS11" s="80" t="s">
        <v>251</v>
      </c>
      <c r="AT11" s="134">
        <v>12</v>
      </c>
      <c r="AU11" s="150">
        <v>17</v>
      </c>
      <c r="AV11" s="139">
        <v>5</v>
      </c>
      <c r="AW11" s="155">
        <v>0</v>
      </c>
      <c r="AX11" s="155">
        <v>0</v>
      </c>
      <c r="AY11" s="155">
        <v>0</v>
      </c>
      <c r="AZ11" s="155">
        <v>0</v>
      </c>
      <c r="BA11" s="155">
        <v>0</v>
      </c>
      <c r="BB11" s="155">
        <v>0</v>
      </c>
      <c r="BC11" s="155">
        <v>0</v>
      </c>
      <c r="BD11" s="155">
        <v>0</v>
      </c>
      <c r="BE11" s="155">
        <v>1</v>
      </c>
      <c r="BF11" s="155">
        <v>1</v>
      </c>
      <c r="BG11" s="155">
        <v>1</v>
      </c>
      <c r="BH11" s="155">
        <v>1</v>
      </c>
      <c r="BI11" s="155">
        <v>1</v>
      </c>
      <c r="BJ11" s="155">
        <v>0</v>
      </c>
      <c r="BK11" s="155">
        <v>0</v>
      </c>
      <c r="BL11" s="155">
        <v>0</v>
      </c>
      <c r="BM11" s="155">
        <v>0</v>
      </c>
      <c r="BN11" s="155">
        <v>0</v>
      </c>
      <c r="BO11" s="155">
        <v>0</v>
      </c>
      <c r="BP11" s="155">
        <v>0</v>
      </c>
      <c r="BQ11" s="155">
        <v>0</v>
      </c>
      <c r="BR11" s="155">
        <v>0</v>
      </c>
      <c r="BS11" s="155">
        <v>0</v>
      </c>
      <c r="BT11" s="155">
        <v>0</v>
      </c>
      <c r="BU11" s="102">
        <f t="shared" si="13"/>
        <v>5</v>
      </c>
      <c r="BX11" s="612" t="s">
        <v>196</v>
      </c>
      <c r="BY11" s="80" t="s">
        <v>191</v>
      </c>
      <c r="BZ11" s="80" t="s">
        <v>251</v>
      </c>
      <c r="CA11" s="134">
        <v>12</v>
      </c>
      <c r="CB11" s="150">
        <v>17</v>
      </c>
      <c r="CC11" s="165">
        <f t="shared" ref="CC11:CZ11" si="31">$CA$11*$CB$11*AW11</f>
        <v>0</v>
      </c>
      <c r="CD11" s="155">
        <f t="shared" si="31"/>
        <v>0</v>
      </c>
      <c r="CE11" s="155">
        <f t="shared" si="31"/>
        <v>0</v>
      </c>
      <c r="CF11" s="155">
        <f t="shared" si="31"/>
        <v>0</v>
      </c>
      <c r="CG11" s="155">
        <f t="shared" si="31"/>
        <v>0</v>
      </c>
      <c r="CH11" s="155">
        <f t="shared" si="31"/>
        <v>0</v>
      </c>
      <c r="CI11" s="155">
        <f t="shared" si="31"/>
        <v>0</v>
      </c>
      <c r="CJ11" s="155">
        <f t="shared" si="31"/>
        <v>0</v>
      </c>
      <c r="CK11" s="155">
        <f t="shared" si="31"/>
        <v>204</v>
      </c>
      <c r="CL11" s="155">
        <f t="shared" si="31"/>
        <v>204</v>
      </c>
      <c r="CM11" s="155">
        <f t="shared" si="31"/>
        <v>204</v>
      </c>
      <c r="CN11" s="155">
        <f t="shared" si="31"/>
        <v>204</v>
      </c>
      <c r="CO11" s="155">
        <f t="shared" si="31"/>
        <v>204</v>
      </c>
      <c r="CP11" s="155">
        <f t="shared" si="31"/>
        <v>0</v>
      </c>
      <c r="CQ11" s="155">
        <f t="shared" si="31"/>
        <v>0</v>
      </c>
      <c r="CR11" s="155">
        <f t="shared" si="31"/>
        <v>0</v>
      </c>
      <c r="CS11" s="155">
        <f t="shared" si="31"/>
        <v>0</v>
      </c>
      <c r="CT11" s="155">
        <f t="shared" si="31"/>
        <v>0</v>
      </c>
      <c r="CU11" s="155">
        <f t="shared" si="31"/>
        <v>0</v>
      </c>
      <c r="CV11" s="155">
        <f t="shared" si="31"/>
        <v>0</v>
      </c>
      <c r="CW11" s="155">
        <f t="shared" si="31"/>
        <v>0</v>
      </c>
      <c r="CX11" s="155">
        <f t="shared" si="31"/>
        <v>0</v>
      </c>
      <c r="CY11" s="155">
        <f t="shared" si="31"/>
        <v>0</v>
      </c>
      <c r="CZ11" s="155">
        <f t="shared" si="31"/>
        <v>0</v>
      </c>
      <c r="DA11" s="102">
        <f t="shared" ref="DA11:DA20" si="32">SUM(CC11:CZ11)</f>
        <v>1020</v>
      </c>
    </row>
    <row r="12" spans="1:105" ht="30" customHeight="1" thickBot="1" x14ac:dyDescent="0.35">
      <c r="A12" s="597"/>
      <c r="B12" s="86" t="s">
        <v>259</v>
      </c>
      <c r="C12" s="90"/>
      <c r="D12" s="99">
        <f>SUM(D3:D11)</f>
        <v>10</v>
      </c>
      <c r="E12" s="99">
        <f t="shared" ref="E12:I12" si="33">SUM(E3:E11)</f>
        <v>242</v>
      </c>
      <c r="F12" s="99">
        <f t="shared" si="33"/>
        <v>27</v>
      </c>
      <c r="G12" s="100">
        <f t="shared" si="33"/>
        <v>184</v>
      </c>
      <c r="H12" s="100">
        <f>SUM(H3:H11)</f>
        <v>796.72</v>
      </c>
      <c r="I12" s="100">
        <f t="shared" si="33"/>
        <v>903</v>
      </c>
      <c r="J12" s="100">
        <f>SUM(J3:J11)</f>
        <v>6161</v>
      </c>
      <c r="K12" s="100">
        <f>SUM(K3:K11)</f>
        <v>26677.130000000005</v>
      </c>
      <c r="L12" s="600"/>
      <c r="M12" s="456"/>
      <c r="O12" s="613"/>
      <c r="P12" s="80"/>
      <c r="Q12" s="80" t="s">
        <v>247</v>
      </c>
      <c r="R12" s="134">
        <v>1</v>
      </c>
      <c r="S12" s="138">
        <v>22.11</v>
      </c>
      <c r="T12" s="134">
        <v>0.25</v>
      </c>
      <c r="U12" s="134">
        <f>T12*5</f>
        <v>1.25</v>
      </c>
      <c r="V12" s="134">
        <f>U12*4.33</f>
        <v>5.4124999999999996</v>
      </c>
      <c r="W12" s="168">
        <f t="shared" ref="W12:W19" si="34">(R12*S12*T12)</f>
        <v>5.5274999999999999</v>
      </c>
      <c r="X12" s="168">
        <f t="shared" ref="X12:X19" si="35">(R12*S12*U12)</f>
        <v>27.637499999999999</v>
      </c>
      <c r="Y12" s="169">
        <f t="shared" ref="Y12:Y19" si="36">(R12*S12*V12)</f>
        <v>119.67037499999999</v>
      </c>
      <c r="Z12" s="606"/>
      <c r="AC12" s="613"/>
      <c r="AD12" s="80" t="s">
        <v>192</v>
      </c>
      <c r="AE12" s="80" t="s">
        <v>263</v>
      </c>
      <c r="AF12" s="98">
        <v>1</v>
      </c>
      <c r="AG12" s="98">
        <v>100</v>
      </c>
      <c r="AH12" s="98">
        <v>0.25</v>
      </c>
      <c r="AI12" s="98">
        <f>AH12*5</f>
        <v>1.25</v>
      </c>
      <c r="AJ12" s="98">
        <f t="shared" si="27"/>
        <v>5.4124999999999996</v>
      </c>
      <c r="AK12" s="98">
        <f t="shared" si="28"/>
        <v>25</v>
      </c>
      <c r="AL12" s="98">
        <f t="shared" si="29"/>
        <v>125</v>
      </c>
      <c r="AM12" s="98">
        <f t="shared" si="30"/>
        <v>541.25</v>
      </c>
      <c r="AN12" s="599"/>
      <c r="AQ12" s="613"/>
      <c r="AR12" s="80" t="s">
        <v>192</v>
      </c>
      <c r="AS12" s="80" t="s">
        <v>263</v>
      </c>
      <c r="AT12" s="134">
        <v>1</v>
      </c>
      <c r="AU12" s="135">
        <v>100</v>
      </c>
      <c r="AV12" s="139">
        <v>0.25</v>
      </c>
      <c r="AW12" s="155">
        <v>0</v>
      </c>
      <c r="AX12" s="155">
        <v>0</v>
      </c>
      <c r="AY12" s="155">
        <v>0</v>
      </c>
      <c r="AZ12" s="155">
        <v>0</v>
      </c>
      <c r="BA12" s="155">
        <v>0</v>
      </c>
      <c r="BB12" s="155">
        <v>0</v>
      </c>
      <c r="BC12" s="155">
        <v>0</v>
      </c>
      <c r="BD12" s="155">
        <v>0</v>
      </c>
      <c r="BE12" s="155">
        <v>0</v>
      </c>
      <c r="BF12" s="155">
        <v>0</v>
      </c>
      <c r="BG12" s="155">
        <v>0</v>
      </c>
      <c r="BH12" s="155">
        <v>0.25</v>
      </c>
      <c r="BI12" s="155">
        <v>0</v>
      </c>
      <c r="BJ12" s="155">
        <v>0</v>
      </c>
      <c r="BK12" s="155">
        <v>0</v>
      </c>
      <c r="BL12" s="155">
        <v>0</v>
      </c>
      <c r="BM12" s="155">
        <v>0</v>
      </c>
      <c r="BN12" s="155">
        <v>0</v>
      </c>
      <c r="BO12" s="155">
        <v>0</v>
      </c>
      <c r="BP12" s="155">
        <v>0</v>
      </c>
      <c r="BQ12" s="155">
        <v>0</v>
      </c>
      <c r="BR12" s="155">
        <v>0</v>
      </c>
      <c r="BS12" s="155">
        <v>0</v>
      </c>
      <c r="BT12" s="155">
        <v>0</v>
      </c>
      <c r="BU12" s="102">
        <f t="shared" si="13"/>
        <v>0.25</v>
      </c>
      <c r="BX12" s="613"/>
      <c r="BY12" s="80" t="s">
        <v>192</v>
      </c>
      <c r="BZ12" s="80" t="s">
        <v>263</v>
      </c>
      <c r="CA12" s="134">
        <v>1</v>
      </c>
      <c r="CB12" s="135">
        <v>100</v>
      </c>
      <c r="CC12" s="165">
        <f t="shared" ref="CC12:CZ12" si="37">$CA$12*$CB$12*AW12</f>
        <v>0</v>
      </c>
      <c r="CD12" s="155">
        <f t="shared" si="37"/>
        <v>0</v>
      </c>
      <c r="CE12" s="155">
        <f t="shared" si="37"/>
        <v>0</v>
      </c>
      <c r="CF12" s="155">
        <f t="shared" si="37"/>
        <v>0</v>
      </c>
      <c r="CG12" s="155">
        <f t="shared" si="37"/>
        <v>0</v>
      </c>
      <c r="CH12" s="155">
        <f t="shared" si="37"/>
        <v>0</v>
      </c>
      <c r="CI12" s="155">
        <f t="shared" si="37"/>
        <v>0</v>
      </c>
      <c r="CJ12" s="155">
        <f t="shared" si="37"/>
        <v>0</v>
      </c>
      <c r="CK12" s="155">
        <f t="shared" si="37"/>
        <v>0</v>
      </c>
      <c r="CL12" s="155">
        <f t="shared" si="37"/>
        <v>0</v>
      </c>
      <c r="CM12" s="155">
        <f t="shared" si="37"/>
        <v>0</v>
      </c>
      <c r="CN12" s="155">
        <f t="shared" si="37"/>
        <v>25</v>
      </c>
      <c r="CO12" s="155">
        <f t="shared" si="37"/>
        <v>0</v>
      </c>
      <c r="CP12" s="155">
        <f t="shared" si="37"/>
        <v>0</v>
      </c>
      <c r="CQ12" s="155">
        <f t="shared" si="37"/>
        <v>0</v>
      </c>
      <c r="CR12" s="155">
        <f t="shared" si="37"/>
        <v>0</v>
      </c>
      <c r="CS12" s="155">
        <f t="shared" si="37"/>
        <v>0</v>
      </c>
      <c r="CT12" s="155">
        <f t="shared" si="37"/>
        <v>0</v>
      </c>
      <c r="CU12" s="155">
        <f t="shared" si="37"/>
        <v>0</v>
      </c>
      <c r="CV12" s="155">
        <f t="shared" si="37"/>
        <v>0</v>
      </c>
      <c r="CW12" s="155">
        <f t="shared" si="37"/>
        <v>0</v>
      </c>
      <c r="CX12" s="155">
        <f t="shared" si="37"/>
        <v>0</v>
      </c>
      <c r="CY12" s="155">
        <f t="shared" si="37"/>
        <v>0</v>
      </c>
      <c r="CZ12" s="155">
        <f t="shared" si="37"/>
        <v>0</v>
      </c>
      <c r="DA12" s="102">
        <f t="shared" si="32"/>
        <v>25</v>
      </c>
    </row>
    <row r="13" spans="1:105" ht="17.25" x14ac:dyDescent="0.3">
      <c r="A13" s="114" t="s">
        <v>196</v>
      </c>
      <c r="B13" s="80" t="s">
        <v>191</v>
      </c>
      <c r="C13" s="80" t="s">
        <v>214</v>
      </c>
      <c r="D13" s="98">
        <v>1</v>
      </c>
      <c r="E13" s="101">
        <f>110*4</f>
        <v>440</v>
      </c>
      <c r="F13" s="98">
        <v>5</v>
      </c>
      <c r="G13" s="98">
        <f>F13*5</f>
        <v>25</v>
      </c>
      <c r="H13" s="98">
        <f>G13*4.33</f>
        <v>108.25</v>
      </c>
      <c r="I13" s="98">
        <f>D13*E13*F13</f>
        <v>2200</v>
      </c>
      <c r="J13" s="98">
        <f>D13*E13*G13</f>
        <v>11000</v>
      </c>
      <c r="K13" s="98">
        <f>D13*E13*H13</f>
        <v>47630</v>
      </c>
      <c r="L13" s="598">
        <f>K34/K79</f>
        <v>0.15003785943680642</v>
      </c>
      <c r="M13" s="456"/>
      <c r="O13" s="613"/>
      <c r="P13" s="80" t="s">
        <v>193</v>
      </c>
      <c r="Q13" s="80" t="s">
        <v>251</v>
      </c>
      <c r="R13" s="134">
        <v>1</v>
      </c>
      <c r="S13" s="134">
        <v>17</v>
      </c>
      <c r="T13" s="134">
        <v>5</v>
      </c>
      <c r="U13" s="134">
        <f>5*T13</f>
        <v>25</v>
      </c>
      <c r="V13" s="134">
        <f t="shared" ref="V13:V16" si="38">U13*4.33</f>
        <v>108.25</v>
      </c>
      <c r="W13" s="168">
        <f t="shared" si="34"/>
        <v>85</v>
      </c>
      <c r="X13" s="168">
        <f t="shared" si="35"/>
        <v>425</v>
      </c>
      <c r="Y13" s="169">
        <f t="shared" si="36"/>
        <v>1840.25</v>
      </c>
      <c r="Z13" s="606"/>
      <c r="AC13" s="613"/>
      <c r="AD13" s="80"/>
      <c r="AE13" s="80" t="s">
        <v>247</v>
      </c>
      <c r="AF13" s="98">
        <v>1</v>
      </c>
      <c r="AG13" s="101">
        <v>22.11</v>
      </c>
      <c r="AH13" s="98">
        <v>0.25</v>
      </c>
      <c r="AI13" s="98">
        <f>AH13*5</f>
        <v>1.25</v>
      </c>
      <c r="AJ13" s="98">
        <f>AI13*4.33</f>
        <v>5.4124999999999996</v>
      </c>
      <c r="AK13" s="98">
        <f t="shared" si="28"/>
        <v>5.5274999999999999</v>
      </c>
      <c r="AL13" s="98">
        <f t="shared" si="29"/>
        <v>27.637499999999999</v>
      </c>
      <c r="AM13" s="98">
        <f t="shared" si="30"/>
        <v>119.67037499999999</v>
      </c>
      <c r="AN13" s="599"/>
      <c r="AQ13" s="613"/>
      <c r="AR13" s="80"/>
      <c r="AS13" s="80" t="s">
        <v>247</v>
      </c>
      <c r="AT13" s="134">
        <v>1</v>
      </c>
      <c r="AU13" s="150">
        <v>22.11</v>
      </c>
      <c r="AV13" s="139">
        <v>0.25</v>
      </c>
      <c r="AW13" s="155">
        <v>0</v>
      </c>
      <c r="AX13" s="155">
        <v>0</v>
      </c>
      <c r="AY13" s="155">
        <v>0</v>
      </c>
      <c r="AZ13" s="155">
        <v>0</v>
      </c>
      <c r="BA13" s="155">
        <v>0</v>
      </c>
      <c r="BB13" s="155">
        <v>0</v>
      </c>
      <c r="BC13" s="155">
        <v>0</v>
      </c>
      <c r="BD13" s="155">
        <v>0</v>
      </c>
      <c r="BE13" s="155">
        <v>0</v>
      </c>
      <c r="BF13" s="155">
        <v>0</v>
      </c>
      <c r="BG13" s="155">
        <v>0</v>
      </c>
      <c r="BH13" s="155">
        <v>0.25</v>
      </c>
      <c r="BI13" s="155">
        <v>0</v>
      </c>
      <c r="BJ13" s="155">
        <v>0</v>
      </c>
      <c r="BK13" s="155">
        <v>0</v>
      </c>
      <c r="BL13" s="155">
        <v>0</v>
      </c>
      <c r="BM13" s="155">
        <v>0</v>
      </c>
      <c r="BN13" s="155">
        <v>0</v>
      </c>
      <c r="BO13" s="155">
        <v>0</v>
      </c>
      <c r="BP13" s="155">
        <v>0</v>
      </c>
      <c r="BQ13" s="155">
        <v>0</v>
      </c>
      <c r="BR13" s="155">
        <v>0</v>
      </c>
      <c r="BS13" s="155">
        <v>0</v>
      </c>
      <c r="BT13" s="155">
        <v>0</v>
      </c>
      <c r="BU13" s="102">
        <f t="shared" si="13"/>
        <v>0.25</v>
      </c>
      <c r="BX13" s="613"/>
      <c r="BY13" s="80"/>
      <c r="BZ13" s="80" t="s">
        <v>247</v>
      </c>
      <c r="CA13" s="134">
        <v>1</v>
      </c>
      <c r="CB13" s="150">
        <v>22.11</v>
      </c>
      <c r="CC13" s="165">
        <f t="shared" ref="CC13:CZ13" si="39">$CA$13*$CB$13*AW13</f>
        <v>0</v>
      </c>
      <c r="CD13" s="155">
        <f t="shared" si="39"/>
        <v>0</v>
      </c>
      <c r="CE13" s="155">
        <f t="shared" si="39"/>
        <v>0</v>
      </c>
      <c r="CF13" s="155">
        <f t="shared" si="39"/>
        <v>0</v>
      </c>
      <c r="CG13" s="155">
        <f t="shared" si="39"/>
        <v>0</v>
      </c>
      <c r="CH13" s="155">
        <f t="shared" si="39"/>
        <v>0</v>
      </c>
      <c r="CI13" s="155">
        <f t="shared" si="39"/>
        <v>0</v>
      </c>
      <c r="CJ13" s="155">
        <f t="shared" si="39"/>
        <v>0</v>
      </c>
      <c r="CK13" s="155">
        <f t="shared" si="39"/>
        <v>0</v>
      </c>
      <c r="CL13" s="155">
        <f t="shared" si="39"/>
        <v>0</v>
      </c>
      <c r="CM13" s="155">
        <f t="shared" si="39"/>
        <v>0</v>
      </c>
      <c r="CN13" s="155">
        <f t="shared" si="39"/>
        <v>5.5274999999999999</v>
      </c>
      <c r="CO13" s="155">
        <f t="shared" si="39"/>
        <v>0</v>
      </c>
      <c r="CP13" s="155">
        <f t="shared" si="39"/>
        <v>0</v>
      </c>
      <c r="CQ13" s="155">
        <f t="shared" si="39"/>
        <v>0</v>
      </c>
      <c r="CR13" s="155">
        <f t="shared" si="39"/>
        <v>0</v>
      </c>
      <c r="CS13" s="155">
        <f t="shared" si="39"/>
        <v>0</v>
      </c>
      <c r="CT13" s="155">
        <f t="shared" si="39"/>
        <v>0</v>
      </c>
      <c r="CU13" s="155">
        <f t="shared" si="39"/>
        <v>0</v>
      </c>
      <c r="CV13" s="155">
        <f t="shared" si="39"/>
        <v>0</v>
      </c>
      <c r="CW13" s="155">
        <f t="shared" si="39"/>
        <v>0</v>
      </c>
      <c r="CX13" s="155">
        <f t="shared" si="39"/>
        <v>0</v>
      </c>
      <c r="CY13" s="155">
        <f t="shared" si="39"/>
        <v>0</v>
      </c>
      <c r="CZ13" s="155">
        <f t="shared" si="39"/>
        <v>0</v>
      </c>
      <c r="DA13" s="102">
        <f t="shared" si="32"/>
        <v>5.5274999999999999</v>
      </c>
    </row>
    <row r="14" spans="1:105" ht="17.25" x14ac:dyDescent="0.3">
      <c r="A14" s="115"/>
      <c r="B14" s="80"/>
      <c r="C14" s="80" t="s">
        <v>202</v>
      </c>
      <c r="D14" s="98">
        <v>1</v>
      </c>
      <c r="E14" s="101">
        <f>18.5*6.5</f>
        <v>120.25</v>
      </c>
      <c r="F14" s="98">
        <v>5</v>
      </c>
      <c r="G14" s="98">
        <f>F14*5</f>
        <v>25</v>
      </c>
      <c r="H14" s="98">
        <f t="shared" ref="H14:H22" si="40">G14*4.33</f>
        <v>108.25</v>
      </c>
      <c r="I14" s="98">
        <f t="shared" ref="I14:I33" si="41">D14*E14*F14</f>
        <v>601.25</v>
      </c>
      <c r="J14" s="98">
        <f t="shared" ref="J14:J33" si="42">D14*E14*G14</f>
        <v>3006.25</v>
      </c>
      <c r="K14" s="98">
        <f t="shared" ref="K14:K33" si="43">D14*E14*H14</f>
        <v>13017.0625</v>
      </c>
      <c r="L14" s="599"/>
      <c r="M14" s="455"/>
      <c r="O14" s="613"/>
      <c r="P14" s="80" t="s">
        <v>194</v>
      </c>
      <c r="Q14" s="80" t="s">
        <v>263</v>
      </c>
      <c r="R14" s="134">
        <v>1</v>
      </c>
      <c r="S14" s="134">
        <v>100</v>
      </c>
      <c r="T14" s="134">
        <f t="shared" ref="T14:T19" si="44">U14/7</f>
        <v>6.5410779696493986E-5</v>
      </c>
      <c r="U14" s="134">
        <f t="shared" ref="U14:U19" si="45">(4/((7*24)*52))</f>
        <v>4.5787545787545788E-4</v>
      </c>
      <c r="V14" s="134">
        <f t="shared" si="38"/>
        <v>1.9826007326007328E-3</v>
      </c>
      <c r="W14" s="168">
        <f t="shared" si="34"/>
        <v>6.5410779696493983E-3</v>
      </c>
      <c r="X14" s="168">
        <f t="shared" si="35"/>
        <v>4.5787545787545784E-2</v>
      </c>
      <c r="Y14" s="169">
        <f t="shared" si="36"/>
        <v>0.19826007326007328</v>
      </c>
      <c r="Z14" s="606"/>
      <c r="AC14" s="613"/>
      <c r="AD14" s="80" t="s">
        <v>193</v>
      </c>
      <c r="AE14" s="80" t="s">
        <v>251</v>
      </c>
      <c r="AF14" s="98">
        <v>12</v>
      </c>
      <c r="AG14" s="98">
        <v>17</v>
      </c>
      <c r="AH14" s="98">
        <v>5</v>
      </c>
      <c r="AI14" s="98">
        <f>5*AH14</f>
        <v>25</v>
      </c>
      <c r="AJ14" s="98">
        <f t="shared" ref="AJ14:AJ17" si="46">AI14*4.33</f>
        <v>108.25</v>
      </c>
      <c r="AK14" s="98">
        <f t="shared" si="28"/>
        <v>1020</v>
      </c>
      <c r="AL14" s="98">
        <f t="shared" si="29"/>
        <v>5100</v>
      </c>
      <c r="AM14" s="98">
        <f t="shared" si="30"/>
        <v>22083</v>
      </c>
      <c r="AN14" s="599"/>
      <c r="AQ14" s="613"/>
      <c r="AR14" s="80" t="s">
        <v>193</v>
      </c>
      <c r="AS14" s="80" t="s">
        <v>251</v>
      </c>
      <c r="AT14" s="134">
        <v>1</v>
      </c>
      <c r="AU14" s="135">
        <v>17</v>
      </c>
      <c r="AV14" s="139">
        <v>5</v>
      </c>
      <c r="AW14" s="155">
        <v>0</v>
      </c>
      <c r="AX14" s="155">
        <v>0</v>
      </c>
      <c r="AY14" s="155">
        <v>0</v>
      </c>
      <c r="AZ14" s="155">
        <v>0</v>
      </c>
      <c r="BA14" s="155">
        <v>0</v>
      </c>
      <c r="BB14" s="155">
        <v>0</v>
      </c>
      <c r="BC14" s="155">
        <v>0</v>
      </c>
      <c r="BD14" s="155">
        <v>0</v>
      </c>
      <c r="BE14" s="155">
        <v>1</v>
      </c>
      <c r="BF14" s="155">
        <v>1</v>
      </c>
      <c r="BG14" s="155">
        <v>1</v>
      </c>
      <c r="BH14" s="155">
        <v>1</v>
      </c>
      <c r="BI14" s="155">
        <v>1</v>
      </c>
      <c r="BJ14" s="155">
        <v>0</v>
      </c>
      <c r="BK14" s="155">
        <v>0</v>
      </c>
      <c r="BL14" s="155">
        <v>0</v>
      </c>
      <c r="BM14" s="155">
        <v>0</v>
      </c>
      <c r="BN14" s="155">
        <v>0</v>
      </c>
      <c r="BO14" s="155">
        <v>0</v>
      </c>
      <c r="BP14" s="155">
        <v>0</v>
      </c>
      <c r="BQ14" s="155">
        <v>0</v>
      </c>
      <c r="BR14" s="155">
        <v>0</v>
      </c>
      <c r="BS14" s="155">
        <v>0</v>
      </c>
      <c r="BT14" s="155">
        <v>0</v>
      </c>
      <c r="BU14" s="102">
        <f t="shared" si="13"/>
        <v>5</v>
      </c>
      <c r="BX14" s="613"/>
      <c r="BY14" s="80" t="s">
        <v>193</v>
      </c>
      <c r="BZ14" s="80" t="s">
        <v>251</v>
      </c>
      <c r="CA14" s="134">
        <v>1</v>
      </c>
      <c r="CB14" s="135">
        <v>17</v>
      </c>
      <c r="CC14" s="165">
        <f t="shared" ref="CC14:CZ14" si="47">$CA$14*$CB$14*AW14</f>
        <v>0</v>
      </c>
      <c r="CD14" s="155">
        <f t="shared" si="47"/>
        <v>0</v>
      </c>
      <c r="CE14" s="155">
        <f t="shared" si="47"/>
        <v>0</v>
      </c>
      <c r="CF14" s="155">
        <f t="shared" si="47"/>
        <v>0</v>
      </c>
      <c r="CG14" s="155">
        <f t="shared" si="47"/>
        <v>0</v>
      </c>
      <c r="CH14" s="155">
        <f t="shared" si="47"/>
        <v>0</v>
      </c>
      <c r="CI14" s="155">
        <f t="shared" si="47"/>
        <v>0</v>
      </c>
      <c r="CJ14" s="155">
        <f t="shared" si="47"/>
        <v>0</v>
      </c>
      <c r="CK14" s="155">
        <f t="shared" si="47"/>
        <v>17</v>
      </c>
      <c r="CL14" s="155">
        <f t="shared" si="47"/>
        <v>17</v>
      </c>
      <c r="CM14" s="155">
        <f t="shared" si="47"/>
        <v>17</v>
      </c>
      <c r="CN14" s="155">
        <f t="shared" si="47"/>
        <v>17</v>
      </c>
      <c r="CO14" s="155">
        <f t="shared" si="47"/>
        <v>17</v>
      </c>
      <c r="CP14" s="155">
        <f t="shared" si="47"/>
        <v>0</v>
      </c>
      <c r="CQ14" s="155">
        <f t="shared" si="47"/>
        <v>0</v>
      </c>
      <c r="CR14" s="155">
        <f t="shared" si="47"/>
        <v>0</v>
      </c>
      <c r="CS14" s="155">
        <f t="shared" si="47"/>
        <v>0</v>
      </c>
      <c r="CT14" s="155">
        <f t="shared" si="47"/>
        <v>0</v>
      </c>
      <c r="CU14" s="155">
        <f t="shared" si="47"/>
        <v>0</v>
      </c>
      <c r="CV14" s="155">
        <f t="shared" si="47"/>
        <v>0</v>
      </c>
      <c r="CW14" s="155">
        <f t="shared" si="47"/>
        <v>0</v>
      </c>
      <c r="CX14" s="155">
        <f t="shared" si="47"/>
        <v>0</v>
      </c>
      <c r="CY14" s="155">
        <f t="shared" si="47"/>
        <v>0</v>
      </c>
      <c r="CZ14" s="155">
        <f t="shared" si="47"/>
        <v>0</v>
      </c>
      <c r="DA14" s="102">
        <f t="shared" si="32"/>
        <v>85</v>
      </c>
    </row>
    <row r="15" spans="1:105" ht="17.25" x14ac:dyDescent="0.3">
      <c r="A15" s="115"/>
      <c r="B15" s="80"/>
      <c r="C15" s="80" t="s">
        <v>203</v>
      </c>
      <c r="D15" s="98">
        <v>1</v>
      </c>
      <c r="E15" s="101">
        <v>180</v>
      </c>
      <c r="F15" s="98">
        <v>0.14000000000000001</v>
      </c>
      <c r="G15" s="98">
        <f>F15*5</f>
        <v>0.70000000000000007</v>
      </c>
      <c r="H15" s="98">
        <f t="shared" si="40"/>
        <v>3.0310000000000001</v>
      </c>
      <c r="I15" s="98">
        <f t="shared" si="41"/>
        <v>25.200000000000003</v>
      </c>
      <c r="J15" s="98">
        <f t="shared" si="42"/>
        <v>126.00000000000001</v>
      </c>
      <c r="K15" s="98">
        <f t="shared" si="43"/>
        <v>545.58000000000004</v>
      </c>
      <c r="L15" s="599"/>
      <c r="M15" s="455"/>
      <c r="O15" s="613"/>
      <c r="P15" s="80"/>
      <c r="Q15" s="80" t="s">
        <v>251</v>
      </c>
      <c r="R15" s="134">
        <v>34</v>
      </c>
      <c r="S15" s="134">
        <v>17</v>
      </c>
      <c r="T15" s="134">
        <f t="shared" si="44"/>
        <v>6.5410779696493986E-5</v>
      </c>
      <c r="U15" s="134">
        <f t="shared" si="45"/>
        <v>4.5787545787545788E-4</v>
      </c>
      <c r="V15" s="134">
        <f t="shared" si="38"/>
        <v>1.9826007326007328E-3</v>
      </c>
      <c r="W15" s="168">
        <f t="shared" si="34"/>
        <v>3.7807430664573524E-2</v>
      </c>
      <c r="X15" s="168">
        <f t="shared" si="35"/>
        <v>0.26465201465201466</v>
      </c>
      <c r="Y15" s="169">
        <f t="shared" si="36"/>
        <v>1.1459432234432236</v>
      </c>
      <c r="Z15" s="606"/>
      <c r="AC15" s="613"/>
      <c r="AD15" s="80" t="s">
        <v>194</v>
      </c>
      <c r="AE15" s="80" t="s">
        <v>263</v>
      </c>
      <c r="AF15" s="98">
        <v>1</v>
      </c>
      <c r="AG15" s="98">
        <v>100</v>
      </c>
      <c r="AH15" s="98">
        <f t="shared" ref="AH15:AH20" si="48">AI15/7</f>
        <v>6.5410779696493986E-5</v>
      </c>
      <c r="AI15" s="98">
        <f t="shared" ref="AI15:AI20" si="49">(4/((7*24)*52))</f>
        <v>4.5787545787545788E-4</v>
      </c>
      <c r="AJ15" s="98">
        <f t="shared" si="46"/>
        <v>1.9826007326007328E-3</v>
      </c>
      <c r="AK15" s="98">
        <f t="shared" si="28"/>
        <v>6.5410779696493983E-3</v>
      </c>
      <c r="AL15" s="98">
        <f t="shared" si="29"/>
        <v>4.5787545787545784E-2</v>
      </c>
      <c r="AM15" s="98">
        <f t="shared" si="30"/>
        <v>0.19826007326007328</v>
      </c>
      <c r="AN15" s="599"/>
      <c r="AQ15" s="613"/>
      <c r="AR15" s="80" t="s">
        <v>194</v>
      </c>
      <c r="AS15" s="80" t="s">
        <v>263</v>
      </c>
      <c r="AT15" s="134">
        <v>1</v>
      </c>
      <c r="AU15" s="135">
        <v>100</v>
      </c>
      <c r="AV15" s="139">
        <f t="shared" ref="AV15:AV20" si="50">AW15/7</f>
        <v>0</v>
      </c>
      <c r="AW15" s="155">
        <v>0</v>
      </c>
      <c r="AX15" s="155">
        <v>0</v>
      </c>
      <c r="AY15" s="155">
        <v>0</v>
      </c>
      <c r="AZ15" s="155">
        <v>0</v>
      </c>
      <c r="BA15" s="155">
        <v>0</v>
      </c>
      <c r="BB15" s="155">
        <v>0</v>
      </c>
      <c r="BC15" s="155">
        <v>0</v>
      </c>
      <c r="BD15" s="155">
        <v>0</v>
      </c>
      <c r="BE15" s="155">
        <v>0</v>
      </c>
      <c r="BF15" s="155">
        <v>0</v>
      </c>
      <c r="BG15" s="155">
        <v>0</v>
      </c>
      <c r="BH15" s="155">
        <v>0</v>
      </c>
      <c r="BI15" s="155">
        <v>0</v>
      </c>
      <c r="BJ15" s="155">
        <v>0</v>
      </c>
      <c r="BK15" s="155">
        <v>0</v>
      </c>
      <c r="BL15" s="155"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02">
        <f t="shared" si="13"/>
        <v>0</v>
      </c>
      <c r="BX15" s="613"/>
      <c r="BY15" s="80" t="s">
        <v>194</v>
      </c>
      <c r="BZ15" s="80" t="s">
        <v>263</v>
      </c>
      <c r="CA15" s="134">
        <v>1</v>
      </c>
      <c r="CB15" s="135">
        <v>100</v>
      </c>
      <c r="CC15" s="165">
        <f t="shared" ref="CC15:CZ15" si="51">$CA$15*$CB$15*AW15</f>
        <v>0</v>
      </c>
      <c r="CD15" s="155">
        <f t="shared" si="51"/>
        <v>0</v>
      </c>
      <c r="CE15" s="155">
        <f t="shared" si="51"/>
        <v>0</v>
      </c>
      <c r="CF15" s="155">
        <f t="shared" si="51"/>
        <v>0</v>
      </c>
      <c r="CG15" s="155">
        <f t="shared" si="51"/>
        <v>0</v>
      </c>
      <c r="CH15" s="155">
        <f t="shared" si="51"/>
        <v>0</v>
      </c>
      <c r="CI15" s="155">
        <f t="shared" si="51"/>
        <v>0</v>
      </c>
      <c r="CJ15" s="155">
        <f t="shared" si="51"/>
        <v>0</v>
      </c>
      <c r="CK15" s="155">
        <f t="shared" si="51"/>
        <v>0</v>
      </c>
      <c r="CL15" s="155">
        <f t="shared" si="51"/>
        <v>0</v>
      </c>
      <c r="CM15" s="155">
        <f t="shared" si="51"/>
        <v>0</v>
      </c>
      <c r="CN15" s="155">
        <f t="shared" si="51"/>
        <v>0</v>
      </c>
      <c r="CO15" s="155">
        <f t="shared" si="51"/>
        <v>0</v>
      </c>
      <c r="CP15" s="155">
        <f t="shared" si="51"/>
        <v>0</v>
      </c>
      <c r="CQ15" s="155">
        <f t="shared" si="51"/>
        <v>0</v>
      </c>
      <c r="CR15" s="155">
        <f t="shared" si="51"/>
        <v>0</v>
      </c>
      <c r="CS15" s="155">
        <f t="shared" si="51"/>
        <v>0</v>
      </c>
      <c r="CT15" s="155">
        <f t="shared" si="51"/>
        <v>0</v>
      </c>
      <c r="CU15" s="155">
        <f t="shared" si="51"/>
        <v>0</v>
      </c>
      <c r="CV15" s="155">
        <f t="shared" si="51"/>
        <v>0</v>
      </c>
      <c r="CW15" s="155">
        <f t="shared" si="51"/>
        <v>0</v>
      </c>
      <c r="CX15" s="155">
        <f t="shared" si="51"/>
        <v>0</v>
      </c>
      <c r="CY15" s="155">
        <f t="shared" si="51"/>
        <v>0</v>
      </c>
      <c r="CZ15" s="155">
        <f t="shared" si="51"/>
        <v>0</v>
      </c>
      <c r="DA15" s="102">
        <f t="shared" si="32"/>
        <v>0</v>
      </c>
    </row>
    <row r="16" spans="1:105" ht="17.25" x14ac:dyDescent="0.3">
      <c r="A16" s="115"/>
      <c r="B16" s="80"/>
      <c r="C16" s="80" t="s">
        <v>204</v>
      </c>
      <c r="D16" s="98">
        <v>1</v>
      </c>
      <c r="E16" s="101">
        <v>120</v>
      </c>
      <c r="F16" s="98">
        <f t="shared" ref="F16" si="52">G16/7</f>
        <v>6.5410779696493986E-5</v>
      </c>
      <c r="G16" s="98">
        <f t="shared" ref="G16" si="53">(4/((7*24)*52))</f>
        <v>4.5787545787545788E-4</v>
      </c>
      <c r="H16" s="98">
        <f>4/12</f>
        <v>0.33333333333333331</v>
      </c>
      <c r="I16" s="98">
        <f t="shared" si="41"/>
        <v>7.849293563579279E-3</v>
      </c>
      <c r="J16" s="98">
        <f t="shared" si="42"/>
        <v>5.4945054945054944E-2</v>
      </c>
      <c r="K16" s="98">
        <f t="shared" si="43"/>
        <v>40</v>
      </c>
      <c r="L16" s="599"/>
      <c r="M16" s="455"/>
      <c r="O16" s="613"/>
      <c r="P16" s="80" t="s">
        <v>206</v>
      </c>
      <c r="Q16" s="80" t="s">
        <v>263</v>
      </c>
      <c r="R16" s="134">
        <v>2</v>
      </c>
      <c r="S16" s="134">
        <v>100</v>
      </c>
      <c r="T16" s="134">
        <f t="shared" si="44"/>
        <v>6.5410779696493986E-5</v>
      </c>
      <c r="U16" s="134">
        <f t="shared" si="45"/>
        <v>4.5787545787545788E-4</v>
      </c>
      <c r="V16" s="134">
        <f t="shared" si="38"/>
        <v>1.9826007326007328E-3</v>
      </c>
      <c r="W16" s="168">
        <f t="shared" si="34"/>
        <v>1.3082155939298797E-2</v>
      </c>
      <c r="X16" s="168">
        <f t="shared" si="35"/>
        <v>9.1575091575091569E-2</v>
      </c>
      <c r="Y16" s="169">
        <f t="shared" si="36"/>
        <v>0.39652014652014655</v>
      </c>
      <c r="Z16" s="606"/>
      <c r="AC16" s="613"/>
      <c r="AD16" s="80"/>
      <c r="AE16" s="80" t="s">
        <v>251</v>
      </c>
      <c r="AF16" s="98">
        <v>34</v>
      </c>
      <c r="AG16" s="98">
        <v>17</v>
      </c>
      <c r="AH16" s="98">
        <f t="shared" si="48"/>
        <v>6.5410779696493986E-5</v>
      </c>
      <c r="AI16" s="98">
        <f t="shared" si="49"/>
        <v>4.5787545787545788E-4</v>
      </c>
      <c r="AJ16" s="98">
        <f t="shared" si="46"/>
        <v>1.9826007326007328E-3</v>
      </c>
      <c r="AK16" s="98">
        <f t="shared" si="28"/>
        <v>3.7807430664573524E-2</v>
      </c>
      <c r="AL16" s="98">
        <f t="shared" si="29"/>
        <v>0.26465201465201466</v>
      </c>
      <c r="AM16" s="98">
        <f t="shared" si="30"/>
        <v>1.1459432234432236</v>
      </c>
      <c r="AN16" s="599"/>
      <c r="AQ16" s="613"/>
      <c r="AR16" s="80"/>
      <c r="AS16" s="80" t="s">
        <v>251</v>
      </c>
      <c r="AT16" s="134">
        <v>34</v>
      </c>
      <c r="AU16" s="135">
        <v>17</v>
      </c>
      <c r="AV16" s="139">
        <f t="shared" si="50"/>
        <v>0</v>
      </c>
      <c r="AW16" s="155">
        <v>0</v>
      </c>
      <c r="AX16" s="155">
        <v>0</v>
      </c>
      <c r="AY16" s="155">
        <v>0</v>
      </c>
      <c r="AZ16" s="155">
        <v>0</v>
      </c>
      <c r="BA16" s="155">
        <v>0</v>
      </c>
      <c r="BB16" s="155">
        <v>0</v>
      </c>
      <c r="BC16" s="155">
        <v>0</v>
      </c>
      <c r="BD16" s="155">
        <v>0</v>
      </c>
      <c r="BE16" s="155">
        <v>0</v>
      </c>
      <c r="BF16" s="155">
        <v>0</v>
      </c>
      <c r="BG16" s="155">
        <v>0</v>
      </c>
      <c r="BH16" s="155">
        <v>0</v>
      </c>
      <c r="BI16" s="155">
        <v>0</v>
      </c>
      <c r="BJ16" s="155">
        <v>0</v>
      </c>
      <c r="BK16" s="155">
        <v>0</v>
      </c>
      <c r="BL16" s="155">
        <v>0</v>
      </c>
      <c r="BM16" s="155">
        <v>0</v>
      </c>
      <c r="BN16" s="155">
        <v>0</v>
      </c>
      <c r="BO16" s="155">
        <v>0</v>
      </c>
      <c r="BP16" s="155">
        <v>0</v>
      </c>
      <c r="BQ16" s="155">
        <v>0</v>
      </c>
      <c r="BR16" s="155">
        <v>0</v>
      </c>
      <c r="BS16" s="155">
        <v>0</v>
      </c>
      <c r="BT16" s="155">
        <v>0</v>
      </c>
      <c r="BU16" s="102">
        <f t="shared" si="13"/>
        <v>0</v>
      </c>
      <c r="BX16" s="613"/>
      <c r="BY16" s="80"/>
      <c r="BZ16" s="80" t="s">
        <v>251</v>
      </c>
      <c r="CA16" s="134">
        <v>34</v>
      </c>
      <c r="CB16" s="135">
        <v>17</v>
      </c>
      <c r="CC16" s="165">
        <f t="shared" ref="CC16:CZ16" si="54">$CA$16*$CB$16*AW16</f>
        <v>0</v>
      </c>
      <c r="CD16" s="155">
        <f t="shared" si="54"/>
        <v>0</v>
      </c>
      <c r="CE16" s="155">
        <f t="shared" si="54"/>
        <v>0</v>
      </c>
      <c r="CF16" s="155">
        <f t="shared" si="54"/>
        <v>0</v>
      </c>
      <c r="CG16" s="155">
        <f t="shared" si="54"/>
        <v>0</v>
      </c>
      <c r="CH16" s="155">
        <f t="shared" si="54"/>
        <v>0</v>
      </c>
      <c r="CI16" s="155">
        <f t="shared" si="54"/>
        <v>0</v>
      </c>
      <c r="CJ16" s="155">
        <f t="shared" si="54"/>
        <v>0</v>
      </c>
      <c r="CK16" s="155">
        <f t="shared" si="54"/>
        <v>0</v>
      </c>
      <c r="CL16" s="155">
        <f t="shared" si="54"/>
        <v>0</v>
      </c>
      <c r="CM16" s="155">
        <f t="shared" si="54"/>
        <v>0</v>
      </c>
      <c r="CN16" s="155">
        <f t="shared" si="54"/>
        <v>0</v>
      </c>
      <c r="CO16" s="155">
        <f t="shared" si="54"/>
        <v>0</v>
      </c>
      <c r="CP16" s="155">
        <f t="shared" si="54"/>
        <v>0</v>
      </c>
      <c r="CQ16" s="155">
        <f t="shared" si="54"/>
        <v>0</v>
      </c>
      <c r="CR16" s="155">
        <f t="shared" si="54"/>
        <v>0</v>
      </c>
      <c r="CS16" s="155">
        <f t="shared" si="54"/>
        <v>0</v>
      </c>
      <c r="CT16" s="155">
        <f t="shared" si="54"/>
        <v>0</v>
      </c>
      <c r="CU16" s="155">
        <f t="shared" si="54"/>
        <v>0</v>
      </c>
      <c r="CV16" s="155">
        <f t="shared" si="54"/>
        <v>0</v>
      </c>
      <c r="CW16" s="155">
        <f t="shared" si="54"/>
        <v>0</v>
      </c>
      <c r="CX16" s="155">
        <f t="shared" si="54"/>
        <v>0</v>
      </c>
      <c r="CY16" s="155">
        <f t="shared" si="54"/>
        <v>0</v>
      </c>
      <c r="CZ16" s="155">
        <f t="shared" si="54"/>
        <v>0</v>
      </c>
      <c r="DA16" s="102">
        <f t="shared" si="32"/>
        <v>0</v>
      </c>
    </row>
    <row r="17" spans="1:105" ht="17.25" x14ac:dyDescent="0.3">
      <c r="A17" s="115"/>
      <c r="B17" s="80"/>
      <c r="C17" s="80" t="s">
        <v>216</v>
      </c>
      <c r="D17" s="98">
        <v>1</v>
      </c>
      <c r="E17" s="101">
        <f>120*0.5</f>
        <v>60</v>
      </c>
      <c r="F17" s="98" t="s">
        <v>215</v>
      </c>
      <c r="G17" s="98"/>
      <c r="H17" s="98">
        <f t="shared" si="40"/>
        <v>0</v>
      </c>
      <c r="I17" s="98">
        <v>0</v>
      </c>
      <c r="J17" s="98">
        <f t="shared" si="42"/>
        <v>0</v>
      </c>
      <c r="K17" s="98">
        <f t="shared" si="43"/>
        <v>0</v>
      </c>
      <c r="L17" s="599"/>
      <c r="M17" s="455"/>
      <c r="O17" s="613"/>
      <c r="P17" s="80"/>
      <c r="Q17" s="80" t="s">
        <v>247</v>
      </c>
      <c r="R17" s="134">
        <v>1</v>
      </c>
      <c r="S17" s="138">
        <v>22.11</v>
      </c>
      <c r="T17" s="134">
        <f t="shared" si="44"/>
        <v>6.5410779696493986E-5</v>
      </c>
      <c r="U17" s="134">
        <f t="shared" si="45"/>
        <v>4.5787545787545788E-4</v>
      </c>
      <c r="V17" s="134">
        <f>4/12</f>
        <v>0.33333333333333331</v>
      </c>
      <c r="W17" s="168">
        <f t="shared" si="34"/>
        <v>1.446232339089482E-3</v>
      </c>
      <c r="X17" s="168">
        <f t="shared" si="35"/>
        <v>1.0123626373626373E-2</v>
      </c>
      <c r="Y17" s="169">
        <f t="shared" si="36"/>
        <v>7.3699999999999992</v>
      </c>
      <c r="Z17" s="606"/>
      <c r="AC17" s="613"/>
      <c r="AD17" s="80" t="s">
        <v>206</v>
      </c>
      <c r="AE17" s="80" t="s">
        <v>263</v>
      </c>
      <c r="AF17" s="98">
        <v>2</v>
      </c>
      <c r="AG17" s="98">
        <v>100</v>
      </c>
      <c r="AH17" s="98">
        <f t="shared" si="48"/>
        <v>6.5410779696493986E-5</v>
      </c>
      <c r="AI17" s="98">
        <f t="shared" si="49"/>
        <v>4.5787545787545788E-4</v>
      </c>
      <c r="AJ17" s="98">
        <f t="shared" si="46"/>
        <v>1.9826007326007328E-3</v>
      </c>
      <c r="AK17" s="98">
        <f t="shared" si="28"/>
        <v>1.3082155939298797E-2</v>
      </c>
      <c r="AL17" s="98">
        <f t="shared" si="29"/>
        <v>9.1575091575091569E-2</v>
      </c>
      <c r="AM17" s="98">
        <f t="shared" si="30"/>
        <v>0.39652014652014655</v>
      </c>
      <c r="AN17" s="599"/>
      <c r="AQ17" s="613"/>
      <c r="AR17" s="80" t="s">
        <v>206</v>
      </c>
      <c r="AS17" s="80" t="s">
        <v>263</v>
      </c>
      <c r="AT17" s="134">
        <v>2</v>
      </c>
      <c r="AU17" s="135">
        <v>100</v>
      </c>
      <c r="AV17" s="139">
        <f t="shared" si="50"/>
        <v>0</v>
      </c>
      <c r="AW17" s="155">
        <v>0</v>
      </c>
      <c r="AX17" s="155">
        <v>0</v>
      </c>
      <c r="AY17" s="155">
        <v>0</v>
      </c>
      <c r="AZ17" s="155">
        <v>0</v>
      </c>
      <c r="BA17" s="155">
        <v>0</v>
      </c>
      <c r="BB17" s="155">
        <v>0</v>
      </c>
      <c r="BC17" s="155">
        <v>0</v>
      </c>
      <c r="BD17" s="155">
        <v>0</v>
      </c>
      <c r="BE17" s="155">
        <v>0</v>
      </c>
      <c r="BF17" s="155">
        <v>0</v>
      </c>
      <c r="BG17" s="155">
        <v>0</v>
      </c>
      <c r="BH17" s="155">
        <v>0</v>
      </c>
      <c r="BI17" s="155">
        <v>0</v>
      </c>
      <c r="BJ17" s="155">
        <v>0</v>
      </c>
      <c r="BK17" s="155">
        <v>0</v>
      </c>
      <c r="BL17" s="155">
        <v>0</v>
      </c>
      <c r="BM17" s="155">
        <v>0</v>
      </c>
      <c r="BN17" s="155">
        <v>0</v>
      </c>
      <c r="BO17" s="155">
        <v>0</v>
      </c>
      <c r="BP17" s="155">
        <v>0</v>
      </c>
      <c r="BQ17" s="155">
        <v>0</v>
      </c>
      <c r="BR17" s="155">
        <v>0</v>
      </c>
      <c r="BS17" s="155">
        <v>0</v>
      </c>
      <c r="BT17" s="155">
        <v>0</v>
      </c>
      <c r="BU17" s="102">
        <f t="shared" si="13"/>
        <v>0</v>
      </c>
      <c r="BX17" s="613"/>
      <c r="BY17" s="80" t="s">
        <v>206</v>
      </c>
      <c r="BZ17" s="80" t="s">
        <v>263</v>
      </c>
      <c r="CA17" s="134">
        <v>2</v>
      </c>
      <c r="CB17" s="135">
        <v>100</v>
      </c>
      <c r="CC17" s="165">
        <f t="shared" ref="CC17:CZ17" si="55">$CA$17*$CB$17*AW17</f>
        <v>0</v>
      </c>
      <c r="CD17" s="155">
        <f t="shared" si="55"/>
        <v>0</v>
      </c>
      <c r="CE17" s="155">
        <f t="shared" si="55"/>
        <v>0</v>
      </c>
      <c r="CF17" s="155">
        <f t="shared" si="55"/>
        <v>0</v>
      </c>
      <c r="CG17" s="155">
        <f t="shared" si="55"/>
        <v>0</v>
      </c>
      <c r="CH17" s="155">
        <f t="shared" si="55"/>
        <v>0</v>
      </c>
      <c r="CI17" s="155">
        <f t="shared" si="55"/>
        <v>0</v>
      </c>
      <c r="CJ17" s="155">
        <f t="shared" si="55"/>
        <v>0</v>
      </c>
      <c r="CK17" s="155">
        <f t="shared" si="55"/>
        <v>0</v>
      </c>
      <c r="CL17" s="155">
        <f t="shared" si="55"/>
        <v>0</v>
      </c>
      <c r="CM17" s="155">
        <f t="shared" si="55"/>
        <v>0</v>
      </c>
      <c r="CN17" s="155">
        <f t="shared" si="55"/>
        <v>0</v>
      </c>
      <c r="CO17" s="155">
        <f t="shared" si="55"/>
        <v>0</v>
      </c>
      <c r="CP17" s="155">
        <f t="shared" si="55"/>
        <v>0</v>
      </c>
      <c r="CQ17" s="155">
        <f t="shared" si="55"/>
        <v>0</v>
      </c>
      <c r="CR17" s="155">
        <f t="shared" si="55"/>
        <v>0</v>
      </c>
      <c r="CS17" s="155">
        <f t="shared" si="55"/>
        <v>0</v>
      </c>
      <c r="CT17" s="155">
        <f t="shared" si="55"/>
        <v>0</v>
      </c>
      <c r="CU17" s="155">
        <f t="shared" si="55"/>
        <v>0</v>
      </c>
      <c r="CV17" s="155">
        <f t="shared" si="55"/>
        <v>0</v>
      </c>
      <c r="CW17" s="155">
        <f t="shared" si="55"/>
        <v>0</v>
      </c>
      <c r="CX17" s="155">
        <f t="shared" si="55"/>
        <v>0</v>
      </c>
      <c r="CY17" s="155">
        <f t="shared" si="55"/>
        <v>0</v>
      </c>
      <c r="CZ17" s="155">
        <f t="shared" si="55"/>
        <v>0</v>
      </c>
      <c r="DA17" s="102">
        <f t="shared" si="32"/>
        <v>0</v>
      </c>
    </row>
    <row r="18" spans="1:105" ht="17.25" x14ac:dyDescent="0.3">
      <c r="A18" s="115"/>
      <c r="B18" s="80"/>
      <c r="C18" s="80" t="s">
        <v>210</v>
      </c>
      <c r="D18" s="98">
        <v>1</v>
      </c>
      <c r="E18" s="101">
        <f>160/1000</f>
        <v>0.16</v>
      </c>
      <c r="F18" s="98">
        <v>5</v>
      </c>
      <c r="G18" s="98">
        <f>F18*5</f>
        <v>25</v>
      </c>
      <c r="H18" s="98">
        <f t="shared" si="40"/>
        <v>108.25</v>
      </c>
      <c r="I18" s="98">
        <f t="shared" si="41"/>
        <v>0.8</v>
      </c>
      <c r="J18" s="98">
        <f t="shared" si="42"/>
        <v>4</v>
      </c>
      <c r="K18" s="98">
        <f t="shared" si="43"/>
        <v>17.32</v>
      </c>
      <c r="L18" s="599"/>
      <c r="M18" s="455"/>
      <c r="O18" s="613"/>
      <c r="P18" s="80" t="s">
        <v>206</v>
      </c>
      <c r="Q18" s="80" t="s">
        <v>263</v>
      </c>
      <c r="R18" s="134">
        <v>1</v>
      </c>
      <c r="S18" s="134">
        <v>100</v>
      </c>
      <c r="T18" s="134">
        <f t="shared" si="44"/>
        <v>6.5410779696493986E-5</v>
      </c>
      <c r="U18" s="134">
        <f t="shared" si="45"/>
        <v>4.5787545787545788E-4</v>
      </c>
      <c r="V18" s="134">
        <f>U18*4.33</f>
        <v>1.9826007326007328E-3</v>
      </c>
      <c r="W18" s="168">
        <f t="shared" si="34"/>
        <v>6.5410779696493983E-3</v>
      </c>
      <c r="X18" s="168">
        <f t="shared" si="35"/>
        <v>4.5787545787545784E-2</v>
      </c>
      <c r="Y18" s="169">
        <f t="shared" si="36"/>
        <v>0.19826007326007328</v>
      </c>
      <c r="Z18" s="606"/>
      <c r="AC18" s="613"/>
      <c r="AD18" s="80"/>
      <c r="AE18" s="80" t="s">
        <v>247</v>
      </c>
      <c r="AF18" s="98">
        <v>1</v>
      </c>
      <c r="AG18" s="101">
        <v>22.11</v>
      </c>
      <c r="AH18" s="98">
        <f t="shared" si="48"/>
        <v>6.5410779696493986E-5</v>
      </c>
      <c r="AI18" s="98">
        <f t="shared" si="49"/>
        <v>4.5787545787545788E-4</v>
      </c>
      <c r="AJ18" s="98">
        <f>4/12</f>
        <v>0.33333333333333331</v>
      </c>
      <c r="AK18" s="98">
        <f t="shared" si="28"/>
        <v>1.446232339089482E-3</v>
      </c>
      <c r="AL18" s="98">
        <f t="shared" si="29"/>
        <v>1.0123626373626373E-2</v>
      </c>
      <c r="AM18" s="98">
        <f t="shared" si="30"/>
        <v>7.3699999999999992</v>
      </c>
      <c r="AN18" s="599"/>
      <c r="AQ18" s="613"/>
      <c r="AR18" s="80"/>
      <c r="AS18" s="80" t="s">
        <v>247</v>
      </c>
      <c r="AT18" s="134">
        <v>1</v>
      </c>
      <c r="AU18" s="150">
        <v>22.11</v>
      </c>
      <c r="AV18" s="139">
        <f t="shared" si="50"/>
        <v>0</v>
      </c>
      <c r="AW18" s="155">
        <v>0</v>
      </c>
      <c r="AX18" s="155">
        <v>0</v>
      </c>
      <c r="AY18" s="155">
        <v>0</v>
      </c>
      <c r="AZ18" s="155">
        <v>0</v>
      </c>
      <c r="BA18" s="155">
        <v>0</v>
      </c>
      <c r="BB18" s="155">
        <v>0</v>
      </c>
      <c r="BC18" s="155">
        <v>0</v>
      </c>
      <c r="BD18" s="155">
        <v>0</v>
      </c>
      <c r="BE18" s="155">
        <v>0</v>
      </c>
      <c r="BF18" s="155">
        <v>0</v>
      </c>
      <c r="BG18" s="155">
        <v>0</v>
      </c>
      <c r="BH18" s="155">
        <v>0</v>
      </c>
      <c r="BI18" s="155">
        <v>0</v>
      </c>
      <c r="BJ18" s="155">
        <v>0</v>
      </c>
      <c r="BK18" s="155">
        <v>0</v>
      </c>
      <c r="BL18" s="155">
        <v>0</v>
      </c>
      <c r="BM18" s="155">
        <v>0</v>
      </c>
      <c r="BN18" s="155">
        <v>0</v>
      </c>
      <c r="BO18" s="155">
        <v>0</v>
      </c>
      <c r="BP18" s="155">
        <v>0</v>
      </c>
      <c r="BQ18" s="155">
        <v>0</v>
      </c>
      <c r="BR18" s="155">
        <v>0</v>
      </c>
      <c r="BS18" s="155">
        <v>0</v>
      </c>
      <c r="BT18" s="155">
        <v>0</v>
      </c>
      <c r="BU18" s="102">
        <f t="shared" si="13"/>
        <v>0</v>
      </c>
      <c r="BX18" s="613"/>
      <c r="BY18" s="80"/>
      <c r="BZ18" s="80" t="s">
        <v>247</v>
      </c>
      <c r="CA18" s="134">
        <v>1</v>
      </c>
      <c r="CB18" s="150">
        <v>22.11</v>
      </c>
      <c r="CC18" s="165">
        <f t="shared" ref="CC18:CZ18" si="56">$CA$18*$CB$18*AW18</f>
        <v>0</v>
      </c>
      <c r="CD18" s="155">
        <f t="shared" si="56"/>
        <v>0</v>
      </c>
      <c r="CE18" s="155">
        <f t="shared" si="56"/>
        <v>0</v>
      </c>
      <c r="CF18" s="155">
        <f t="shared" si="56"/>
        <v>0</v>
      </c>
      <c r="CG18" s="155">
        <f t="shared" si="56"/>
        <v>0</v>
      </c>
      <c r="CH18" s="155">
        <f t="shared" si="56"/>
        <v>0</v>
      </c>
      <c r="CI18" s="155">
        <f t="shared" si="56"/>
        <v>0</v>
      </c>
      <c r="CJ18" s="155">
        <f t="shared" si="56"/>
        <v>0</v>
      </c>
      <c r="CK18" s="155">
        <f t="shared" si="56"/>
        <v>0</v>
      </c>
      <c r="CL18" s="155">
        <f t="shared" si="56"/>
        <v>0</v>
      </c>
      <c r="CM18" s="155">
        <f t="shared" si="56"/>
        <v>0</v>
      </c>
      <c r="CN18" s="155">
        <f t="shared" si="56"/>
        <v>0</v>
      </c>
      <c r="CO18" s="155">
        <f t="shared" si="56"/>
        <v>0</v>
      </c>
      <c r="CP18" s="155">
        <f t="shared" si="56"/>
        <v>0</v>
      </c>
      <c r="CQ18" s="155">
        <f t="shared" si="56"/>
        <v>0</v>
      </c>
      <c r="CR18" s="155">
        <f t="shared" si="56"/>
        <v>0</v>
      </c>
      <c r="CS18" s="155">
        <f t="shared" si="56"/>
        <v>0</v>
      </c>
      <c r="CT18" s="155">
        <f t="shared" si="56"/>
        <v>0</v>
      </c>
      <c r="CU18" s="155">
        <f t="shared" si="56"/>
        <v>0</v>
      </c>
      <c r="CV18" s="155">
        <f t="shared" si="56"/>
        <v>0</v>
      </c>
      <c r="CW18" s="155">
        <f t="shared" si="56"/>
        <v>0</v>
      </c>
      <c r="CX18" s="155">
        <f t="shared" si="56"/>
        <v>0</v>
      </c>
      <c r="CY18" s="155">
        <f t="shared" si="56"/>
        <v>0</v>
      </c>
      <c r="CZ18" s="155">
        <f t="shared" si="56"/>
        <v>0</v>
      </c>
      <c r="DA18" s="102">
        <f t="shared" si="32"/>
        <v>0</v>
      </c>
    </row>
    <row r="19" spans="1:105" ht="18" thickBot="1" x14ac:dyDescent="0.35">
      <c r="A19" s="115"/>
      <c r="B19" s="80"/>
      <c r="C19" s="80" t="s">
        <v>251</v>
      </c>
      <c r="D19" s="98">
        <v>12</v>
      </c>
      <c r="E19" s="101">
        <v>17</v>
      </c>
      <c r="F19" s="98">
        <v>5</v>
      </c>
      <c r="G19" s="98">
        <f>F19*5</f>
        <v>25</v>
      </c>
      <c r="H19" s="98">
        <f t="shared" si="40"/>
        <v>108.25</v>
      </c>
      <c r="I19" s="98">
        <f t="shared" si="41"/>
        <v>1020</v>
      </c>
      <c r="J19" s="98">
        <f t="shared" si="42"/>
        <v>5100</v>
      </c>
      <c r="K19" s="98">
        <f t="shared" si="43"/>
        <v>22083</v>
      </c>
      <c r="L19" s="599"/>
      <c r="M19" s="455"/>
      <c r="O19" s="613"/>
      <c r="P19" s="80"/>
      <c r="Q19" s="80" t="s">
        <v>247</v>
      </c>
      <c r="R19" s="134">
        <v>1</v>
      </c>
      <c r="S19" s="138">
        <v>22.11</v>
      </c>
      <c r="T19" s="139">
        <f t="shared" si="44"/>
        <v>6.5410779696493986E-5</v>
      </c>
      <c r="U19" s="134">
        <f t="shared" si="45"/>
        <v>4.5787545787545788E-4</v>
      </c>
      <c r="V19" s="134">
        <f t="shared" ref="V19" si="57">4/12</f>
        <v>0.33333333333333331</v>
      </c>
      <c r="W19" s="168">
        <f t="shared" si="34"/>
        <v>1.446232339089482E-3</v>
      </c>
      <c r="X19" s="168">
        <f t="shared" si="35"/>
        <v>1.0123626373626373E-2</v>
      </c>
      <c r="Y19" s="169">
        <f t="shared" si="36"/>
        <v>7.3699999999999992</v>
      </c>
      <c r="Z19" s="606"/>
      <c r="AC19" s="613"/>
      <c r="AD19" s="80" t="s">
        <v>206</v>
      </c>
      <c r="AE19" s="80" t="s">
        <v>263</v>
      </c>
      <c r="AF19" s="98">
        <v>1</v>
      </c>
      <c r="AG19" s="98">
        <v>100</v>
      </c>
      <c r="AH19" s="98">
        <f t="shared" si="48"/>
        <v>6.5410779696493986E-5</v>
      </c>
      <c r="AI19" s="98">
        <f t="shared" si="49"/>
        <v>4.5787545787545788E-4</v>
      </c>
      <c r="AJ19" s="98">
        <f>AI19*4.33</f>
        <v>1.9826007326007328E-3</v>
      </c>
      <c r="AK19" s="98">
        <f t="shared" si="28"/>
        <v>6.5410779696493983E-3</v>
      </c>
      <c r="AL19" s="98">
        <f t="shared" si="29"/>
        <v>4.5787545787545784E-2</v>
      </c>
      <c r="AM19" s="98">
        <f t="shared" si="30"/>
        <v>0.19826007326007328</v>
      </c>
      <c r="AN19" s="599"/>
      <c r="AQ19" s="613"/>
      <c r="AR19" s="80" t="s">
        <v>206</v>
      </c>
      <c r="AS19" s="80" t="s">
        <v>263</v>
      </c>
      <c r="AT19" s="134">
        <v>1</v>
      </c>
      <c r="AU19" s="135">
        <v>100</v>
      </c>
      <c r="AV19" s="139">
        <f t="shared" si="50"/>
        <v>0</v>
      </c>
      <c r="AW19" s="155">
        <v>0</v>
      </c>
      <c r="AX19" s="155">
        <v>0</v>
      </c>
      <c r="AY19" s="155">
        <v>0</v>
      </c>
      <c r="AZ19" s="155">
        <v>0</v>
      </c>
      <c r="BA19" s="155">
        <v>0</v>
      </c>
      <c r="BB19" s="155">
        <v>0</v>
      </c>
      <c r="BC19" s="155">
        <v>0</v>
      </c>
      <c r="BD19" s="155">
        <v>0</v>
      </c>
      <c r="BE19" s="155">
        <v>0</v>
      </c>
      <c r="BF19" s="155">
        <v>0</v>
      </c>
      <c r="BG19" s="155">
        <v>0</v>
      </c>
      <c r="BH19" s="155">
        <v>0</v>
      </c>
      <c r="BI19" s="155">
        <v>0</v>
      </c>
      <c r="BJ19" s="155">
        <v>0</v>
      </c>
      <c r="BK19" s="155">
        <v>0</v>
      </c>
      <c r="BL19" s="155">
        <v>0</v>
      </c>
      <c r="BM19" s="155">
        <v>0</v>
      </c>
      <c r="BN19" s="155">
        <v>0</v>
      </c>
      <c r="BO19" s="155">
        <v>0</v>
      </c>
      <c r="BP19" s="155">
        <v>0</v>
      </c>
      <c r="BQ19" s="155">
        <v>0</v>
      </c>
      <c r="BR19" s="155">
        <v>0</v>
      </c>
      <c r="BS19" s="155">
        <v>0</v>
      </c>
      <c r="BT19" s="155">
        <v>0</v>
      </c>
      <c r="BU19" s="102">
        <f t="shared" si="13"/>
        <v>0</v>
      </c>
      <c r="BX19" s="613"/>
      <c r="BY19" s="80" t="s">
        <v>206</v>
      </c>
      <c r="BZ19" s="80" t="s">
        <v>263</v>
      </c>
      <c r="CA19" s="134">
        <v>1</v>
      </c>
      <c r="CB19" s="135">
        <v>100</v>
      </c>
      <c r="CC19" s="165">
        <f t="shared" ref="CC19:CZ19" si="58">$CA$19*$CB$19*AW19</f>
        <v>0</v>
      </c>
      <c r="CD19" s="155">
        <f t="shared" si="58"/>
        <v>0</v>
      </c>
      <c r="CE19" s="155">
        <f t="shared" si="58"/>
        <v>0</v>
      </c>
      <c r="CF19" s="155">
        <f t="shared" si="58"/>
        <v>0</v>
      </c>
      <c r="CG19" s="155">
        <f t="shared" si="58"/>
        <v>0</v>
      </c>
      <c r="CH19" s="155">
        <f t="shared" si="58"/>
        <v>0</v>
      </c>
      <c r="CI19" s="155">
        <f t="shared" si="58"/>
        <v>0</v>
      </c>
      <c r="CJ19" s="155">
        <f t="shared" si="58"/>
        <v>0</v>
      </c>
      <c r="CK19" s="155">
        <f t="shared" si="58"/>
        <v>0</v>
      </c>
      <c r="CL19" s="155">
        <f t="shared" si="58"/>
        <v>0</v>
      </c>
      <c r="CM19" s="155">
        <f t="shared" si="58"/>
        <v>0</v>
      </c>
      <c r="CN19" s="155">
        <f t="shared" si="58"/>
        <v>0</v>
      </c>
      <c r="CO19" s="155">
        <f t="shared" si="58"/>
        <v>0</v>
      </c>
      <c r="CP19" s="155">
        <f t="shared" si="58"/>
        <v>0</v>
      </c>
      <c r="CQ19" s="155">
        <f t="shared" si="58"/>
        <v>0</v>
      </c>
      <c r="CR19" s="155">
        <f t="shared" si="58"/>
        <v>0</v>
      </c>
      <c r="CS19" s="155">
        <f t="shared" si="58"/>
        <v>0</v>
      </c>
      <c r="CT19" s="155">
        <f t="shared" si="58"/>
        <v>0</v>
      </c>
      <c r="CU19" s="155">
        <f t="shared" si="58"/>
        <v>0</v>
      </c>
      <c r="CV19" s="155">
        <f t="shared" si="58"/>
        <v>0</v>
      </c>
      <c r="CW19" s="155">
        <f t="shared" si="58"/>
        <v>0</v>
      </c>
      <c r="CX19" s="155">
        <f t="shared" si="58"/>
        <v>0</v>
      </c>
      <c r="CY19" s="155">
        <f t="shared" si="58"/>
        <v>0</v>
      </c>
      <c r="CZ19" s="155">
        <f t="shared" si="58"/>
        <v>0</v>
      </c>
      <c r="DA19" s="102">
        <f t="shared" si="32"/>
        <v>0</v>
      </c>
    </row>
    <row r="20" spans="1:105" ht="18" thickBot="1" x14ac:dyDescent="0.35">
      <c r="A20" s="115"/>
      <c r="B20" s="80" t="s">
        <v>192</v>
      </c>
      <c r="C20" s="80" t="s">
        <v>263</v>
      </c>
      <c r="D20" s="98">
        <v>1</v>
      </c>
      <c r="E20" s="101">
        <v>100</v>
      </c>
      <c r="F20" s="98">
        <v>0.25</v>
      </c>
      <c r="G20" s="98">
        <f>F20*5</f>
        <v>1.25</v>
      </c>
      <c r="H20" s="98">
        <f t="shared" si="40"/>
        <v>5.4124999999999996</v>
      </c>
      <c r="I20" s="98">
        <f t="shared" si="41"/>
        <v>25</v>
      </c>
      <c r="J20" s="98">
        <f t="shared" si="42"/>
        <v>125</v>
      </c>
      <c r="K20" s="98">
        <f t="shared" si="43"/>
        <v>541.25</v>
      </c>
      <c r="L20" s="599"/>
      <c r="M20" s="455"/>
      <c r="O20" s="613"/>
      <c r="P20" s="94" t="s">
        <v>259</v>
      </c>
      <c r="Q20" s="95"/>
      <c r="R20" s="140">
        <f>SUM(R10:R18)</f>
        <v>54</v>
      </c>
      <c r="S20" s="140">
        <f>SUM(S10:S18)</f>
        <v>495.22</v>
      </c>
      <c r="T20" s="140">
        <f>SUM(T10:T18)</f>
        <v>10.500327053898479</v>
      </c>
      <c r="U20" s="140">
        <f>SUM(U10:U18)</f>
        <v>52.50228937728938</v>
      </c>
      <c r="V20" s="140">
        <f>SUM(V10:V19)</f>
        <v>227.99959706959703</v>
      </c>
      <c r="W20" s="172">
        <f>SUM(W10:W18)</f>
        <v>1135.5929179748821</v>
      </c>
      <c r="X20" s="173">
        <f>SUM(X10:X18)</f>
        <v>5678.0954258241754</v>
      </c>
      <c r="Y20" s="174">
        <f>SUM(Y10:Y18)</f>
        <v>24593.479358516484</v>
      </c>
      <c r="Z20" s="607"/>
      <c r="AC20" s="613"/>
      <c r="AD20" s="80"/>
      <c r="AE20" s="80" t="s">
        <v>247</v>
      </c>
      <c r="AF20" s="98">
        <v>1</v>
      </c>
      <c r="AG20" s="101">
        <v>22.11</v>
      </c>
      <c r="AH20" s="102">
        <f t="shared" si="48"/>
        <v>6.5410779696493986E-5</v>
      </c>
      <c r="AI20" s="98">
        <f t="shared" si="49"/>
        <v>4.5787545787545788E-4</v>
      </c>
      <c r="AJ20" s="98">
        <f t="shared" ref="AJ20" si="59">4/12</f>
        <v>0.33333333333333331</v>
      </c>
      <c r="AK20" s="98">
        <f t="shared" si="28"/>
        <v>1.446232339089482E-3</v>
      </c>
      <c r="AL20" s="98">
        <f t="shared" si="29"/>
        <v>1.0123626373626373E-2</v>
      </c>
      <c r="AM20" s="98">
        <f t="shared" si="30"/>
        <v>7.3699999999999992</v>
      </c>
      <c r="AN20" s="599"/>
      <c r="AQ20" s="613"/>
      <c r="AR20" s="80"/>
      <c r="AS20" s="80" t="s">
        <v>247</v>
      </c>
      <c r="AT20" s="134">
        <v>1</v>
      </c>
      <c r="AU20" s="150">
        <v>22.11</v>
      </c>
      <c r="AV20" s="139">
        <f t="shared" si="50"/>
        <v>0</v>
      </c>
      <c r="AW20" s="155">
        <v>0</v>
      </c>
      <c r="AX20" s="155">
        <v>0</v>
      </c>
      <c r="AY20" s="155">
        <v>0</v>
      </c>
      <c r="AZ20" s="155">
        <v>0</v>
      </c>
      <c r="BA20" s="155">
        <v>0</v>
      </c>
      <c r="BB20" s="155">
        <v>0</v>
      </c>
      <c r="BC20" s="155">
        <v>0</v>
      </c>
      <c r="BD20" s="155">
        <v>0</v>
      </c>
      <c r="BE20" s="155">
        <v>0</v>
      </c>
      <c r="BF20" s="155">
        <v>0</v>
      </c>
      <c r="BG20" s="155">
        <v>0</v>
      </c>
      <c r="BH20" s="155">
        <v>0</v>
      </c>
      <c r="BI20" s="155">
        <v>0</v>
      </c>
      <c r="BJ20" s="155">
        <v>0</v>
      </c>
      <c r="BK20" s="155">
        <v>0</v>
      </c>
      <c r="BL20" s="155">
        <v>0</v>
      </c>
      <c r="BM20" s="155">
        <v>0</v>
      </c>
      <c r="BN20" s="155">
        <v>0</v>
      </c>
      <c r="BO20" s="155">
        <v>0</v>
      </c>
      <c r="BP20" s="155">
        <v>0</v>
      </c>
      <c r="BQ20" s="155">
        <v>0</v>
      </c>
      <c r="BR20" s="155">
        <v>0</v>
      </c>
      <c r="BS20" s="155">
        <v>0</v>
      </c>
      <c r="BT20" s="155">
        <v>0</v>
      </c>
      <c r="BU20" s="102">
        <f t="shared" si="13"/>
        <v>0</v>
      </c>
      <c r="BX20" s="613"/>
      <c r="BY20" s="80"/>
      <c r="BZ20" s="80" t="s">
        <v>247</v>
      </c>
      <c r="CA20" s="134">
        <v>1</v>
      </c>
      <c r="CB20" s="150">
        <v>22.11</v>
      </c>
      <c r="CC20" s="165">
        <f t="shared" ref="CC20:CZ20" si="60">$CA$20*$CB$20*AW20</f>
        <v>0</v>
      </c>
      <c r="CD20" s="155">
        <f t="shared" si="60"/>
        <v>0</v>
      </c>
      <c r="CE20" s="155">
        <f t="shared" si="60"/>
        <v>0</v>
      </c>
      <c r="CF20" s="155">
        <f t="shared" si="60"/>
        <v>0</v>
      </c>
      <c r="CG20" s="155">
        <f t="shared" si="60"/>
        <v>0</v>
      </c>
      <c r="CH20" s="155">
        <f t="shared" si="60"/>
        <v>0</v>
      </c>
      <c r="CI20" s="155">
        <f t="shared" si="60"/>
        <v>0</v>
      </c>
      <c r="CJ20" s="155">
        <f t="shared" si="60"/>
        <v>0</v>
      </c>
      <c r="CK20" s="155">
        <f t="shared" si="60"/>
        <v>0</v>
      </c>
      <c r="CL20" s="155">
        <f t="shared" si="60"/>
        <v>0</v>
      </c>
      <c r="CM20" s="155">
        <f t="shared" si="60"/>
        <v>0</v>
      </c>
      <c r="CN20" s="155">
        <f t="shared" si="60"/>
        <v>0</v>
      </c>
      <c r="CO20" s="155">
        <f t="shared" si="60"/>
        <v>0</v>
      </c>
      <c r="CP20" s="155">
        <f t="shared" si="60"/>
        <v>0</v>
      </c>
      <c r="CQ20" s="155">
        <f t="shared" si="60"/>
        <v>0</v>
      </c>
      <c r="CR20" s="155">
        <f t="shared" si="60"/>
        <v>0</v>
      </c>
      <c r="CS20" s="155">
        <f t="shared" si="60"/>
        <v>0</v>
      </c>
      <c r="CT20" s="155">
        <f t="shared" si="60"/>
        <v>0</v>
      </c>
      <c r="CU20" s="155">
        <f t="shared" si="60"/>
        <v>0</v>
      </c>
      <c r="CV20" s="155">
        <f t="shared" si="60"/>
        <v>0</v>
      </c>
      <c r="CW20" s="155">
        <f t="shared" si="60"/>
        <v>0</v>
      </c>
      <c r="CX20" s="155">
        <f t="shared" si="60"/>
        <v>0</v>
      </c>
      <c r="CY20" s="155">
        <f t="shared" si="60"/>
        <v>0</v>
      </c>
      <c r="CZ20" s="155">
        <f t="shared" si="60"/>
        <v>0</v>
      </c>
      <c r="DA20" s="102">
        <f t="shared" si="32"/>
        <v>0</v>
      </c>
    </row>
    <row r="21" spans="1:105" ht="18" thickBot="1" x14ac:dyDescent="0.35">
      <c r="A21" s="115"/>
      <c r="B21" s="80"/>
      <c r="C21" s="80" t="s">
        <v>247</v>
      </c>
      <c r="D21" s="98">
        <v>1</v>
      </c>
      <c r="E21" s="101">
        <v>22.11</v>
      </c>
      <c r="F21" s="98">
        <v>0.25</v>
      </c>
      <c r="G21" s="98">
        <f>F21*5</f>
        <v>1.25</v>
      </c>
      <c r="H21" s="98">
        <f t="shared" si="40"/>
        <v>5.4124999999999996</v>
      </c>
      <c r="I21" s="98">
        <f t="shared" si="41"/>
        <v>5.5274999999999999</v>
      </c>
      <c r="J21" s="98">
        <f t="shared" si="42"/>
        <v>27.637499999999999</v>
      </c>
      <c r="K21" s="98">
        <f t="shared" si="43"/>
        <v>119.67037499999999</v>
      </c>
      <c r="L21" s="599"/>
      <c r="M21" s="455"/>
      <c r="O21" s="614" t="s">
        <v>274</v>
      </c>
      <c r="P21" s="615"/>
      <c r="Q21" s="97"/>
      <c r="R21" s="142">
        <f>R9+R20</f>
        <v>63</v>
      </c>
      <c r="S21" s="142">
        <f t="shared" ref="S21:Y21" si="61">S9+S20</f>
        <v>737.22</v>
      </c>
      <c r="T21" s="142">
        <f t="shared" si="61"/>
        <v>49.500327053898481</v>
      </c>
      <c r="U21" s="142">
        <f t="shared" si="61"/>
        <v>320.5022893772894</v>
      </c>
      <c r="V21" s="142">
        <f t="shared" si="61"/>
        <v>1388.4395970695971</v>
      </c>
      <c r="W21" s="175">
        <f t="shared" si="61"/>
        <v>2866.5929179748819</v>
      </c>
      <c r="X21" s="175">
        <f t="shared" si="61"/>
        <v>17635.095425824176</v>
      </c>
      <c r="Y21" s="176">
        <f t="shared" si="61"/>
        <v>76367.2893585165</v>
      </c>
      <c r="Z21" s="144">
        <f>Z10+Z3</f>
        <v>0.3168619814894843</v>
      </c>
      <c r="AC21" s="613"/>
      <c r="AD21" s="94" t="s">
        <v>259</v>
      </c>
      <c r="AE21" s="95"/>
      <c r="AF21" s="108">
        <f>SUM(AF11:AF19)</f>
        <v>69</v>
      </c>
      <c r="AG21" s="108">
        <f>SUM(AG11:AG19)</f>
        <v>495.22</v>
      </c>
      <c r="AH21" s="108">
        <f>SUM(AH11:AH19)</f>
        <v>10.500327053898479</v>
      </c>
      <c r="AI21" s="108">
        <f>SUM(AI11:AI19)</f>
        <v>52.50228937728938</v>
      </c>
      <c r="AJ21" s="108">
        <f>SUM(AJ11:AJ20)</f>
        <v>227.99959706959703</v>
      </c>
      <c r="AK21" s="108">
        <f>SUM(AK11:AK19)</f>
        <v>2410.5929179748828</v>
      </c>
      <c r="AL21" s="109">
        <f>SUM(AL11:AL19)</f>
        <v>12053.095425824176</v>
      </c>
      <c r="AM21" s="109">
        <f>SUM(AM11:AM19)</f>
        <v>52197.229358516481</v>
      </c>
      <c r="AN21" s="601"/>
      <c r="AQ21" s="613"/>
      <c r="AR21" s="94" t="s">
        <v>259</v>
      </c>
      <c r="AS21" s="95"/>
      <c r="AT21" s="140">
        <f>SUM(AT11:AT19)</f>
        <v>54</v>
      </c>
      <c r="AU21" s="141">
        <f>SUM(AU11:AU19)</f>
        <v>495.22</v>
      </c>
      <c r="AV21" s="157">
        <f>SUM(AV11:AV19)</f>
        <v>10.5</v>
      </c>
      <c r="AW21" s="140">
        <f t="shared" ref="AW21:BU21" si="62">SUM(AW11:AW19)</f>
        <v>0</v>
      </c>
      <c r="AX21" s="140">
        <f t="shared" si="62"/>
        <v>0</v>
      </c>
      <c r="AY21" s="140">
        <f t="shared" si="62"/>
        <v>0</v>
      </c>
      <c r="AZ21" s="140">
        <f t="shared" si="62"/>
        <v>0</v>
      </c>
      <c r="BA21" s="140">
        <f t="shared" si="62"/>
        <v>0</v>
      </c>
      <c r="BB21" s="140">
        <f t="shared" si="62"/>
        <v>0</v>
      </c>
      <c r="BC21" s="140">
        <f t="shared" si="62"/>
        <v>0</v>
      </c>
      <c r="BD21" s="140">
        <f t="shared" si="62"/>
        <v>0</v>
      </c>
      <c r="BE21" s="140">
        <f t="shared" si="62"/>
        <v>2</v>
      </c>
      <c r="BF21" s="140">
        <f t="shared" si="62"/>
        <v>2</v>
      </c>
      <c r="BG21" s="140">
        <f t="shared" si="62"/>
        <v>2</v>
      </c>
      <c r="BH21" s="140">
        <f t="shared" si="62"/>
        <v>2.5</v>
      </c>
      <c r="BI21" s="140">
        <f>SUM(BI11:BI20)</f>
        <v>2</v>
      </c>
      <c r="BJ21" s="140">
        <f t="shared" si="62"/>
        <v>0</v>
      </c>
      <c r="BK21" s="140">
        <f t="shared" si="62"/>
        <v>0</v>
      </c>
      <c r="BL21" s="140">
        <f t="shared" si="62"/>
        <v>0</v>
      </c>
      <c r="BM21" s="140">
        <f t="shared" si="62"/>
        <v>0</v>
      </c>
      <c r="BN21" s="140">
        <f t="shared" si="62"/>
        <v>0</v>
      </c>
      <c r="BO21" s="140">
        <f t="shared" si="62"/>
        <v>0</v>
      </c>
      <c r="BP21" s="140">
        <f t="shared" si="62"/>
        <v>0</v>
      </c>
      <c r="BQ21" s="140">
        <f t="shared" si="62"/>
        <v>0</v>
      </c>
      <c r="BR21" s="140">
        <f t="shared" si="62"/>
        <v>0</v>
      </c>
      <c r="BS21" s="140">
        <f t="shared" si="62"/>
        <v>0</v>
      </c>
      <c r="BT21" s="141">
        <f>SUM(BT11:BT20)</f>
        <v>0</v>
      </c>
      <c r="BU21" s="157">
        <f t="shared" si="62"/>
        <v>10.5</v>
      </c>
      <c r="BX21" s="613"/>
      <c r="BY21" s="94" t="s">
        <v>259</v>
      </c>
      <c r="BZ21" s="95"/>
      <c r="CA21" s="140">
        <f>SUM(CA11:CA19)</f>
        <v>54</v>
      </c>
      <c r="CB21" s="141">
        <f>SUM(CB11:CB19)</f>
        <v>495.22</v>
      </c>
      <c r="CC21" s="187">
        <f t="shared" ref="CC21:CN21" si="63">SUM(CC11:CC19)</f>
        <v>0</v>
      </c>
      <c r="CD21" s="140">
        <f t="shared" si="63"/>
        <v>0</v>
      </c>
      <c r="CE21" s="140">
        <f t="shared" si="63"/>
        <v>0</v>
      </c>
      <c r="CF21" s="140">
        <f t="shared" si="63"/>
        <v>0</v>
      </c>
      <c r="CG21" s="140">
        <f t="shared" si="63"/>
        <v>0</v>
      </c>
      <c r="CH21" s="140">
        <f t="shared" si="63"/>
        <v>0</v>
      </c>
      <c r="CI21" s="140">
        <f t="shared" si="63"/>
        <v>0</v>
      </c>
      <c r="CJ21" s="140">
        <f t="shared" si="63"/>
        <v>0</v>
      </c>
      <c r="CK21" s="140">
        <f t="shared" si="63"/>
        <v>221</v>
      </c>
      <c r="CL21" s="140">
        <f t="shared" si="63"/>
        <v>221</v>
      </c>
      <c r="CM21" s="140">
        <f t="shared" si="63"/>
        <v>221</v>
      </c>
      <c r="CN21" s="140">
        <f t="shared" si="63"/>
        <v>251.5275</v>
      </c>
      <c r="CO21" s="140">
        <f>SUM(CO11:CO20)</f>
        <v>221</v>
      </c>
      <c r="CP21" s="140">
        <f t="shared" ref="CP21:CY21" si="64">SUM(CP11:CP19)</f>
        <v>0</v>
      </c>
      <c r="CQ21" s="140">
        <f t="shared" si="64"/>
        <v>0</v>
      </c>
      <c r="CR21" s="140">
        <f t="shared" si="64"/>
        <v>0</v>
      </c>
      <c r="CS21" s="140">
        <f t="shared" si="64"/>
        <v>0</v>
      </c>
      <c r="CT21" s="140">
        <f t="shared" si="64"/>
        <v>0</v>
      </c>
      <c r="CU21" s="140">
        <f t="shared" si="64"/>
        <v>0</v>
      </c>
      <c r="CV21" s="140">
        <f t="shared" si="64"/>
        <v>0</v>
      </c>
      <c r="CW21" s="140">
        <f t="shared" si="64"/>
        <v>0</v>
      </c>
      <c r="CX21" s="140">
        <f t="shared" si="64"/>
        <v>0</v>
      </c>
      <c r="CY21" s="140">
        <f t="shared" si="64"/>
        <v>0</v>
      </c>
      <c r="CZ21" s="141">
        <f>SUM(CZ11:CZ20)</f>
        <v>0</v>
      </c>
      <c r="DA21" s="157">
        <f t="shared" ref="DA21" si="65">SUM(DA11:DA19)</f>
        <v>1135.5274999999999</v>
      </c>
    </row>
    <row r="22" spans="1:105" ht="18" thickBot="1" x14ac:dyDescent="0.35">
      <c r="A22" s="115"/>
      <c r="B22" s="80" t="s">
        <v>193</v>
      </c>
      <c r="C22" s="80" t="s">
        <v>251</v>
      </c>
      <c r="D22" s="98">
        <v>1</v>
      </c>
      <c r="E22" s="101">
        <v>17</v>
      </c>
      <c r="F22" s="98">
        <v>5</v>
      </c>
      <c r="G22" s="98">
        <f>5*F22</f>
        <v>25</v>
      </c>
      <c r="H22" s="98">
        <f t="shared" si="40"/>
        <v>108.25</v>
      </c>
      <c r="I22" s="98">
        <f t="shared" si="41"/>
        <v>85</v>
      </c>
      <c r="J22" s="98">
        <f t="shared" si="42"/>
        <v>425</v>
      </c>
      <c r="K22" s="98">
        <f t="shared" si="43"/>
        <v>1840.25</v>
      </c>
      <c r="L22" s="599"/>
      <c r="M22" s="455"/>
      <c r="O22" s="595" t="s">
        <v>199</v>
      </c>
      <c r="P22" s="96" t="s">
        <v>213</v>
      </c>
      <c r="Q22" s="96" t="s">
        <v>251</v>
      </c>
      <c r="R22" s="145">
        <v>4</v>
      </c>
      <c r="S22" s="145">
        <v>17</v>
      </c>
      <c r="T22" s="145">
        <v>4</v>
      </c>
      <c r="U22" s="145">
        <f t="shared" ref="U22:U28" si="66">T22*7</f>
        <v>28</v>
      </c>
      <c r="V22" s="145">
        <f>U22*4.33</f>
        <v>121.24000000000001</v>
      </c>
      <c r="W22" s="168">
        <f>(R22*S22*T22)</f>
        <v>272</v>
      </c>
      <c r="X22" s="168">
        <f>(R22*S22*U22)</f>
        <v>1904</v>
      </c>
      <c r="Y22" s="169">
        <f>(R22*S22*V22)</f>
        <v>8244.32</v>
      </c>
      <c r="Z22" s="609">
        <f>Y29/Y38</f>
        <v>0.19662855153556538</v>
      </c>
      <c r="AC22" s="614" t="s">
        <v>274</v>
      </c>
      <c r="AD22" s="615"/>
      <c r="AE22" s="97"/>
      <c r="AF22" s="110">
        <f>AF10+AF21</f>
        <v>122</v>
      </c>
      <c r="AG22" s="110">
        <f t="shared" ref="AG22:AM22" si="67">AG10+AG21</f>
        <v>737.22</v>
      </c>
      <c r="AH22" s="110">
        <f t="shared" si="67"/>
        <v>56.500327053898481</v>
      </c>
      <c r="AI22" s="110">
        <f t="shared" si="67"/>
        <v>334.5022893772894</v>
      </c>
      <c r="AJ22" s="110">
        <f t="shared" si="67"/>
        <v>1449.059597069597</v>
      </c>
      <c r="AK22" s="110">
        <f t="shared" si="67"/>
        <v>15373.592917974882</v>
      </c>
      <c r="AL22" s="110">
        <f t="shared" si="67"/>
        <v>46474.095425824176</v>
      </c>
      <c r="AM22" s="110">
        <f t="shared" si="67"/>
        <v>201240.15935851651</v>
      </c>
      <c r="AN22" s="125">
        <f>AN11+AN3</f>
        <v>0.4653219026735127</v>
      </c>
      <c r="AQ22" s="614" t="s">
        <v>274</v>
      </c>
      <c r="AR22" s="615"/>
      <c r="AS22" s="97"/>
      <c r="AT22" s="142">
        <f>AT10+AT21</f>
        <v>64</v>
      </c>
      <c r="AU22" s="143">
        <f t="shared" ref="AU22:BU22" si="68">AU10+AU21</f>
        <v>737.22</v>
      </c>
      <c r="AV22" s="158">
        <f t="shared" si="68"/>
        <v>49.5</v>
      </c>
      <c r="AW22" s="142">
        <f t="shared" si="68"/>
        <v>2</v>
      </c>
      <c r="AX22" s="142">
        <f t="shared" si="68"/>
        <v>2.5</v>
      </c>
      <c r="AY22" s="142">
        <f t="shared" si="68"/>
        <v>3</v>
      </c>
      <c r="AZ22" s="142">
        <f t="shared" si="68"/>
        <v>3</v>
      </c>
      <c r="BA22" s="142">
        <f t="shared" si="68"/>
        <v>2.5</v>
      </c>
      <c r="BB22" s="142">
        <f t="shared" si="68"/>
        <v>3.5</v>
      </c>
      <c r="BC22" s="142">
        <f t="shared" si="68"/>
        <v>2</v>
      </c>
      <c r="BD22" s="142">
        <f t="shared" si="68"/>
        <v>2</v>
      </c>
      <c r="BE22" s="142">
        <f t="shared" si="68"/>
        <v>4</v>
      </c>
      <c r="BF22" s="142">
        <f t="shared" si="68"/>
        <v>2</v>
      </c>
      <c r="BG22" s="142">
        <f t="shared" si="68"/>
        <v>2</v>
      </c>
      <c r="BH22" s="142">
        <f t="shared" si="68"/>
        <v>2.5</v>
      </c>
      <c r="BI22" s="142">
        <f t="shared" si="68"/>
        <v>2</v>
      </c>
      <c r="BJ22" s="142">
        <f t="shared" si="68"/>
        <v>0</v>
      </c>
      <c r="BK22" s="142">
        <f t="shared" si="68"/>
        <v>0</v>
      </c>
      <c r="BL22" s="142">
        <f t="shared" si="68"/>
        <v>1</v>
      </c>
      <c r="BM22" s="142">
        <f t="shared" si="68"/>
        <v>1</v>
      </c>
      <c r="BN22" s="142">
        <f t="shared" si="68"/>
        <v>3.5</v>
      </c>
      <c r="BO22" s="142">
        <f t="shared" si="68"/>
        <v>1</v>
      </c>
      <c r="BP22" s="142">
        <f t="shared" si="68"/>
        <v>1</v>
      </c>
      <c r="BQ22" s="142">
        <f t="shared" si="68"/>
        <v>2</v>
      </c>
      <c r="BR22" s="142">
        <f t="shared" si="68"/>
        <v>3</v>
      </c>
      <c r="BS22" s="142">
        <f t="shared" si="68"/>
        <v>3</v>
      </c>
      <c r="BT22" s="143">
        <f t="shared" si="68"/>
        <v>3</v>
      </c>
      <c r="BU22" s="158">
        <f t="shared" si="68"/>
        <v>51.5</v>
      </c>
      <c r="BX22" s="614" t="s">
        <v>274</v>
      </c>
      <c r="BY22" s="615"/>
      <c r="BZ22" s="97"/>
      <c r="CA22" s="142">
        <f>CA10+CA21</f>
        <v>64</v>
      </c>
      <c r="CB22" s="143">
        <f t="shared" ref="CB22:DA22" si="69">CB10+CB21</f>
        <v>737.22</v>
      </c>
      <c r="CC22" s="188">
        <f t="shared" si="69"/>
        <v>86</v>
      </c>
      <c r="CD22" s="142">
        <f t="shared" si="69"/>
        <v>103</v>
      </c>
      <c r="CE22" s="142">
        <f t="shared" si="69"/>
        <v>120</v>
      </c>
      <c r="CF22" s="142">
        <f t="shared" si="69"/>
        <v>120</v>
      </c>
      <c r="CG22" s="142">
        <f t="shared" si="69"/>
        <v>103</v>
      </c>
      <c r="CH22" s="142">
        <f t="shared" si="69"/>
        <v>178.5</v>
      </c>
      <c r="CI22" s="142">
        <f t="shared" si="69"/>
        <v>86</v>
      </c>
      <c r="CJ22" s="142">
        <f t="shared" si="69"/>
        <v>86</v>
      </c>
      <c r="CK22" s="142">
        <f t="shared" si="69"/>
        <v>307</v>
      </c>
      <c r="CL22" s="142">
        <f t="shared" si="69"/>
        <v>221</v>
      </c>
      <c r="CM22" s="142">
        <f t="shared" si="69"/>
        <v>221</v>
      </c>
      <c r="CN22" s="142">
        <f t="shared" si="69"/>
        <v>251.5275</v>
      </c>
      <c r="CO22" s="142">
        <f t="shared" si="69"/>
        <v>221</v>
      </c>
      <c r="CP22" s="142">
        <f t="shared" si="69"/>
        <v>0</v>
      </c>
      <c r="CQ22" s="142">
        <f t="shared" si="69"/>
        <v>0</v>
      </c>
      <c r="CR22" s="142">
        <f t="shared" si="69"/>
        <v>17</v>
      </c>
      <c r="CS22" s="142">
        <f t="shared" si="69"/>
        <v>17</v>
      </c>
      <c r="CT22" s="142">
        <f t="shared" si="69"/>
        <v>178.5</v>
      </c>
      <c r="CU22" s="142">
        <f t="shared" si="69"/>
        <v>69</v>
      </c>
      <c r="CV22" s="142">
        <f t="shared" si="69"/>
        <v>69</v>
      </c>
      <c r="CW22" s="142">
        <f t="shared" si="69"/>
        <v>86</v>
      </c>
      <c r="CX22" s="142">
        <f t="shared" si="69"/>
        <v>120</v>
      </c>
      <c r="CY22" s="142">
        <f t="shared" si="69"/>
        <v>120</v>
      </c>
      <c r="CZ22" s="143">
        <f t="shared" si="69"/>
        <v>120</v>
      </c>
      <c r="DA22" s="158">
        <f t="shared" si="69"/>
        <v>2900.5275000000001</v>
      </c>
    </row>
    <row r="23" spans="1:105" ht="17.25" x14ac:dyDescent="0.3">
      <c r="A23" s="115"/>
      <c r="B23" s="80" t="s">
        <v>194</v>
      </c>
      <c r="C23" s="80" t="s">
        <v>207</v>
      </c>
      <c r="D23" s="98">
        <v>2</v>
      </c>
      <c r="E23" s="101"/>
      <c r="F23" s="98">
        <f>G23/7</f>
        <v>6.5410779696493986E-5</v>
      </c>
      <c r="G23" s="98">
        <f>(4/((7*24)*52))</f>
        <v>4.5787545787545788E-4</v>
      </c>
      <c r="H23" s="98">
        <f>4/12</f>
        <v>0.33333333333333331</v>
      </c>
      <c r="I23" s="98">
        <f t="shared" si="41"/>
        <v>0</v>
      </c>
      <c r="J23" s="98">
        <f t="shared" si="42"/>
        <v>0</v>
      </c>
      <c r="K23" s="98">
        <f t="shared" si="43"/>
        <v>0</v>
      </c>
      <c r="L23" s="599"/>
      <c r="M23" s="455"/>
      <c r="O23" s="596"/>
      <c r="P23" s="80" t="s">
        <v>217</v>
      </c>
      <c r="Q23" s="80" t="s">
        <v>264</v>
      </c>
      <c r="R23" s="134">
        <v>1</v>
      </c>
      <c r="S23" s="134">
        <v>100</v>
      </c>
      <c r="T23" s="134">
        <v>1</v>
      </c>
      <c r="U23" s="134">
        <f t="shared" si="66"/>
        <v>7</v>
      </c>
      <c r="V23" s="134">
        <f t="shared" ref="V23:V28" si="70">U23*4.33</f>
        <v>30.310000000000002</v>
      </c>
      <c r="W23" s="168">
        <f>(R23*S23*T23)</f>
        <v>100</v>
      </c>
      <c r="X23" s="168">
        <f>(R23*S23*U23)</f>
        <v>700</v>
      </c>
      <c r="Y23" s="169">
        <f>(R23*S23*V23)</f>
        <v>3031</v>
      </c>
      <c r="Z23" s="610"/>
      <c r="AC23" s="595" t="s">
        <v>199</v>
      </c>
      <c r="AD23" s="96" t="s">
        <v>213</v>
      </c>
      <c r="AE23" s="96" t="s">
        <v>251</v>
      </c>
      <c r="AF23" s="111">
        <v>4</v>
      </c>
      <c r="AG23" s="111">
        <v>17</v>
      </c>
      <c r="AH23" s="111">
        <v>4</v>
      </c>
      <c r="AI23" s="111">
        <f t="shared" ref="AI23:AI28" si="71">AH23*7</f>
        <v>28</v>
      </c>
      <c r="AJ23" s="111">
        <f>AI23*4.33</f>
        <v>121.24000000000001</v>
      </c>
      <c r="AK23" s="98">
        <f t="shared" ref="AK23:AK29" si="72">AF23*AG23*AH23</f>
        <v>272</v>
      </c>
      <c r="AL23" s="98">
        <f t="shared" ref="AL23:AL29" si="73">AF23*AG23*AI23</f>
        <v>1904</v>
      </c>
      <c r="AM23" s="98">
        <f t="shared" ref="AM23:AM29" si="74">AF23*AG23*AJ23</f>
        <v>8244.32</v>
      </c>
      <c r="AN23" s="598">
        <f>AM30/AM39</f>
        <v>0.11441368382297686</v>
      </c>
      <c r="AQ23" s="595" t="s">
        <v>199</v>
      </c>
      <c r="AR23" s="96" t="s">
        <v>213</v>
      </c>
      <c r="AS23" s="96" t="s">
        <v>251</v>
      </c>
      <c r="AT23" s="145">
        <v>4</v>
      </c>
      <c r="AU23" s="153">
        <v>17</v>
      </c>
      <c r="AV23" s="159">
        <v>4</v>
      </c>
      <c r="AW23" s="155">
        <v>0</v>
      </c>
      <c r="AX23" s="155">
        <v>0</v>
      </c>
      <c r="AY23" s="155">
        <v>0</v>
      </c>
      <c r="AZ23" s="155">
        <v>0</v>
      </c>
      <c r="BA23" s="155">
        <v>0</v>
      </c>
      <c r="BB23" s="155">
        <v>0</v>
      </c>
      <c r="BC23" s="155">
        <v>0</v>
      </c>
      <c r="BD23" s="155">
        <v>0</v>
      </c>
      <c r="BE23" s="155">
        <v>0</v>
      </c>
      <c r="BF23" s="155">
        <v>0</v>
      </c>
      <c r="BG23" s="155">
        <v>0</v>
      </c>
      <c r="BH23" s="155">
        <v>0</v>
      </c>
      <c r="BI23" s="155">
        <v>0</v>
      </c>
      <c r="BJ23" s="155">
        <v>0</v>
      </c>
      <c r="BK23" s="155">
        <v>0</v>
      </c>
      <c r="BL23" s="155">
        <v>0</v>
      </c>
      <c r="BM23" s="155">
        <v>0</v>
      </c>
      <c r="BN23" s="155">
        <v>0</v>
      </c>
      <c r="BO23" s="155">
        <v>1</v>
      </c>
      <c r="BP23" s="155">
        <v>1</v>
      </c>
      <c r="BQ23" s="155">
        <v>1</v>
      </c>
      <c r="BR23" s="155">
        <v>1</v>
      </c>
      <c r="BS23" s="155">
        <v>0</v>
      </c>
      <c r="BT23" s="155">
        <v>0</v>
      </c>
      <c r="BU23" s="102">
        <f t="shared" si="13"/>
        <v>4</v>
      </c>
      <c r="BX23" s="595" t="s">
        <v>199</v>
      </c>
      <c r="BY23" s="96" t="s">
        <v>213</v>
      </c>
      <c r="BZ23" s="96" t="s">
        <v>251</v>
      </c>
      <c r="CA23" s="145">
        <v>4</v>
      </c>
      <c r="CB23" s="153">
        <v>17</v>
      </c>
      <c r="CC23" s="165">
        <f t="shared" ref="CC23:CZ23" si="75">$CA$23*$CB$23*AW23</f>
        <v>0</v>
      </c>
      <c r="CD23" s="155">
        <f t="shared" si="75"/>
        <v>0</v>
      </c>
      <c r="CE23" s="155">
        <f t="shared" si="75"/>
        <v>0</v>
      </c>
      <c r="CF23" s="155">
        <f t="shared" si="75"/>
        <v>0</v>
      </c>
      <c r="CG23" s="155">
        <f t="shared" si="75"/>
        <v>0</v>
      </c>
      <c r="CH23" s="155">
        <f t="shared" si="75"/>
        <v>0</v>
      </c>
      <c r="CI23" s="155">
        <f t="shared" si="75"/>
        <v>0</v>
      </c>
      <c r="CJ23" s="155">
        <f t="shared" si="75"/>
        <v>0</v>
      </c>
      <c r="CK23" s="155">
        <f t="shared" si="75"/>
        <v>0</v>
      </c>
      <c r="CL23" s="155">
        <f t="shared" si="75"/>
        <v>0</v>
      </c>
      <c r="CM23" s="155">
        <f t="shared" si="75"/>
        <v>0</v>
      </c>
      <c r="CN23" s="155">
        <f t="shared" si="75"/>
        <v>0</v>
      </c>
      <c r="CO23" s="155">
        <f t="shared" si="75"/>
        <v>0</v>
      </c>
      <c r="CP23" s="155">
        <f t="shared" si="75"/>
        <v>0</v>
      </c>
      <c r="CQ23" s="155">
        <f t="shared" si="75"/>
        <v>0</v>
      </c>
      <c r="CR23" s="155">
        <f t="shared" si="75"/>
        <v>0</v>
      </c>
      <c r="CS23" s="155">
        <f t="shared" si="75"/>
        <v>0</v>
      </c>
      <c r="CT23" s="155">
        <f t="shared" si="75"/>
        <v>0</v>
      </c>
      <c r="CU23" s="155">
        <f t="shared" si="75"/>
        <v>68</v>
      </c>
      <c r="CV23" s="155">
        <f t="shared" si="75"/>
        <v>68</v>
      </c>
      <c r="CW23" s="155">
        <f t="shared" si="75"/>
        <v>68</v>
      </c>
      <c r="CX23" s="155">
        <f t="shared" si="75"/>
        <v>68</v>
      </c>
      <c r="CY23" s="155">
        <f t="shared" si="75"/>
        <v>0</v>
      </c>
      <c r="CZ23" s="155">
        <f t="shared" si="75"/>
        <v>0</v>
      </c>
      <c r="DA23" s="102">
        <f t="shared" ref="DA23:DA29" si="76">SUM(CC23:CZ23)</f>
        <v>272</v>
      </c>
    </row>
    <row r="24" spans="1:105" ht="17.25" x14ac:dyDescent="0.3">
      <c r="A24" s="115"/>
      <c r="B24" s="80"/>
      <c r="C24" s="80" t="s">
        <v>208</v>
      </c>
      <c r="D24" s="98">
        <v>1</v>
      </c>
      <c r="E24" s="101">
        <v>200</v>
      </c>
      <c r="F24" s="98">
        <f t="shared" ref="F24:F33" si="77">G24/7</f>
        <v>6.5410779696493986E-5</v>
      </c>
      <c r="G24" s="98">
        <f t="shared" ref="G24:G33" si="78">(4/((7*24)*52))</f>
        <v>4.5787545787545788E-4</v>
      </c>
      <c r="H24" s="98">
        <f t="shared" ref="H24:H33" si="79">4/12</f>
        <v>0.33333333333333331</v>
      </c>
      <c r="I24" s="98">
        <f>D24*E24*F24</f>
        <v>1.3082155939298797E-2</v>
      </c>
      <c r="J24" s="98">
        <f>D24*E24*G24</f>
        <v>9.1575091575091569E-2</v>
      </c>
      <c r="K24" s="98">
        <f t="shared" si="43"/>
        <v>66.666666666666657</v>
      </c>
      <c r="L24" s="599"/>
      <c r="M24" s="455"/>
      <c r="O24" s="596"/>
      <c r="P24" s="80" t="s">
        <v>193</v>
      </c>
      <c r="Q24" s="80" t="s">
        <v>265</v>
      </c>
      <c r="R24" s="134">
        <v>1</v>
      </c>
      <c r="S24" s="134">
        <v>100</v>
      </c>
      <c r="T24" s="134">
        <v>1</v>
      </c>
      <c r="U24" s="134">
        <f t="shared" si="66"/>
        <v>7</v>
      </c>
      <c r="V24" s="134">
        <f t="shared" si="70"/>
        <v>30.310000000000002</v>
      </c>
      <c r="W24" s="168">
        <f t="shared" ref="W24:W27" si="80">(R24*S24*T24)</f>
        <v>100</v>
      </c>
      <c r="X24" s="168">
        <f t="shared" ref="X24:X28" si="81">(R24*S24*U24)</f>
        <v>700</v>
      </c>
      <c r="Y24" s="169">
        <f t="shared" ref="Y24:Y28" si="82">(R24*S24*V24)</f>
        <v>3031</v>
      </c>
      <c r="Z24" s="610"/>
      <c r="AC24" s="596"/>
      <c r="AD24" s="80" t="s">
        <v>217</v>
      </c>
      <c r="AE24" s="80" t="s">
        <v>264</v>
      </c>
      <c r="AF24" s="98">
        <v>1</v>
      </c>
      <c r="AG24" s="98">
        <v>100</v>
      </c>
      <c r="AH24" s="98">
        <v>1</v>
      </c>
      <c r="AI24" s="98">
        <f t="shared" si="71"/>
        <v>7</v>
      </c>
      <c r="AJ24" s="98">
        <f t="shared" ref="AJ24:AJ29" si="83">AI24*4.33</f>
        <v>30.310000000000002</v>
      </c>
      <c r="AK24" s="98">
        <f t="shared" si="72"/>
        <v>100</v>
      </c>
      <c r="AL24" s="98">
        <f t="shared" si="73"/>
        <v>700</v>
      </c>
      <c r="AM24" s="98">
        <f t="shared" si="74"/>
        <v>3031</v>
      </c>
      <c r="AN24" s="599"/>
      <c r="AQ24" s="596"/>
      <c r="AR24" s="80" t="s">
        <v>217</v>
      </c>
      <c r="AS24" s="80" t="s">
        <v>264</v>
      </c>
      <c r="AT24" s="134">
        <v>1</v>
      </c>
      <c r="AU24" s="135">
        <v>100</v>
      </c>
      <c r="AV24" s="139">
        <v>1</v>
      </c>
      <c r="AW24" s="155">
        <v>0</v>
      </c>
      <c r="AX24" s="155">
        <v>0</v>
      </c>
      <c r="AY24" s="155">
        <v>0</v>
      </c>
      <c r="AZ24" s="155">
        <v>0</v>
      </c>
      <c r="BA24" s="155">
        <v>0</v>
      </c>
      <c r="BB24" s="155">
        <v>0</v>
      </c>
      <c r="BC24" s="155">
        <v>0.5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0</v>
      </c>
      <c r="BJ24" s="155">
        <v>0</v>
      </c>
      <c r="BK24" s="155">
        <v>0</v>
      </c>
      <c r="BL24" s="155">
        <v>0</v>
      </c>
      <c r="BM24" s="155">
        <v>0</v>
      </c>
      <c r="BN24" s="155">
        <v>0</v>
      </c>
      <c r="BO24" s="155">
        <v>0.5</v>
      </c>
      <c r="BP24" s="155">
        <v>0</v>
      </c>
      <c r="BQ24" s="155">
        <v>0</v>
      </c>
      <c r="BR24" s="155">
        <v>0</v>
      </c>
      <c r="BS24" s="155">
        <v>0</v>
      </c>
      <c r="BT24" s="155">
        <v>0</v>
      </c>
      <c r="BU24" s="102">
        <f t="shared" si="13"/>
        <v>1</v>
      </c>
      <c r="BX24" s="596"/>
      <c r="BY24" s="80" t="s">
        <v>217</v>
      </c>
      <c r="BZ24" s="80" t="s">
        <v>264</v>
      </c>
      <c r="CA24" s="134">
        <v>1</v>
      </c>
      <c r="CB24" s="135">
        <v>100</v>
      </c>
      <c r="CC24" s="165">
        <f t="shared" ref="CC24:CZ24" si="84">$CA$24*$CB$24*AW24</f>
        <v>0</v>
      </c>
      <c r="CD24" s="155">
        <f t="shared" si="84"/>
        <v>0</v>
      </c>
      <c r="CE24" s="155">
        <f t="shared" si="84"/>
        <v>0</v>
      </c>
      <c r="CF24" s="155">
        <f t="shared" si="84"/>
        <v>0</v>
      </c>
      <c r="CG24" s="155">
        <f t="shared" si="84"/>
        <v>0</v>
      </c>
      <c r="CH24" s="155">
        <f t="shared" si="84"/>
        <v>0</v>
      </c>
      <c r="CI24" s="155">
        <f t="shared" si="84"/>
        <v>50</v>
      </c>
      <c r="CJ24" s="155">
        <f t="shared" si="84"/>
        <v>0</v>
      </c>
      <c r="CK24" s="155">
        <f t="shared" si="84"/>
        <v>0</v>
      </c>
      <c r="CL24" s="155">
        <f t="shared" si="84"/>
        <v>0</v>
      </c>
      <c r="CM24" s="155">
        <f t="shared" si="84"/>
        <v>0</v>
      </c>
      <c r="CN24" s="155">
        <f t="shared" si="84"/>
        <v>0</v>
      </c>
      <c r="CO24" s="155">
        <f t="shared" si="84"/>
        <v>0</v>
      </c>
      <c r="CP24" s="155">
        <f t="shared" si="84"/>
        <v>0</v>
      </c>
      <c r="CQ24" s="155">
        <f t="shared" si="84"/>
        <v>0</v>
      </c>
      <c r="CR24" s="155">
        <f t="shared" si="84"/>
        <v>0</v>
      </c>
      <c r="CS24" s="155">
        <f t="shared" si="84"/>
        <v>0</v>
      </c>
      <c r="CT24" s="155">
        <f t="shared" si="84"/>
        <v>0</v>
      </c>
      <c r="CU24" s="155">
        <f t="shared" si="84"/>
        <v>50</v>
      </c>
      <c r="CV24" s="155">
        <f t="shared" si="84"/>
        <v>0</v>
      </c>
      <c r="CW24" s="155">
        <f t="shared" si="84"/>
        <v>0</v>
      </c>
      <c r="CX24" s="155">
        <f t="shared" si="84"/>
        <v>0</v>
      </c>
      <c r="CY24" s="155">
        <f t="shared" si="84"/>
        <v>0</v>
      </c>
      <c r="CZ24" s="155">
        <f t="shared" si="84"/>
        <v>0</v>
      </c>
      <c r="DA24" s="102">
        <f t="shared" si="76"/>
        <v>100</v>
      </c>
    </row>
    <row r="25" spans="1:105" ht="17.25" x14ac:dyDescent="0.3">
      <c r="A25" s="115"/>
      <c r="B25" s="80"/>
      <c r="C25" s="80" t="s">
        <v>209</v>
      </c>
      <c r="D25" s="98">
        <v>2</v>
      </c>
      <c r="E25" s="101">
        <v>200</v>
      </c>
      <c r="F25" s="98">
        <f t="shared" si="77"/>
        <v>6.5410779696493986E-5</v>
      </c>
      <c r="G25" s="98">
        <f t="shared" si="78"/>
        <v>4.5787545787545788E-4</v>
      </c>
      <c r="H25" s="98">
        <f t="shared" si="79"/>
        <v>0.33333333333333331</v>
      </c>
      <c r="I25" s="98">
        <f t="shared" si="41"/>
        <v>2.6164311878597593E-2</v>
      </c>
      <c r="J25" s="98">
        <f t="shared" si="42"/>
        <v>0.18315018315018314</v>
      </c>
      <c r="K25" s="98">
        <f t="shared" si="43"/>
        <v>133.33333333333331</v>
      </c>
      <c r="L25" s="599"/>
      <c r="M25" s="455"/>
      <c r="O25" s="596"/>
      <c r="P25" s="80" t="s">
        <v>218</v>
      </c>
      <c r="Q25" s="80" t="s">
        <v>222</v>
      </c>
      <c r="R25" s="134">
        <v>4</v>
      </c>
      <c r="S25" s="134">
        <v>28</v>
      </c>
      <c r="T25" s="134">
        <v>6</v>
      </c>
      <c r="U25" s="134">
        <f t="shared" si="66"/>
        <v>42</v>
      </c>
      <c r="V25" s="134">
        <f t="shared" si="70"/>
        <v>181.86</v>
      </c>
      <c r="W25" s="168">
        <f t="shared" si="80"/>
        <v>672</v>
      </c>
      <c r="X25" s="168">
        <f t="shared" si="81"/>
        <v>4704</v>
      </c>
      <c r="Y25" s="169">
        <f t="shared" si="82"/>
        <v>20368.32</v>
      </c>
      <c r="Z25" s="610"/>
      <c r="AC25" s="596"/>
      <c r="AD25" s="80" t="s">
        <v>193</v>
      </c>
      <c r="AE25" s="80" t="s">
        <v>265</v>
      </c>
      <c r="AF25" s="98">
        <v>1</v>
      </c>
      <c r="AG25" s="98">
        <v>100</v>
      </c>
      <c r="AH25" s="98">
        <v>1</v>
      </c>
      <c r="AI25" s="98">
        <f t="shared" si="71"/>
        <v>7</v>
      </c>
      <c r="AJ25" s="98">
        <f t="shared" si="83"/>
        <v>30.310000000000002</v>
      </c>
      <c r="AK25" s="98">
        <f t="shared" si="72"/>
        <v>100</v>
      </c>
      <c r="AL25" s="98">
        <f t="shared" si="73"/>
        <v>700</v>
      </c>
      <c r="AM25" s="98">
        <f t="shared" si="74"/>
        <v>3031</v>
      </c>
      <c r="AN25" s="599"/>
      <c r="AQ25" s="596"/>
      <c r="AR25" s="80" t="s">
        <v>193</v>
      </c>
      <c r="AS25" s="80" t="s">
        <v>265</v>
      </c>
      <c r="AT25" s="134">
        <v>1</v>
      </c>
      <c r="AU25" s="135">
        <v>100</v>
      </c>
      <c r="AV25" s="139">
        <v>1</v>
      </c>
      <c r="AW25" s="155">
        <v>0</v>
      </c>
      <c r="AX25" s="155">
        <v>0</v>
      </c>
      <c r="AY25" s="155">
        <v>0</v>
      </c>
      <c r="AZ25" s="155">
        <v>0</v>
      </c>
      <c r="BA25" s="155">
        <v>0</v>
      </c>
      <c r="BB25" s="155">
        <v>0</v>
      </c>
      <c r="BC25" s="155">
        <v>0.5</v>
      </c>
      <c r="BD25" s="155">
        <v>0</v>
      </c>
      <c r="BE25" s="155">
        <v>0</v>
      </c>
      <c r="BF25" s="155">
        <v>0</v>
      </c>
      <c r="BG25" s="155">
        <v>0</v>
      </c>
      <c r="BH25" s="155">
        <v>0</v>
      </c>
      <c r="BI25" s="155">
        <v>0</v>
      </c>
      <c r="BJ25" s="155">
        <v>0</v>
      </c>
      <c r="BK25" s="155">
        <v>0</v>
      </c>
      <c r="BL25" s="155">
        <v>0</v>
      </c>
      <c r="BM25" s="155">
        <v>0</v>
      </c>
      <c r="BN25" s="155">
        <v>0</v>
      </c>
      <c r="BO25" s="155">
        <v>0.5</v>
      </c>
      <c r="BP25" s="155">
        <v>0</v>
      </c>
      <c r="BQ25" s="155">
        <v>0</v>
      </c>
      <c r="BR25" s="155">
        <v>0</v>
      </c>
      <c r="BS25" s="155">
        <v>0</v>
      </c>
      <c r="BT25" s="155">
        <v>0</v>
      </c>
      <c r="BU25" s="102">
        <f t="shared" si="13"/>
        <v>1</v>
      </c>
      <c r="BX25" s="596"/>
      <c r="BY25" s="80" t="s">
        <v>193</v>
      </c>
      <c r="BZ25" s="80" t="s">
        <v>265</v>
      </c>
      <c r="CA25" s="134">
        <v>1</v>
      </c>
      <c r="CB25" s="135">
        <v>100</v>
      </c>
      <c r="CC25" s="165">
        <f t="shared" ref="CC25:CZ25" si="85">$CA$25*$CB$25*AW25</f>
        <v>0</v>
      </c>
      <c r="CD25" s="155">
        <f t="shared" si="85"/>
        <v>0</v>
      </c>
      <c r="CE25" s="155">
        <f t="shared" si="85"/>
        <v>0</v>
      </c>
      <c r="CF25" s="155">
        <f t="shared" si="85"/>
        <v>0</v>
      </c>
      <c r="CG25" s="155">
        <f t="shared" si="85"/>
        <v>0</v>
      </c>
      <c r="CH25" s="155">
        <f t="shared" si="85"/>
        <v>0</v>
      </c>
      <c r="CI25" s="155">
        <f t="shared" si="85"/>
        <v>50</v>
      </c>
      <c r="CJ25" s="155">
        <f t="shared" si="85"/>
        <v>0</v>
      </c>
      <c r="CK25" s="155">
        <f t="shared" si="85"/>
        <v>0</v>
      </c>
      <c r="CL25" s="155">
        <f t="shared" si="85"/>
        <v>0</v>
      </c>
      <c r="CM25" s="155">
        <f t="shared" si="85"/>
        <v>0</v>
      </c>
      <c r="CN25" s="155">
        <f t="shared" si="85"/>
        <v>0</v>
      </c>
      <c r="CO25" s="155">
        <f t="shared" si="85"/>
        <v>0</v>
      </c>
      <c r="CP25" s="155">
        <f t="shared" si="85"/>
        <v>0</v>
      </c>
      <c r="CQ25" s="155">
        <f t="shared" si="85"/>
        <v>0</v>
      </c>
      <c r="CR25" s="155">
        <f t="shared" si="85"/>
        <v>0</v>
      </c>
      <c r="CS25" s="155">
        <f t="shared" si="85"/>
        <v>0</v>
      </c>
      <c r="CT25" s="155">
        <f t="shared" si="85"/>
        <v>0</v>
      </c>
      <c r="CU25" s="155">
        <f t="shared" si="85"/>
        <v>50</v>
      </c>
      <c r="CV25" s="155">
        <f t="shared" si="85"/>
        <v>0</v>
      </c>
      <c r="CW25" s="155">
        <f t="shared" si="85"/>
        <v>0</v>
      </c>
      <c r="CX25" s="155">
        <f t="shared" si="85"/>
        <v>0</v>
      </c>
      <c r="CY25" s="155">
        <f t="shared" si="85"/>
        <v>0</v>
      </c>
      <c r="CZ25" s="155">
        <f t="shared" si="85"/>
        <v>0</v>
      </c>
      <c r="DA25" s="102">
        <f t="shared" si="76"/>
        <v>100</v>
      </c>
    </row>
    <row r="26" spans="1:105" ht="17.25" x14ac:dyDescent="0.3">
      <c r="A26" s="115"/>
      <c r="B26" s="80"/>
      <c r="C26" s="80" t="s">
        <v>248</v>
      </c>
      <c r="D26" s="98">
        <v>1</v>
      </c>
      <c r="E26" s="101"/>
      <c r="F26" s="98">
        <f t="shared" si="77"/>
        <v>6.5410779696493986E-5</v>
      </c>
      <c r="G26" s="98">
        <f t="shared" si="78"/>
        <v>4.5787545787545788E-4</v>
      </c>
      <c r="H26" s="98">
        <f t="shared" si="79"/>
        <v>0.33333333333333331</v>
      </c>
      <c r="I26" s="98">
        <f t="shared" si="41"/>
        <v>0</v>
      </c>
      <c r="J26" s="98">
        <f t="shared" si="42"/>
        <v>0</v>
      </c>
      <c r="K26" s="98">
        <f t="shared" si="43"/>
        <v>0</v>
      </c>
      <c r="L26" s="599"/>
      <c r="M26" s="455"/>
      <c r="O26" s="596"/>
      <c r="P26" s="80"/>
      <c r="Q26" s="80" t="s">
        <v>223</v>
      </c>
      <c r="R26" s="134">
        <v>4</v>
      </c>
      <c r="S26" s="134">
        <v>17</v>
      </c>
      <c r="T26" s="134">
        <v>6</v>
      </c>
      <c r="U26" s="134">
        <f t="shared" si="66"/>
        <v>42</v>
      </c>
      <c r="V26" s="134">
        <f t="shared" si="70"/>
        <v>181.86</v>
      </c>
      <c r="W26" s="168">
        <f t="shared" si="80"/>
        <v>408</v>
      </c>
      <c r="X26" s="168">
        <f t="shared" si="81"/>
        <v>2856</v>
      </c>
      <c r="Y26" s="169">
        <f t="shared" si="82"/>
        <v>12366.480000000001</v>
      </c>
      <c r="Z26" s="610"/>
      <c r="AC26" s="596"/>
      <c r="AD26" s="80" t="s">
        <v>218</v>
      </c>
      <c r="AE26" s="80" t="s">
        <v>222</v>
      </c>
      <c r="AF26" s="98">
        <v>4</v>
      </c>
      <c r="AG26" s="98">
        <v>28</v>
      </c>
      <c r="AH26" s="98">
        <v>6</v>
      </c>
      <c r="AI26" s="98">
        <f t="shared" si="71"/>
        <v>42</v>
      </c>
      <c r="AJ26" s="98">
        <f t="shared" si="83"/>
        <v>181.86</v>
      </c>
      <c r="AK26" s="98">
        <f t="shared" si="72"/>
        <v>672</v>
      </c>
      <c r="AL26" s="98">
        <f t="shared" si="73"/>
        <v>4704</v>
      </c>
      <c r="AM26" s="98">
        <f t="shared" si="74"/>
        <v>20368.32</v>
      </c>
      <c r="AN26" s="599"/>
      <c r="AQ26" s="596"/>
      <c r="AR26" s="80" t="s">
        <v>218</v>
      </c>
      <c r="AS26" s="80" t="s">
        <v>222</v>
      </c>
      <c r="AT26" s="134">
        <v>4</v>
      </c>
      <c r="AU26" s="135">
        <v>28</v>
      </c>
      <c r="AV26" s="139">
        <v>6</v>
      </c>
      <c r="AW26" s="155">
        <v>0</v>
      </c>
      <c r="AX26" s="155">
        <v>0</v>
      </c>
      <c r="AY26" s="155">
        <v>0</v>
      </c>
      <c r="AZ26" s="155">
        <v>0</v>
      </c>
      <c r="BA26" s="155">
        <v>0</v>
      </c>
      <c r="BB26" s="155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0</v>
      </c>
      <c r="BH26" s="155">
        <v>0</v>
      </c>
      <c r="BI26" s="155">
        <v>0</v>
      </c>
      <c r="BJ26" s="155">
        <v>0</v>
      </c>
      <c r="BK26" s="155">
        <v>0</v>
      </c>
      <c r="BL26" s="155">
        <v>1</v>
      </c>
      <c r="BM26" s="155">
        <v>1</v>
      </c>
      <c r="BN26" s="155">
        <v>1</v>
      </c>
      <c r="BO26" s="155">
        <v>1</v>
      </c>
      <c r="BP26" s="155">
        <v>1</v>
      </c>
      <c r="BQ26" s="155">
        <v>1</v>
      </c>
      <c r="BR26" s="155">
        <v>0</v>
      </c>
      <c r="BS26" s="155">
        <v>0</v>
      </c>
      <c r="BT26" s="155">
        <v>0</v>
      </c>
      <c r="BU26" s="102">
        <f t="shared" si="13"/>
        <v>6</v>
      </c>
      <c r="BX26" s="596"/>
      <c r="BY26" s="80" t="s">
        <v>218</v>
      </c>
      <c r="BZ26" s="80" t="s">
        <v>222</v>
      </c>
      <c r="CA26" s="134">
        <v>4</v>
      </c>
      <c r="CB26" s="135">
        <v>28</v>
      </c>
      <c r="CC26" s="165">
        <f t="shared" ref="CC26:CZ26" si="86">$CA$26*$CB$26*AW26</f>
        <v>0</v>
      </c>
      <c r="CD26" s="155">
        <f t="shared" si="86"/>
        <v>0</v>
      </c>
      <c r="CE26" s="155">
        <f t="shared" si="86"/>
        <v>0</v>
      </c>
      <c r="CF26" s="155">
        <f t="shared" si="86"/>
        <v>0</v>
      </c>
      <c r="CG26" s="155">
        <f t="shared" si="86"/>
        <v>0</v>
      </c>
      <c r="CH26" s="155">
        <f t="shared" si="86"/>
        <v>0</v>
      </c>
      <c r="CI26" s="155">
        <f t="shared" si="86"/>
        <v>0</v>
      </c>
      <c r="CJ26" s="155">
        <f t="shared" si="86"/>
        <v>0</v>
      </c>
      <c r="CK26" s="155">
        <f t="shared" si="86"/>
        <v>0</v>
      </c>
      <c r="CL26" s="155">
        <f t="shared" si="86"/>
        <v>0</v>
      </c>
      <c r="CM26" s="155">
        <f t="shared" si="86"/>
        <v>0</v>
      </c>
      <c r="CN26" s="155">
        <f t="shared" si="86"/>
        <v>0</v>
      </c>
      <c r="CO26" s="155">
        <f t="shared" si="86"/>
        <v>0</v>
      </c>
      <c r="CP26" s="155">
        <f t="shared" si="86"/>
        <v>0</v>
      </c>
      <c r="CQ26" s="155">
        <f t="shared" si="86"/>
        <v>0</v>
      </c>
      <c r="CR26" s="155">
        <f t="shared" si="86"/>
        <v>112</v>
      </c>
      <c r="CS26" s="155">
        <f t="shared" si="86"/>
        <v>112</v>
      </c>
      <c r="CT26" s="155">
        <f t="shared" si="86"/>
        <v>112</v>
      </c>
      <c r="CU26" s="155">
        <f t="shared" si="86"/>
        <v>112</v>
      </c>
      <c r="CV26" s="155">
        <f t="shared" si="86"/>
        <v>112</v>
      </c>
      <c r="CW26" s="155">
        <f t="shared" si="86"/>
        <v>112</v>
      </c>
      <c r="CX26" s="155">
        <f t="shared" si="86"/>
        <v>0</v>
      </c>
      <c r="CY26" s="155">
        <f t="shared" si="86"/>
        <v>0</v>
      </c>
      <c r="CZ26" s="155">
        <f t="shared" si="86"/>
        <v>0</v>
      </c>
      <c r="DA26" s="102">
        <f t="shared" si="76"/>
        <v>672</v>
      </c>
    </row>
    <row r="27" spans="1:105" ht="17.25" x14ac:dyDescent="0.3">
      <c r="A27" s="115"/>
      <c r="B27" s="80"/>
      <c r="C27" s="80" t="s">
        <v>255</v>
      </c>
      <c r="D27" s="98">
        <v>1</v>
      </c>
      <c r="E27" s="101">
        <v>1.5</v>
      </c>
      <c r="F27" s="98">
        <f t="shared" si="77"/>
        <v>6.5410779696493986E-5</v>
      </c>
      <c r="G27" s="98">
        <f t="shared" si="78"/>
        <v>4.5787545787545788E-4</v>
      </c>
      <c r="H27" s="98">
        <f t="shared" si="79"/>
        <v>0.33333333333333331</v>
      </c>
      <c r="I27" s="98">
        <f t="shared" si="41"/>
        <v>9.8116169544740979E-5</v>
      </c>
      <c r="J27" s="98">
        <f t="shared" si="42"/>
        <v>6.8681318681318676E-4</v>
      </c>
      <c r="K27" s="98">
        <f t="shared" si="43"/>
        <v>0.5</v>
      </c>
      <c r="L27" s="599"/>
      <c r="M27" s="455"/>
      <c r="O27" s="596"/>
      <c r="P27" s="80" t="s">
        <v>186</v>
      </c>
      <c r="Q27" s="80" t="s">
        <v>212</v>
      </c>
      <c r="R27" s="134">
        <v>3</v>
      </c>
      <c r="S27" s="134">
        <v>23</v>
      </c>
      <c r="T27" s="134">
        <f>10/60</f>
        <v>0.16666666666666666</v>
      </c>
      <c r="U27" s="134">
        <f t="shared" si="66"/>
        <v>1.1666666666666665</v>
      </c>
      <c r="V27" s="134">
        <f t="shared" si="70"/>
        <v>5.0516666666666659</v>
      </c>
      <c r="W27" s="168">
        <f t="shared" si="80"/>
        <v>11.5</v>
      </c>
      <c r="X27" s="168">
        <f t="shared" si="81"/>
        <v>80.499999999999986</v>
      </c>
      <c r="Y27" s="169">
        <f t="shared" si="82"/>
        <v>348.56499999999994</v>
      </c>
      <c r="Z27" s="610"/>
      <c r="AC27" s="596"/>
      <c r="AD27" s="80"/>
      <c r="AE27" s="80" t="s">
        <v>223</v>
      </c>
      <c r="AF27" s="98">
        <v>4</v>
      </c>
      <c r="AG27" s="98">
        <v>17</v>
      </c>
      <c r="AH27" s="98">
        <v>6</v>
      </c>
      <c r="AI27" s="98">
        <f t="shared" si="71"/>
        <v>42</v>
      </c>
      <c r="AJ27" s="98">
        <f t="shared" si="83"/>
        <v>181.86</v>
      </c>
      <c r="AK27" s="98">
        <f t="shared" si="72"/>
        <v>408</v>
      </c>
      <c r="AL27" s="98">
        <f t="shared" si="73"/>
        <v>2856</v>
      </c>
      <c r="AM27" s="98">
        <f t="shared" si="74"/>
        <v>12366.480000000001</v>
      </c>
      <c r="AN27" s="599"/>
      <c r="AQ27" s="596"/>
      <c r="AR27" s="80"/>
      <c r="AS27" s="80" t="s">
        <v>223</v>
      </c>
      <c r="AT27" s="134">
        <v>4</v>
      </c>
      <c r="AU27" s="135">
        <v>17</v>
      </c>
      <c r="AV27" s="139">
        <v>6</v>
      </c>
      <c r="AW27" s="155">
        <v>0</v>
      </c>
      <c r="AX27" s="155">
        <v>0</v>
      </c>
      <c r="AY27" s="155">
        <v>0</v>
      </c>
      <c r="AZ27" s="155">
        <v>0</v>
      </c>
      <c r="BA27" s="155">
        <v>0</v>
      </c>
      <c r="BB27" s="155">
        <v>0</v>
      </c>
      <c r="BC27" s="155">
        <v>0</v>
      </c>
      <c r="BD27" s="155">
        <v>0</v>
      </c>
      <c r="BE27" s="155">
        <v>0</v>
      </c>
      <c r="BF27" s="155">
        <v>0</v>
      </c>
      <c r="BG27" s="155">
        <v>0</v>
      </c>
      <c r="BH27" s="155">
        <v>0</v>
      </c>
      <c r="BI27" s="155">
        <v>0</v>
      </c>
      <c r="BJ27" s="155">
        <v>0</v>
      </c>
      <c r="BK27" s="155">
        <v>0</v>
      </c>
      <c r="BL27" s="155">
        <v>1</v>
      </c>
      <c r="BM27" s="155">
        <v>1</v>
      </c>
      <c r="BN27" s="155">
        <v>1</v>
      </c>
      <c r="BO27" s="155">
        <v>1</v>
      </c>
      <c r="BP27" s="155">
        <v>1</v>
      </c>
      <c r="BQ27" s="155">
        <v>1</v>
      </c>
      <c r="BR27" s="155">
        <v>0</v>
      </c>
      <c r="BS27" s="155">
        <v>0</v>
      </c>
      <c r="BT27" s="155">
        <v>0</v>
      </c>
      <c r="BU27" s="102">
        <f t="shared" si="13"/>
        <v>6</v>
      </c>
      <c r="BX27" s="596"/>
      <c r="BY27" s="80"/>
      <c r="BZ27" s="80" t="s">
        <v>223</v>
      </c>
      <c r="CA27" s="134">
        <v>4</v>
      </c>
      <c r="CB27" s="135">
        <v>17</v>
      </c>
      <c r="CC27" s="165">
        <f t="shared" ref="CC27:CZ27" si="87">$CA$27*$CB$27*AW27</f>
        <v>0</v>
      </c>
      <c r="CD27" s="155">
        <f t="shared" si="87"/>
        <v>0</v>
      </c>
      <c r="CE27" s="155">
        <f t="shared" si="87"/>
        <v>0</v>
      </c>
      <c r="CF27" s="155">
        <f t="shared" si="87"/>
        <v>0</v>
      </c>
      <c r="CG27" s="155">
        <f t="shared" si="87"/>
        <v>0</v>
      </c>
      <c r="CH27" s="155">
        <f t="shared" si="87"/>
        <v>0</v>
      </c>
      <c r="CI27" s="155">
        <f t="shared" si="87"/>
        <v>0</v>
      </c>
      <c r="CJ27" s="155">
        <f t="shared" si="87"/>
        <v>0</v>
      </c>
      <c r="CK27" s="155">
        <f t="shared" si="87"/>
        <v>0</v>
      </c>
      <c r="CL27" s="155">
        <f t="shared" si="87"/>
        <v>0</v>
      </c>
      <c r="CM27" s="155">
        <f t="shared" si="87"/>
        <v>0</v>
      </c>
      <c r="CN27" s="155">
        <f t="shared" si="87"/>
        <v>0</v>
      </c>
      <c r="CO27" s="155">
        <f t="shared" si="87"/>
        <v>0</v>
      </c>
      <c r="CP27" s="155">
        <f t="shared" si="87"/>
        <v>0</v>
      </c>
      <c r="CQ27" s="155">
        <f t="shared" si="87"/>
        <v>0</v>
      </c>
      <c r="CR27" s="155">
        <f t="shared" si="87"/>
        <v>68</v>
      </c>
      <c r="CS27" s="155">
        <f t="shared" si="87"/>
        <v>68</v>
      </c>
      <c r="CT27" s="155">
        <f t="shared" si="87"/>
        <v>68</v>
      </c>
      <c r="CU27" s="155">
        <f t="shared" si="87"/>
        <v>68</v>
      </c>
      <c r="CV27" s="155">
        <f t="shared" si="87"/>
        <v>68</v>
      </c>
      <c r="CW27" s="155">
        <f t="shared" si="87"/>
        <v>68</v>
      </c>
      <c r="CX27" s="155">
        <f t="shared" si="87"/>
        <v>0</v>
      </c>
      <c r="CY27" s="155">
        <f t="shared" si="87"/>
        <v>0</v>
      </c>
      <c r="CZ27" s="155">
        <f t="shared" si="87"/>
        <v>0</v>
      </c>
      <c r="DA27" s="102">
        <f t="shared" si="76"/>
        <v>408</v>
      </c>
    </row>
    <row r="28" spans="1:105" ht="18" thickBot="1" x14ac:dyDescent="0.35">
      <c r="A28" s="115"/>
      <c r="B28" s="80"/>
      <c r="C28" s="80" t="s">
        <v>263</v>
      </c>
      <c r="D28" s="98">
        <v>1</v>
      </c>
      <c r="E28" s="101">
        <v>100</v>
      </c>
      <c r="F28" s="98">
        <f t="shared" si="77"/>
        <v>6.5410779696493986E-5</v>
      </c>
      <c r="G28" s="98">
        <f t="shared" si="78"/>
        <v>4.5787545787545788E-4</v>
      </c>
      <c r="H28" s="98">
        <f t="shared" si="79"/>
        <v>0.33333333333333331</v>
      </c>
      <c r="I28" s="98">
        <f t="shared" si="41"/>
        <v>6.5410779696493983E-3</v>
      </c>
      <c r="J28" s="98">
        <f t="shared" si="42"/>
        <v>4.5787545787545784E-2</v>
      </c>
      <c r="K28" s="98">
        <f t="shared" si="43"/>
        <v>33.333333333333329</v>
      </c>
      <c r="L28" s="599"/>
      <c r="M28" s="455"/>
      <c r="O28" s="596"/>
      <c r="P28" s="80" t="s">
        <v>190</v>
      </c>
      <c r="Q28" s="80" t="s">
        <v>212</v>
      </c>
      <c r="R28" s="134">
        <v>3</v>
      </c>
      <c r="S28" s="134">
        <v>23</v>
      </c>
      <c r="T28" s="134">
        <v>0</v>
      </c>
      <c r="U28" s="134">
        <f t="shared" si="66"/>
        <v>0</v>
      </c>
      <c r="V28" s="134">
        <f t="shared" si="70"/>
        <v>0</v>
      </c>
      <c r="W28" s="168">
        <v>0</v>
      </c>
      <c r="X28" s="168">
        <f t="shared" si="81"/>
        <v>0</v>
      </c>
      <c r="Y28" s="169">
        <f t="shared" si="82"/>
        <v>0</v>
      </c>
      <c r="Z28" s="610"/>
      <c r="AC28" s="596"/>
      <c r="AD28" s="80" t="s">
        <v>186</v>
      </c>
      <c r="AE28" s="80" t="s">
        <v>212</v>
      </c>
      <c r="AF28" s="98">
        <v>3</v>
      </c>
      <c r="AG28" s="98">
        <v>23</v>
      </c>
      <c r="AH28" s="98">
        <f>10/60</f>
        <v>0.16666666666666666</v>
      </c>
      <c r="AI28" s="98">
        <f t="shared" si="71"/>
        <v>1.1666666666666665</v>
      </c>
      <c r="AJ28" s="98">
        <f t="shared" si="83"/>
        <v>5.0516666666666659</v>
      </c>
      <c r="AK28" s="98">
        <f t="shared" si="72"/>
        <v>11.5</v>
      </c>
      <c r="AL28" s="98">
        <f t="shared" si="73"/>
        <v>80.499999999999986</v>
      </c>
      <c r="AM28" s="98">
        <f t="shared" si="74"/>
        <v>348.56499999999994</v>
      </c>
      <c r="AN28" s="599"/>
      <c r="AQ28" s="596"/>
      <c r="AR28" s="80" t="s">
        <v>186</v>
      </c>
      <c r="AS28" s="80" t="s">
        <v>212</v>
      </c>
      <c r="AT28" s="134">
        <v>3</v>
      </c>
      <c r="AU28" s="135">
        <v>23</v>
      </c>
      <c r="AV28" s="139">
        <f>10/60</f>
        <v>0.16666666666666666</v>
      </c>
      <c r="AW28" s="155">
        <v>0</v>
      </c>
      <c r="AX28" s="155">
        <v>0</v>
      </c>
      <c r="AY28" s="155">
        <v>0</v>
      </c>
      <c r="AZ28" s="155">
        <v>0</v>
      </c>
      <c r="BA28" s="155">
        <v>0</v>
      </c>
      <c r="BB28" s="155">
        <v>0</v>
      </c>
      <c r="BC28" s="155">
        <v>0</v>
      </c>
      <c r="BD28" s="155">
        <v>0</v>
      </c>
      <c r="BE28" s="155">
        <v>0</v>
      </c>
      <c r="BF28" s="155">
        <v>0</v>
      </c>
      <c r="BG28" s="155">
        <v>0</v>
      </c>
      <c r="BH28" s="155">
        <v>0</v>
      </c>
      <c r="BI28" s="155">
        <v>0</v>
      </c>
      <c r="BJ28" s="155">
        <v>0</v>
      </c>
      <c r="BK28" s="155">
        <v>0</v>
      </c>
      <c r="BL28" s="155">
        <v>0</v>
      </c>
      <c r="BM28" s="155">
        <v>0</v>
      </c>
      <c r="BN28" s="155">
        <v>0</v>
      </c>
      <c r="BO28" s="155">
        <v>0</v>
      </c>
      <c r="BP28" s="155">
        <v>0</v>
      </c>
      <c r="BQ28" s="155">
        <v>0</v>
      </c>
      <c r="BR28" s="155">
        <v>0</v>
      </c>
      <c r="BS28" s="155">
        <v>0</v>
      </c>
      <c r="BT28" s="155">
        <v>0</v>
      </c>
      <c r="BU28" s="102">
        <f t="shared" si="13"/>
        <v>0</v>
      </c>
      <c r="BX28" s="596"/>
      <c r="BY28" s="80" t="s">
        <v>186</v>
      </c>
      <c r="BZ28" s="80" t="s">
        <v>212</v>
      </c>
      <c r="CA28" s="134">
        <v>3</v>
      </c>
      <c r="CB28" s="135">
        <v>23</v>
      </c>
      <c r="CC28" s="165">
        <f t="shared" ref="CC28:CZ28" si="88">$CA$28*$CB$28*AW28</f>
        <v>0</v>
      </c>
      <c r="CD28" s="155">
        <f t="shared" si="88"/>
        <v>0</v>
      </c>
      <c r="CE28" s="155">
        <f t="shared" si="88"/>
        <v>0</v>
      </c>
      <c r="CF28" s="155">
        <f t="shared" si="88"/>
        <v>0</v>
      </c>
      <c r="CG28" s="155">
        <f t="shared" si="88"/>
        <v>0</v>
      </c>
      <c r="CH28" s="155">
        <f t="shared" si="88"/>
        <v>0</v>
      </c>
      <c r="CI28" s="155">
        <f t="shared" si="88"/>
        <v>0</v>
      </c>
      <c r="CJ28" s="155">
        <f t="shared" si="88"/>
        <v>0</v>
      </c>
      <c r="CK28" s="155">
        <f t="shared" si="88"/>
        <v>0</v>
      </c>
      <c r="CL28" s="155">
        <f t="shared" si="88"/>
        <v>0</v>
      </c>
      <c r="CM28" s="155">
        <f t="shared" si="88"/>
        <v>0</v>
      </c>
      <c r="CN28" s="155">
        <f t="shared" si="88"/>
        <v>0</v>
      </c>
      <c r="CO28" s="155">
        <f t="shared" si="88"/>
        <v>0</v>
      </c>
      <c r="CP28" s="155">
        <f t="shared" si="88"/>
        <v>0</v>
      </c>
      <c r="CQ28" s="155">
        <f t="shared" si="88"/>
        <v>0</v>
      </c>
      <c r="CR28" s="155">
        <f t="shared" si="88"/>
        <v>0</v>
      </c>
      <c r="CS28" s="155">
        <f t="shared" si="88"/>
        <v>0</v>
      </c>
      <c r="CT28" s="155">
        <f t="shared" si="88"/>
        <v>0</v>
      </c>
      <c r="CU28" s="155">
        <f t="shared" si="88"/>
        <v>0</v>
      </c>
      <c r="CV28" s="155">
        <f t="shared" si="88"/>
        <v>0</v>
      </c>
      <c r="CW28" s="155">
        <f t="shared" si="88"/>
        <v>0</v>
      </c>
      <c r="CX28" s="155">
        <f t="shared" si="88"/>
        <v>0</v>
      </c>
      <c r="CY28" s="155">
        <f t="shared" si="88"/>
        <v>0</v>
      </c>
      <c r="CZ28" s="155">
        <f t="shared" si="88"/>
        <v>0</v>
      </c>
      <c r="DA28" s="102">
        <f t="shared" si="76"/>
        <v>0</v>
      </c>
    </row>
    <row r="29" spans="1:105" ht="18" thickBot="1" x14ac:dyDescent="0.35">
      <c r="A29" s="115"/>
      <c r="B29" s="80"/>
      <c r="C29" s="80" t="s">
        <v>251</v>
      </c>
      <c r="D29" s="98">
        <v>34</v>
      </c>
      <c r="E29" s="101">
        <v>17</v>
      </c>
      <c r="F29" s="98">
        <f t="shared" si="77"/>
        <v>6.5410779696493986E-5</v>
      </c>
      <c r="G29" s="98">
        <f t="shared" si="78"/>
        <v>4.5787545787545788E-4</v>
      </c>
      <c r="H29" s="98">
        <f t="shared" si="79"/>
        <v>0.33333333333333331</v>
      </c>
      <c r="I29" s="98">
        <f t="shared" si="41"/>
        <v>3.7807430664573524E-2</v>
      </c>
      <c r="J29" s="98">
        <f t="shared" si="42"/>
        <v>0.26465201465201466</v>
      </c>
      <c r="K29" s="98">
        <f t="shared" si="43"/>
        <v>192.66666666666666</v>
      </c>
      <c r="L29" s="599"/>
      <c r="M29" s="455"/>
      <c r="O29" s="597"/>
      <c r="P29" s="86" t="s">
        <v>259</v>
      </c>
      <c r="Q29" s="97"/>
      <c r="R29" s="146">
        <f t="shared" ref="R29:Y29" si="89">SUM(R22:R28)</f>
        <v>20</v>
      </c>
      <c r="S29" s="146">
        <f t="shared" si="89"/>
        <v>308</v>
      </c>
      <c r="T29" s="146">
        <f t="shared" si="89"/>
        <v>18.166666666666668</v>
      </c>
      <c r="U29" s="146">
        <f t="shared" si="89"/>
        <v>127.16666666666667</v>
      </c>
      <c r="V29" s="146">
        <f>SUM(V22:V28)</f>
        <v>550.63166666666666</v>
      </c>
      <c r="W29" s="177">
        <f t="shared" si="89"/>
        <v>1563.5</v>
      </c>
      <c r="X29" s="177">
        <f t="shared" si="89"/>
        <v>10944.5</v>
      </c>
      <c r="Y29" s="176">
        <f t="shared" si="89"/>
        <v>47389.685000000005</v>
      </c>
      <c r="Z29" s="611"/>
      <c r="AC29" s="596"/>
      <c r="AD29" s="80" t="s">
        <v>190</v>
      </c>
      <c r="AE29" s="80" t="s">
        <v>212</v>
      </c>
      <c r="AF29" s="98">
        <v>3</v>
      </c>
      <c r="AG29" s="98">
        <v>23</v>
      </c>
      <c r="AH29" s="98">
        <v>1</v>
      </c>
      <c r="AI29" s="98">
        <f>AH29*7</f>
        <v>7</v>
      </c>
      <c r="AJ29" s="98">
        <f t="shared" si="83"/>
        <v>30.310000000000002</v>
      </c>
      <c r="AK29" s="98">
        <f t="shared" si="72"/>
        <v>69</v>
      </c>
      <c r="AL29" s="98">
        <f t="shared" si="73"/>
        <v>483</v>
      </c>
      <c r="AM29" s="98">
        <f t="shared" si="74"/>
        <v>2091.3900000000003</v>
      </c>
      <c r="AN29" s="599"/>
      <c r="AQ29" s="596"/>
      <c r="AR29" s="80" t="s">
        <v>190</v>
      </c>
      <c r="AS29" s="80" t="s">
        <v>212</v>
      </c>
      <c r="AT29" s="134">
        <v>3</v>
      </c>
      <c r="AU29" s="135">
        <v>23</v>
      </c>
      <c r="AV29" s="139" t="s">
        <v>215</v>
      </c>
      <c r="AW29" s="155">
        <v>0</v>
      </c>
      <c r="AX29" s="155">
        <v>0</v>
      </c>
      <c r="AY29" s="155">
        <v>0</v>
      </c>
      <c r="AZ29" s="155">
        <v>0</v>
      </c>
      <c r="BA29" s="155">
        <v>0</v>
      </c>
      <c r="BB29" s="155">
        <v>0</v>
      </c>
      <c r="BC29" s="155">
        <v>0</v>
      </c>
      <c r="BD29" s="155">
        <v>0</v>
      </c>
      <c r="BE29" s="155">
        <v>0</v>
      </c>
      <c r="BF29" s="155">
        <v>0</v>
      </c>
      <c r="BG29" s="155">
        <v>0</v>
      </c>
      <c r="BH29" s="155">
        <v>0</v>
      </c>
      <c r="BI29" s="155">
        <v>0</v>
      </c>
      <c r="BJ29" s="155">
        <v>0</v>
      </c>
      <c r="BK29" s="155">
        <v>0</v>
      </c>
      <c r="BL29" s="155">
        <v>0</v>
      </c>
      <c r="BM29" s="155">
        <v>0</v>
      </c>
      <c r="BN29" s="155">
        <v>0</v>
      </c>
      <c r="BO29" s="155">
        <v>0</v>
      </c>
      <c r="BP29" s="155">
        <v>0</v>
      </c>
      <c r="BQ29" s="155">
        <v>0</v>
      </c>
      <c r="BR29" s="155">
        <v>0</v>
      </c>
      <c r="BS29" s="155">
        <v>0</v>
      </c>
      <c r="BT29" s="155">
        <v>0</v>
      </c>
      <c r="BU29" s="102">
        <f t="shared" si="13"/>
        <v>0</v>
      </c>
      <c r="BX29" s="596"/>
      <c r="BY29" s="80" t="s">
        <v>190</v>
      </c>
      <c r="BZ29" s="80" t="s">
        <v>212</v>
      </c>
      <c r="CA29" s="134">
        <v>3</v>
      </c>
      <c r="CB29" s="135">
        <v>23</v>
      </c>
      <c r="CC29" s="165">
        <f t="shared" ref="CC29:CZ29" si="90">$CA$29*$CB$29*AW29</f>
        <v>0</v>
      </c>
      <c r="CD29" s="155">
        <f t="shared" si="90"/>
        <v>0</v>
      </c>
      <c r="CE29" s="155">
        <f t="shared" si="90"/>
        <v>0</v>
      </c>
      <c r="CF29" s="155">
        <f t="shared" si="90"/>
        <v>0</v>
      </c>
      <c r="CG29" s="155">
        <f t="shared" si="90"/>
        <v>0</v>
      </c>
      <c r="CH29" s="155">
        <f t="shared" si="90"/>
        <v>0</v>
      </c>
      <c r="CI29" s="155">
        <f t="shared" si="90"/>
        <v>0</v>
      </c>
      <c r="CJ29" s="155">
        <f t="shared" si="90"/>
        <v>0</v>
      </c>
      <c r="CK29" s="155">
        <f t="shared" si="90"/>
        <v>0</v>
      </c>
      <c r="CL29" s="155">
        <f t="shared" si="90"/>
        <v>0</v>
      </c>
      <c r="CM29" s="155">
        <f t="shared" si="90"/>
        <v>0</v>
      </c>
      <c r="CN29" s="155">
        <f t="shared" si="90"/>
        <v>0</v>
      </c>
      <c r="CO29" s="155">
        <f t="shared" si="90"/>
        <v>0</v>
      </c>
      <c r="CP29" s="155">
        <f t="shared" si="90"/>
        <v>0</v>
      </c>
      <c r="CQ29" s="155">
        <f t="shared" si="90"/>
        <v>0</v>
      </c>
      <c r="CR29" s="155">
        <f t="shared" si="90"/>
        <v>0</v>
      </c>
      <c r="CS29" s="155">
        <f t="shared" si="90"/>
        <v>0</v>
      </c>
      <c r="CT29" s="155">
        <f t="shared" si="90"/>
        <v>0</v>
      </c>
      <c r="CU29" s="155">
        <f t="shared" si="90"/>
        <v>0</v>
      </c>
      <c r="CV29" s="155">
        <f t="shared" si="90"/>
        <v>0</v>
      </c>
      <c r="CW29" s="155">
        <f t="shared" si="90"/>
        <v>0</v>
      </c>
      <c r="CX29" s="155">
        <f t="shared" si="90"/>
        <v>0</v>
      </c>
      <c r="CY29" s="155">
        <f t="shared" si="90"/>
        <v>0</v>
      </c>
      <c r="CZ29" s="155">
        <f t="shared" si="90"/>
        <v>0</v>
      </c>
      <c r="DA29" s="102">
        <f t="shared" si="76"/>
        <v>0</v>
      </c>
    </row>
    <row r="30" spans="1:105" ht="18" thickBot="1" x14ac:dyDescent="0.35">
      <c r="A30" s="115"/>
      <c r="B30" s="80" t="s">
        <v>206</v>
      </c>
      <c r="C30" s="80" t="s">
        <v>263</v>
      </c>
      <c r="D30" s="98">
        <v>2</v>
      </c>
      <c r="E30" s="101">
        <v>100</v>
      </c>
      <c r="F30" s="98">
        <f t="shared" si="77"/>
        <v>6.5410779696493986E-5</v>
      </c>
      <c r="G30" s="98">
        <f t="shared" si="78"/>
        <v>4.5787545787545788E-4</v>
      </c>
      <c r="H30" s="98">
        <f t="shared" si="79"/>
        <v>0.33333333333333331</v>
      </c>
      <c r="I30" s="98">
        <f t="shared" si="41"/>
        <v>1.3082155939298797E-2</v>
      </c>
      <c r="J30" s="98">
        <f t="shared" si="42"/>
        <v>9.1575091575091569E-2</v>
      </c>
      <c r="K30" s="98">
        <f t="shared" si="43"/>
        <v>66.666666666666657</v>
      </c>
      <c r="L30" s="599"/>
      <c r="M30" s="455"/>
      <c r="O30" s="596" t="s">
        <v>198</v>
      </c>
      <c r="P30" s="80" t="s">
        <v>228</v>
      </c>
      <c r="Q30" s="80" t="s">
        <v>205</v>
      </c>
      <c r="R30" s="134">
        <v>4</v>
      </c>
      <c r="S30" s="138">
        <v>28</v>
      </c>
      <c r="T30" s="134">
        <v>2</v>
      </c>
      <c r="U30" s="134">
        <f t="shared" ref="U30:U33" si="91">T30*7</f>
        <v>14</v>
      </c>
      <c r="V30" s="134">
        <f>U30*4.33</f>
        <v>60.620000000000005</v>
      </c>
      <c r="W30" s="168">
        <f>(R30*S30*T30)</f>
        <v>224</v>
      </c>
      <c r="X30" s="168">
        <f>(R30*S30*U30)</f>
        <v>1568</v>
      </c>
      <c r="Y30" s="169">
        <f>(R30*S30*V30)</f>
        <v>6789.4400000000005</v>
      </c>
      <c r="Z30" s="609">
        <f>Y35/Y38</f>
        <v>6.3949867896280779E-2</v>
      </c>
      <c r="AC30" s="597"/>
      <c r="AD30" s="86" t="s">
        <v>259</v>
      </c>
      <c r="AE30" s="97"/>
      <c r="AF30" s="112">
        <f t="shared" ref="AF30:AI30" si="92">SUM(AF23:AF29)</f>
        <v>20</v>
      </c>
      <c r="AG30" s="112">
        <f t="shared" si="92"/>
        <v>308</v>
      </c>
      <c r="AH30" s="112">
        <f t="shared" si="92"/>
        <v>19.166666666666668</v>
      </c>
      <c r="AI30" s="112">
        <f t="shared" si="92"/>
        <v>134.16666666666669</v>
      </c>
      <c r="AJ30" s="112">
        <f>SUM(AJ23:AJ29)</f>
        <v>580.94166666666661</v>
      </c>
      <c r="AK30" s="112">
        <f t="shared" ref="AK30:AM30" si="93">SUM(AK23:AK29)</f>
        <v>1632.5</v>
      </c>
      <c r="AL30" s="112">
        <f t="shared" si="93"/>
        <v>11427.5</v>
      </c>
      <c r="AM30" s="110">
        <f t="shared" si="93"/>
        <v>49481.075000000004</v>
      </c>
      <c r="AN30" s="600"/>
      <c r="AQ30" s="597"/>
      <c r="AR30" s="86" t="s">
        <v>259</v>
      </c>
      <c r="AS30" s="97"/>
      <c r="AT30" s="146">
        <f t="shared" ref="AT30:BU30" si="94">SUM(AT23:AT29)</f>
        <v>20</v>
      </c>
      <c r="AU30" s="143">
        <f t="shared" si="94"/>
        <v>308</v>
      </c>
      <c r="AV30" s="160">
        <f t="shared" si="94"/>
        <v>18.166666666666668</v>
      </c>
      <c r="AW30" s="146">
        <f t="shared" si="94"/>
        <v>0</v>
      </c>
      <c r="AX30" s="146">
        <f t="shared" si="94"/>
        <v>0</v>
      </c>
      <c r="AY30" s="146">
        <f t="shared" si="94"/>
        <v>0</v>
      </c>
      <c r="AZ30" s="146">
        <f t="shared" si="94"/>
        <v>0</v>
      </c>
      <c r="BA30" s="146">
        <f t="shared" si="94"/>
        <v>0</v>
      </c>
      <c r="BB30" s="146">
        <f t="shared" si="94"/>
        <v>0</v>
      </c>
      <c r="BC30" s="146">
        <f t="shared" si="94"/>
        <v>1</v>
      </c>
      <c r="BD30" s="146">
        <f t="shared" si="94"/>
        <v>0</v>
      </c>
      <c r="BE30" s="146">
        <f t="shared" si="94"/>
        <v>0</v>
      </c>
      <c r="BF30" s="146">
        <f t="shared" si="94"/>
        <v>0</v>
      </c>
      <c r="BG30" s="146">
        <f t="shared" si="94"/>
        <v>0</v>
      </c>
      <c r="BH30" s="146">
        <f t="shared" si="94"/>
        <v>0</v>
      </c>
      <c r="BI30" s="146">
        <f t="shared" si="94"/>
        <v>0</v>
      </c>
      <c r="BJ30" s="146">
        <f t="shared" si="94"/>
        <v>0</v>
      </c>
      <c r="BK30" s="146">
        <f t="shared" si="94"/>
        <v>0</v>
      </c>
      <c r="BL30" s="146">
        <f t="shared" si="94"/>
        <v>2</v>
      </c>
      <c r="BM30" s="146">
        <f t="shared" si="94"/>
        <v>2</v>
      </c>
      <c r="BN30" s="146">
        <f t="shared" si="94"/>
        <v>2</v>
      </c>
      <c r="BO30" s="146">
        <f t="shared" si="94"/>
        <v>4</v>
      </c>
      <c r="BP30" s="146">
        <f t="shared" si="94"/>
        <v>3</v>
      </c>
      <c r="BQ30" s="146">
        <f t="shared" si="94"/>
        <v>3</v>
      </c>
      <c r="BR30" s="146">
        <f t="shared" si="94"/>
        <v>1</v>
      </c>
      <c r="BS30" s="146">
        <f t="shared" si="94"/>
        <v>0</v>
      </c>
      <c r="BT30" s="143">
        <f t="shared" si="94"/>
        <v>0</v>
      </c>
      <c r="BU30" s="158">
        <f t="shared" si="94"/>
        <v>18</v>
      </c>
      <c r="BX30" s="597"/>
      <c r="BY30" s="86" t="s">
        <v>259</v>
      </c>
      <c r="BZ30" s="97"/>
      <c r="CA30" s="146">
        <f t="shared" ref="CA30:DA30" si="95">SUM(CA23:CA29)</f>
        <v>20</v>
      </c>
      <c r="CB30" s="143">
        <f t="shared" si="95"/>
        <v>308</v>
      </c>
      <c r="CC30" s="188">
        <f t="shared" si="95"/>
        <v>0</v>
      </c>
      <c r="CD30" s="146">
        <f t="shared" si="95"/>
        <v>0</v>
      </c>
      <c r="CE30" s="146">
        <f t="shared" si="95"/>
        <v>0</v>
      </c>
      <c r="CF30" s="146">
        <f t="shared" si="95"/>
        <v>0</v>
      </c>
      <c r="CG30" s="146">
        <f t="shared" si="95"/>
        <v>0</v>
      </c>
      <c r="CH30" s="146">
        <f t="shared" si="95"/>
        <v>0</v>
      </c>
      <c r="CI30" s="146">
        <f t="shared" si="95"/>
        <v>100</v>
      </c>
      <c r="CJ30" s="146">
        <f t="shared" si="95"/>
        <v>0</v>
      </c>
      <c r="CK30" s="146">
        <f t="shared" si="95"/>
        <v>0</v>
      </c>
      <c r="CL30" s="146">
        <f t="shared" si="95"/>
        <v>0</v>
      </c>
      <c r="CM30" s="146">
        <f t="shared" si="95"/>
        <v>0</v>
      </c>
      <c r="CN30" s="146">
        <f t="shared" si="95"/>
        <v>0</v>
      </c>
      <c r="CO30" s="146">
        <f t="shared" si="95"/>
        <v>0</v>
      </c>
      <c r="CP30" s="146">
        <f t="shared" si="95"/>
        <v>0</v>
      </c>
      <c r="CQ30" s="146">
        <f t="shared" si="95"/>
        <v>0</v>
      </c>
      <c r="CR30" s="146">
        <f t="shared" si="95"/>
        <v>180</v>
      </c>
      <c r="CS30" s="146">
        <f t="shared" si="95"/>
        <v>180</v>
      </c>
      <c r="CT30" s="146">
        <f t="shared" si="95"/>
        <v>180</v>
      </c>
      <c r="CU30" s="146">
        <f t="shared" si="95"/>
        <v>348</v>
      </c>
      <c r="CV30" s="146">
        <f t="shared" si="95"/>
        <v>248</v>
      </c>
      <c r="CW30" s="146">
        <f t="shared" si="95"/>
        <v>248</v>
      </c>
      <c r="CX30" s="146">
        <f t="shared" si="95"/>
        <v>68</v>
      </c>
      <c r="CY30" s="146">
        <f t="shared" si="95"/>
        <v>0</v>
      </c>
      <c r="CZ30" s="143">
        <f t="shared" si="95"/>
        <v>0</v>
      </c>
      <c r="DA30" s="158">
        <f t="shared" si="95"/>
        <v>1552</v>
      </c>
    </row>
    <row r="31" spans="1:105" ht="17.25" x14ac:dyDescent="0.3">
      <c r="A31" s="115"/>
      <c r="B31" s="80"/>
      <c r="C31" s="80" t="s">
        <v>247</v>
      </c>
      <c r="D31" s="98">
        <v>1</v>
      </c>
      <c r="E31" s="101">
        <v>22.11</v>
      </c>
      <c r="F31" s="98">
        <f t="shared" si="77"/>
        <v>6.5410779696493986E-5</v>
      </c>
      <c r="G31" s="98">
        <f t="shared" si="78"/>
        <v>4.5787545787545788E-4</v>
      </c>
      <c r="H31" s="98">
        <f t="shared" si="79"/>
        <v>0.33333333333333331</v>
      </c>
      <c r="I31" s="98">
        <f t="shared" si="41"/>
        <v>1.446232339089482E-3</v>
      </c>
      <c r="J31" s="98">
        <f t="shared" si="42"/>
        <v>1.0123626373626373E-2</v>
      </c>
      <c r="K31" s="98">
        <f t="shared" si="43"/>
        <v>7.3699999999999992</v>
      </c>
      <c r="L31" s="599"/>
      <c r="M31" s="78"/>
      <c r="N31" s="78"/>
      <c r="O31" s="596"/>
      <c r="P31" s="80" t="s">
        <v>186</v>
      </c>
      <c r="Q31" s="80" t="s">
        <v>212</v>
      </c>
      <c r="R31" s="134">
        <v>1</v>
      </c>
      <c r="S31" s="134">
        <v>23</v>
      </c>
      <c r="T31" s="134">
        <v>2.5</v>
      </c>
      <c r="U31" s="134">
        <f t="shared" si="91"/>
        <v>17.5</v>
      </c>
      <c r="V31" s="134">
        <f t="shared" ref="V31:V34" si="96">U31*4.33</f>
        <v>75.775000000000006</v>
      </c>
      <c r="W31" s="168">
        <f>(R31*S31*T31)</f>
        <v>57.5</v>
      </c>
      <c r="X31" s="168">
        <f>(R31*S31*U31)</f>
        <v>402.5</v>
      </c>
      <c r="Y31" s="169">
        <f>(R31*S31*V31)</f>
        <v>1742.825</v>
      </c>
      <c r="Z31" s="610"/>
      <c r="AC31" s="596" t="s">
        <v>198</v>
      </c>
      <c r="AD31" s="80" t="s">
        <v>228</v>
      </c>
      <c r="AE31" s="80" t="s">
        <v>205</v>
      </c>
      <c r="AF31" s="98">
        <v>36</v>
      </c>
      <c r="AG31" s="101">
        <v>28</v>
      </c>
      <c r="AH31" s="98">
        <v>2</v>
      </c>
      <c r="AI31" s="98">
        <f t="shared" ref="AI31:AI34" si="97">AH31*7</f>
        <v>14</v>
      </c>
      <c r="AJ31" s="98">
        <f>AI31*4.33</f>
        <v>60.620000000000005</v>
      </c>
      <c r="AK31" s="98">
        <f t="shared" ref="AK31:AK35" si="98">AF31*AG31*AH31</f>
        <v>2016</v>
      </c>
      <c r="AL31" s="98">
        <f t="shared" ref="AL31:AL35" si="99">AF31*AG31*AI31</f>
        <v>14112</v>
      </c>
      <c r="AM31" s="98">
        <f t="shared" ref="AM31:AM35" si="100">AF31*AG31*AJ31</f>
        <v>61104.960000000006</v>
      </c>
      <c r="AN31" s="598">
        <f>AM36/AM39</f>
        <v>0.18477897543600519</v>
      </c>
      <c r="AQ31" s="596" t="s">
        <v>198</v>
      </c>
      <c r="AR31" s="80" t="s">
        <v>228</v>
      </c>
      <c r="AS31" s="80" t="s">
        <v>205</v>
      </c>
      <c r="AT31" s="134">
        <v>4</v>
      </c>
      <c r="AU31" s="150">
        <v>28</v>
      </c>
      <c r="AV31" s="139">
        <v>2</v>
      </c>
      <c r="AW31" s="155">
        <v>0</v>
      </c>
      <c r="AX31" s="155">
        <v>0</v>
      </c>
      <c r="AY31" s="155">
        <v>0</v>
      </c>
      <c r="AZ31" s="155">
        <v>0</v>
      </c>
      <c r="BA31" s="155">
        <v>0</v>
      </c>
      <c r="BB31" s="155">
        <v>0</v>
      </c>
      <c r="BC31" s="155">
        <v>0</v>
      </c>
      <c r="BD31" s="155">
        <v>0</v>
      </c>
      <c r="BE31" s="155">
        <v>0</v>
      </c>
      <c r="BF31" s="155">
        <v>0</v>
      </c>
      <c r="BG31" s="155">
        <v>0</v>
      </c>
      <c r="BH31" s="155">
        <v>0</v>
      </c>
      <c r="BI31" s="155">
        <v>0</v>
      </c>
      <c r="BJ31" s="155">
        <v>0</v>
      </c>
      <c r="BK31" s="155">
        <v>0</v>
      </c>
      <c r="BL31" s="155">
        <v>0</v>
      </c>
      <c r="BM31" s="155">
        <v>0</v>
      </c>
      <c r="BN31" s="155">
        <v>0</v>
      </c>
      <c r="BO31" s="155">
        <v>0</v>
      </c>
      <c r="BP31" s="155">
        <v>1</v>
      </c>
      <c r="BQ31" s="155">
        <v>1</v>
      </c>
      <c r="BR31" s="155">
        <v>0</v>
      </c>
      <c r="BS31" s="155">
        <v>0</v>
      </c>
      <c r="BT31" s="155">
        <v>0</v>
      </c>
      <c r="BU31" s="102">
        <f t="shared" si="13"/>
        <v>2</v>
      </c>
      <c r="BX31" s="596" t="s">
        <v>198</v>
      </c>
      <c r="BY31" s="80" t="s">
        <v>228</v>
      </c>
      <c r="BZ31" s="80" t="s">
        <v>205</v>
      </c>
      <c r="CA31" s="134">
        <v>4</v>
      </c>
      <c r="CB31" s="150">
        <v>28</v>
      </c>
      <c r="CC31" s="165">
        <f t="shared" ref="CC31:CZ31" si="101">$CA$31*$CB$31*AW31</f>
        <v>0</v>
      </c>
      <c r="CD31" s="155">
        <f t="shared" si="101"/>
        <v>0</v>
      </c>
      <c r="CE31" s="155">
        <f t="shared" si="101"/>
        <v>0</v>
      </c>
      <c r="CF31" s="155">
        <f t="shared" si="101"/>
        <v>0</v>
      </c>
      <c r="CG31" s="155">
        <f t="shared" si="101"/>
        <v>0</v>
      </c>
      <c r="CH31" s="155">
        <f t="shared" si="101"/>
        <v>0</v>
      </c>
      <c r="CI31" s="155">
        <f t="shared" si="101"/>
        <v>0</v>
      </c>
      <c r="CJ31" s="155">
        <f t="shared" si="101"/>
        <v>0</v>
      </c>
      <c r="CK31" s="155">
        <f t="shared" si="101"/>
        <v>0</v>
      </c>
      <c r="CL31" s="155">
        <f t="shared" si="101"/>
        <v>0</v>
      </c>
      <c r="CM31" s="155">
        <f t="shared" si="101"/>
        <v>0</v>
      </c>
      <c r="CN31" s="155">
        <f t="shared" si="101"/>
        <v>0</v>
      </c>
      <c r="CO31" s="155">
        <f t="shared" si="101"/>
        <v>0</v>
      </c>
      <c r="CP31" s="155">
        <f t="shared" si="101"/>
        <v>0</v>
      </c>
      <c r="CQ31" s="155">
        <f t="shared" si="101"/>
        <v>0</v>
      </c>
      <c r="CR31" s="155">
        <f t="shared" si="101"/>
        <v>0</v>
      </c>
      <c r="CS31" s="155">
        <f t="shared" si="101"/>
        <v>0</v>
      </c>
      <c r="CT31" s="155">
        <f t="shared" si="101"/>
        <v>0</v>
      </c>
      <c r="CU31" s="155">
        <f t="shared" si="101"/>
        <v>0</v>
      </c>
      <c r="CV31" s="155">
        <f t="shared" si="101"/>
        <v>112</v>
      </c>
      <c r="CW31" s="155">
        <f t="shared" si="101"/>
        <v>112</v>
      </c>
      <c r="CX31" s="155">
        <f t="shared" si="101"/>
        <v>0</v>
      </c>
      <c r="CY31" s="155">
        <f t="shared" si="101"/>
        <v>0</v>
      </c>
      <c r="CZ31" s="155">
        <f t="shared" si="101"/>
        <v>0</v>
      </c>
      <c r="DA31" s="102">
        <f t="shared" ref="DA31:DA35" si="102">SUM(CC31:CZ31)</f>
        <v>224</v>
      </c>
    </row>
    <row r="32" spans="1:105" ht="17.25" x14ac:dyDescent="0.3">
      <c r="A32" s="115"/>
      <c r="B32" s="82" t="s">
        <v>206</v>
      </c>
      <c r="C32" s="80" t="s">
        <v>263</v>
      </c>
      <c r="D32" s="98">
        <v>1</v>
      </c>
      <c r="E32" s="101">
        <v>100</v>
      </c>
      <c r="F32" s="98">
        <f t="shared" si="77"/>
        <v>6.5410779696493986E-5</v>
      </c>
      <c r="G32" s="98">
        <f t="shared" si="78"/>
        <v>4.5787545787545788E-4</v>
      </c>
      <c r="H32" s="98">
        <f t="shared" si="79"/>
        <v>0.33333333333333331</v>
      </c>
      <c r="I32" s="98">
        <f t="shared" si="41"/>
        <v>6.5410779696493983E-3</v>
      </c>
      <c r="J32" s="98">
        <f t="shared" si="42"/>
        <v>4.5787545787545784E-2</v>
      </c>
      <c r="K32" s="98">
        <f t="shared" si="43"/>
        <v>33.333333333333329</v>
      </c>
      <c r="L32" s="599"/>
      <c r="O32" s="596"/>
      <c r="P32" s="80" t="s">
        <v>237</v>
      </c>
      <c r="Q32" s="80" t="s">
        <v>205</v>
      </c>
      <c r="R32" s="134">
        <v>1</v>
      </c>
      <c r="S32" s="134">
        <v>28</v>
      </c>
      <c r="T32" s="134">
        <v>4</v>
      </c>
      <c r="U32" s="134">
        <f t="shared" si="91"/>
        <v>28</v>
      </c>
      <c r="V32" s="134">
        <f t="shared" si="96"/>
        <v>121.24000000000001</v>
      </c>
      <c r="W32" s="168">
        <f>(R32*S32*T32)</f>
        <v>112</v>
      </c>
      <c r="X32" s="168">
        <f t="shared" ref="X32:X34" si="103">(R32*S32*U32)</f>
        <v>784</v>
      </c>
      <c r="Y32" s="169">
        <f t="shared" ref="Y32:Y34" si="104">(R32*S32*V32)</f>
        <v>3394.7200000000003</v>
      </c>
      <c r="Z32" s="610"/>
      <c r="AC32" s="596"/>
      <c r="AD32" s="80" t="s">
        <v>186</v>
      </c>
      <c r="AE32" s="80" t="s">
        <v>212</v>
      </c>
      <c r="AF32" s="98">
        <v>1</v>
      </c>
      <c r="AG32" s="98">
        <v>23</v>
      </c>
      <c r="AH32" s="98">
        <v>2.5</v>
      </c>
      <c r="AI32" s="98">
        <f t="shared" si="97"/>
        <v>17.5</v>
      </c>
      <c r="AJ32" s="98">
        <f t="shared" ref="AJ32:AJ35" si="105">AI32*4.33</f>
        <v>75.775000000000006</v>
      </c>
      <c r="AK32" s="98">
        <f t="shared" si="98"/>
        <v>57.5</v>
      </c>
      <c r="AL32" s="98">
        <f t="shared" si="99"/>
        <v>402.5</v>
      </c>
      <c r="AM32" s="98">
        <f t="shared" si="100"/>
        <v>1742.825</v>
      </c>
      <c r="AN32" s="599"/>
      <c r="AQ32" s="596"/>
      <c r="AR32" s="80" t="s">
        <v>186</v>
      </c>
      <c r="AS32" s="80" t="s">
        <v>212</v>
      </c>
      <c r="AT32" s="134">
        <v>1</v>
      </c>
      <c r="AU32" s="135">
        <v>23</v>
      </c>
      <c r="AV32" s="139">
        <v>2.5</v>
      </c>
      <c r="AW32" s="155">
        <v>0</v>
      </c>
      <c r="AX32" s="155">
        <v>0</v>
      </c>
      <c r="AY32" s="155">
        <v>0</v>
      </c>
      <c r="AZ32" s="155">
        <v>0</v>
      </c>
      <c r="BA32" s="155">
        <v>0</v>
      </c>
      <c r="BB32" s="155">
        <v>0</v>
      </c>
      <c r="BC32" s="155">
        <v>0</v>
      </c>
      <c r="BD32" s="155">
        <v>0</v>
      </c>
      <c r="BE32" s="155">
        <v>0</v>
      </c>
      <c r="BF32" s="155">
        <v>0</v>
      </c>
      <c r="BG32" s="155">
        <v>0</v>
      </c>
      <c r="BH32" s="155">
        <v>2</v>
      </c>
      <c r="BI32" s="155">
        <v>0</v>
      </c>
      <c r="BJ32" s="155">
        <v>0</v>
      </c>
      <c r="BK32" s="155">
        <v>0</v>
      </c>
      <c r="BL32" s="155">
        <v>0</v>
      </c>
      <c r="BM32" s="155">
        <v>0</v>
      </c>
      <c r="BN32" s="155">
        <v>0</v>
      </c>
      <c r="BO32" s="155">
        <v>0</v>
      </c>
      <c r="BP32" s="155">
        <v>1</v>
      </c>
      <c r="BQ32" s="155">
        <v>0</v>
      </c>
      <c r="BR32" s="155">
        <v>0</v>
      </c>
      <c r="BS32" s="155">
        <v>0</v>
      </c>
      <c r="BT32" s="155">
        <v>0</v>
      </c>
      <c r="BU32" s="102">
        <f t="shared" si="13"/>
        <v>3</v>
      </c>
      <c r="BX32" s="596"/>
      <c r="BY32" s="80" t="s">
        <v>186</v>
      </c>
      <c r="BZ32" s="80" t="s">
        <v>212</v>
      </c>
      <c r="CA32" s="134">
        <v>1</v>
      </c>
      <c r="CB32" s="135">
        <v>23</v>
      </c>
      <c r="CC32" s="165">
        <f t="shared" ref="CC32:CZ32" si="106">$CA$32*$CB$32*AW32</f>
        <v>0</v>
      </c>
      <c r="CD32" s="155">
        <f t="shared" si="106"/>
        <v>0</v>
      </c>
      <c r="CE32" s="155">
        <f t="shared" si="106"/>
        <v>0</v>
      </c>
      <c r="CF32" s="155">
        <f t="shared" si="106"/>
        <v>0</v>
      </c>
      <c r="CG32" s="155">
        <f t="shared" si="106"/>
        <v>0</v>
      </c>
      <c r="CH32" s="155">
        <f t="shared" si="106"/>
        <v>0</v>
      </c>
      <c r="CI32" s="155">
        <f t="shared" si="106"/>
        <v>0</v>
      </c>
      <c r="CJ32" s="155">
        <f t="shared" si="106"/>
        <v>0</v>
      </c>
      <c r="CK32" s="155">
        <f t="shared" si="106"/>
        <v>0</v>
      </c>
      <c r="CL32" s="155">
        <f t="shared" si="106"/>
        <v>0</v>
      </c>
      <c r="CM32" s="155">
        <f t="shared" si="106"/>
        <v>0</v>
      </c>
      <c r="CN32" s="155">
        <f t="shared" si="106"/>
        <v>46</v>
      </c>
      <c r="CO32" s="155">
        <f t="shared" si="106"/>
        <v>0</v>
      </c>
      <c r="CP32" s="155">
        <f t="shared" si="106"/>
        <v>0</v>
      </c>
      <c r="CQ32" s="155">
        <f t="shared" si="106"/>
        <v>0</v>
      </c>
      <c r="CR32" s="155">
        <f t="shared" si="106"/>
        <v>0</v>
      </c>
      <c r="CS32" s="155">
        <f t="shared" si="106"/>
        <v>0</v>
      </c>
      <c r="CT32" s="155">
        <f t="shared" si="106"/>
        <v>0</v>
      </c>
      <c r="CU32" s="155">
        <f t="shared" si="106"/>
        <v>0</v>
      </c>
      <c r="CV32" s="155">
        <f t="shared" si="106"/>
        <v>23</v>
      </c>
      <c r="CW32" s="155">
        <f t="shared" si="106"/>
        <v>0</v>
      </c>
      <c r="CX32" s="155">
        <f t="shared" si="106"/>
        <v>0</v>
      </c>
      <c r="CY32" s="155">
        <f t="shared" si="106"/>
        <v>0</v>
      </c>
      <c r="CZ32" s="155">
        <f t="shared" si="106"/>
        <v>0</v>
      </c>
      <c r="DA32" s="102">
        <f t="shared" si="102"/>
        <v>69</v>
      </c>
    </row>
    <row r="33" spans="1:105" ht="18" thickBot="1" x14ac:dyDescent="0.35">
      <c r="A33" s="115"/>
      <c r="B33" s="82"/>
      <c r="C33" s="80" t="s">
        <v>247</v>
      </c>
      <c r="D33" s="98">
        <v>1</v>
      </c>
      <c r="E33" s="101">
        <v>22.11</v>
      </c>
      <c r="F33" s="102">
        <f t="shared" si="77"/>
        <v>6.5410779696493986E-5</v>
      </c>
      <c r="G33" s="98">
        <f t="shared" si="78"/>
        <v>4.5787545787545788E-4</v>
      </c>
      <c r="H33" s="98">
        <f t="shared" si="79"/>
        <v>0.33333333333333331</v>
      </c>
      <c r="I33" s="98">
        <f t="shared" si="41"/>
        <v>1.446232339089482E-3</v>
      </c>
      <c r="J33" s="98">
        <f t="shared" si="42"/>
        <v>1.0123626373626373E-2</v>
      </c>
      <c r="K33" s="98">
        <f t="shared" si="43"/>
        <v>7.3699999999999992</v>
      </c>
      <c r="L33" s="599"/>
      <c r="O33" s="596"/>
      <c r="P33" s="80" t="s">
        <v>190</v>
      </c>
      <c r="Q33" s="80" t="s">
        <v>212</v>
      </c>
      <c r="R33" s="134">
        <v>1</v>
      </c>
      <c r="S33" s="134">
        <v>15</v>
      </c>
      <c r="T33" s="134">
        <v>1</v>
      </c>
      <c r="U33" s="134">
        <f t="shared" si="91"/>
        <v>7</v>
      </c>
      <c r="V33" s="134">
        <f t="shared" si="96"/>
        <v>30.310000000000002</v>
      </c>
      <c r="W33" s="168">
        <f>(R33*S33*T33)</f>
        <v>15</v>
      </c>
      <c r="X33" s="168">
        <f t="shared" si="103"/>
        <v>105</v>
      </c>
      <c r="Y33" s="169">
        <f t="shared" si="104"/>
        <v>454.65000000000003</v>
      </c>
      <c r="Z33" s="610"/>
      <c r="AC33" s="596"/>
      <c r="AD33" s="80" t="s">
        <v>237</v>
      </c>
      <c r="AE33" s="80" t="s">
        <v>205</v>
      </c>
      <c r="AF33" s="98">
        <v>4</v>
      </c>
      <c r="AG33" s="98">
        <v>28</v>
      </c>
      <c r="AH33" s="98">
        <v>4</v>
      </c>
      <c r="AI33" s="98">
        <f t="shared" si="97"/>
        <v>28</v>
      </c>
      <c r="AJ33" s="98">
        <f t="shared" si="105"/>
        <v>121.24000000000001</v>
      </c>
      <c r="AK33" s="98">
        <f t="shared" si="98"/>
        <v>448</v>
      </c>
      <c r="AL33" s="98">
        <f t="shared" si="99"/>
        <v>3136</v>
      </c>
      <c r="AM33" s="98">
        <f t="shared" si="100"/>
        <v>13578.880000000001</v>
      </c>
      <c r="AN33" s="599"/>
      <c r="AQ33" s="596"/>
      <c r="AR33" s="80" t="s">
        <v>237</v>
      </c>
      <c r="AS33" s="80" t="s">
        <v>205</v>
      </c>
      <c r="AT33" s="134">
        <v>1</v>
      </c>
      <c r="AU33" s="135">
        <v>28</v>
      </c>
      <c r="AV33" s="139">
        <v>4</v>
      </c>
      <c r="AW33" s="155">
        <v>0</v>
      </c>
      <c r="AX33" s="155">
        <v>0</v>
      </c>
      <c r="AY33" s="155">
        <v>0</v>
      </c>
      <c r="AZ33" s="155">
        <v>0</v>
      </c>
      <c r="BA33" s="155">
        <v>0</v>
      </c>
      <c r="BB33" s="155">
        <v>0</v>
      </c>
      <c r="BC33" s="155">
        <v>0</v>
      </c>
      <c r="BD33" s="155">
        <v>0</v>
      </c>
      <c r="BE33" s="155">
        <v>0</v>
      </c>
      <c r="BF33" s="155">
        <v>0</v>
      </c>
      <c r="BG33" s="155">
        <v>0</v>
      </c>
      <c r="BH33" s="155">
        <v>0</v>
      </c>
      <c r="BI33" s="155">
        <v>0</v>
      </c>
      <c r="BJ33" s="155">
        <v>0</v>
      </c>
      <c r="BK33" s="155">
        <v>0</v>
      </c>
      <c r="BL33" s="155">
        <v>0</v>
      </c>
      <c r="BM33" s="155">
        <v>0</v>
      </c>
      <c r="BN33" s="155">
        <v>0</v>
      </c>
      <c r="BO33" s="155">
        <v>0</v>
      </c>
      <c r="BP33" s="155">
        <v>1</v>
      </c>
      <c r="BQ33" s="155">
        <v>1</v>
      </c>
      <c r="BR33" s="155">
        <v>1</v>
      </c>
      <c r="BS33" s="155">
        <v>1</v>
      </c>
      <c r="BT33" s="155">
        <v>0</v>
      </c>
      <c r="BU33" s="102">
        <f t="shared" si="13"/>
        <v>4</v>
      </c>
      <c r="BX33" s="596"/>
      <c r="BY33" s="80" t="s">
        <v>237</v>
      </c>
      <c r="BZ33" s="80" t="s">
        <v>205</v>
      </c>
      <c r="CA33" s="134">
        <v>1</v>
      </c>
      <c r="CB33" s="135">
        <v>28</v>
      </c>
      <c r="CC33" s="165">
        <f t="shared" ref="CC33:CZ33" si="107">$CA$33*$CB$33*AW33</f>
        <v>0</v>
      </c>
      <c r="CD33" s="155">
        <f t="shared" si="107"/>
        <v>0</v>
      </c>
      <c r="CE33" s="155">
        <f t="shared" si="107"/>
        <v>0</v>
      </c>
      <c r="CF33" s="155">
        <f t="shared" si="107"/>
        <v>0</v>
      </c>
      <c r="CG33" s="155">
        <f t="shared" si="107"/>
        <v>0</v>
      </c>
      <c r="CH33" s="155">
        <f t="shared" si="107"/>
        <v>0</v>
      </c>
      <c r="CI33" s="155">
        <f t="shared" si="107"/>
        <v>0</v>
      </c>
      <c r="CJ33" s="155">
        <f t="shared" si="107"/>
        <v>0</v>
      </c>
      <c r="CK33" s="155">
        <f t="shared" si="107"/>
        <v>0</v>
      </c>
      <c r="CL33" s="155">
        <f t="shared" si="107"/>
        <v>0</v>
      </c>
      <c r="CM33" s="155">
        <f t="shared" si="107"/>
        <v>0</v>
      </c>
      <c r="CN33" s="155">
        <f t="shared" si="107"/>
        <v>0</v>
      </c>
      <c r="CO33" s="155">
        <f t="shared" si="107"/>
        <v>0</v>
      </c>
      <c r="CP33" s="155">
        <f t="shared" si="107"/>
        <v>0</v>
      </c>
      <c r="CQ33" s="155">
        <f t="shared" si="107"/>
        <v>0</v>
      </c>
      <c r="CR33" s="155">
        <f t="shared" si="107"/>
        <v>0</v>
      </c>
      <c r="CS33" s="155">
        <f t="shared" si="107"/>
        <v>0</v>
      </c>
      <c r="CT33" s="155">
        <f t="shared" si="107"/>
        <v>0</v>
      </c>
      <c r="CU33" s="155">
        <f t="shared" si="107"/>
        <v>0</v>
      </c>
      <c r="CV33" s="155">
        <f t="shared" si="107"/>
        <v>28</v>
      </c>
      <c r="CW33" s="155">
        <f t="shared" si="107"/>
        <v>28</v>
      </c>
      <c r="CX33" s="155">
        <f t="shared" si="107"/>
        <v>28</v>
      </c>
      <c r="CY33" s="155">
        <f t="shared" si="107"/>
        <v>28</v>
      </c>
      <c r="CZ33" s="155">
        <f t="shared" si="107"/>
        <v>0</v>
      </c>
      <c r="DA33" s="102">
        <f t="shared" si="102"/>
        <v>112</v>
      </c>
    </row>
    <row r="34" spans="1:105" ht="18" thickBot="1" x14ac:dyDescent="0.35">
      <c r="A34" s="115"/>
      <c r="B34" s="94" t="s">
        <v>259</v>
      </c>
      <c r="C34" s="116"/>
      <c r="D34" s="117">
        <f t="shared" ref="D34:G34" si="108">SUM(D13:D33)</f>
        <v>68</v>
      </c>
      <c r="E34" s="117">
        <f t="shared" si="108"/>
        <v>1839.2399999999996</v>
      </c>
      <c r="F34" s="117">
        <f>SUM(F13:F33)</f>
        <v>25.640784929356371</v>
      </c>
      <c r="G34" s="117">
        <f t="shared" si="108"/>
        <v>128.20549450549444</v>
      </c>
      <c r="H34" s="117">
        <f>SUM(H13:H33)</f>
        <v>559.10600000000045</v>
      </c>
      <c r="I34" s="117">
        <f>SUM(I13:I33)</f>
        <v>3962.8915580847734</v>
      </c>
      <c r="J34" s="117">
        <f>SUM(J13:J33)</f>
        <v>19814.6859065934</v>
      </c>
      <c r="K34" s="117">
        <f>SUM(K13:K33)</f>
        <v>86375.372874999986</v>
      </c>
      <c r="L34" s="601"/>
      <c r="O34" s="596"/>
      <c r="P34" s="80" t="s">
        <v>193</v>
      </c>
      <c r="Q34" s="80" t="s">
        <v>263</v>
      </c>
      <c r="R34" s="134">
        <v>1</v>
      </c>
      <c r="S34" s="134">
        <v>100</v>
      </c>
      <c r="T34" s="134">
        <v>1</v>
      </c>
      <c r="U34" s="134">
        <f>T34*7</f>
        <v>7</v>
      </c>
      <c r="V34" s="134">
        <f t="shared" si="96"/>
        <v>30.310000000000002</v>
      </c>
      <c r="W34" s="168">
        <f>(R34*S34*T34)</f>
        <v>100</v>
      </c>
      <c r="X34" s="168">
        <f t="shared" si="103"/>
        <v>700</v>
      </c>
      <c r="Y34" s="169">
        <f t="shared" si="104"/>
        <v>3031</v>
      </c>
      <c r="Z34" s="610"/>
      <c r="AC34" s="596"/>
      <c r="AD34" s="80" t="s">
        <v>190</v>
      </c>
      <c r="AE34" s="80" t="s">
        <v>212</v>
      </c>
      <c r="AF34" s="98">
        <v>1</v>
      </c>
      <c r="AG34" s="98">
        <v>15</v>
      </c>
      <c r="AH34" s="98">
        <v>1</v>
      </c>
      <c r="AI34" s="98">
        <f t="shared" si="97"/>
        <v>7</v>
      </c>
      <c r="AJ34" s="98">
        <f t="shared" si="105"/>
        <v>30.310000000000002</v>
      </c>
      <c r="AK34" s="98">
        <f t="shared" si="98"/>
        <v>15</v>
      </c>
      <c r="AL34" s="98">
        <f t="shared" si="99"/>
        <v>105</v>
      </c>
      <c r="AM34" s="98">
        <f t="shared" si="100"/>
        <v>454.65000000000003</v>
      </c>
      <c r="AN34" s="599"/>
      <c r="AQ34" s="596"/>
      <c r="AR34" s="80" t="s">
        <v>190</v>
      </c>
      <c r="AS34" s="80" t="s">
        <v>212</v>
      </c>
      <c r="AT34" s="134">
        <v>1</v>
      </c>
      <c r="AU34" s="135">
        <v>15</v>
      </c>
      <c r="AV34" s="139">
        <v>1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155">
        <v>0</v>
      </c>
      <c r="BC34" s="155">
        <v>0.5</v>
      </c>
      <c r="BD34" s="155">
        <v>0</v>
      </c>
      <c r="BE34" s="155">
        <v>0</v>
      </c>
      <c r="BF34" s="155">
        <v>0</v>
      </c>
      <c r="BG34" s="155">
        <v>0</v>
      </c>
      <c r="BH34" s="155">
        <v>0</v>
      </c>
      <c r="BI34" s="155">
        <v>0</v>
      </c>
      <c r="BJ34" s="155">
        <v>0</v>
      </c>
      <c r="BK34" s="155">
        <v>0</v>
      </c>
      <c r="BL34" s="155">
        <v>0</v>
      </c>
      <c r="BM34" s="155">
        <v>0</v>
      </c>
      <c r="BN34" s="155">
        <v>0</v>
      </c>
      <c r="BO34" s="155">
        <v>0</v>
      </c>
      <c r="BP34" s="155">
        <v>0.5</v>
      </c>
      <c r="BQ34" s="155">
        <v>0</v>
      </c>
      <c r="BR34" s="155">
        <v>0</v>
      </c>
      <c r="BS34" s="155">
        <v>0</v>
      </c>
      <c r="BT34" s="155">
        <v>0</v>
      </c>
      <c r="BU34" s="102">
        <f t="shared" si="13"/>
        <v>1</v>
      </c>
      <c r="BX34" s="596"/>
      <c r="BY34" s="80" t="s">
        <v>190</v>
      </c>
      <c r="BZ34" s="80" t="s">
        <v>212</v>
      </c>
      <c r="CA34" s="134">
        <v>1</v>
      </c>
      <c r="CB34" s="135">
        <v>15</v>
      </c>
      <c r="CC34" s="165">
        <f t="shared" ref="CC34:CZ34" si="109">$CA$34*$CB$34*AW34</f>
        <v>0</v>
      </c>
      <c r="CD34" s="155">
        <f t="shared" si="109"/>
        <v>0</v>
      </c>
      <c r="CE34" s="155">
        <f t="shared" si="109"/>
        <v>0</v>
      </c>
      <c r="CF34" s="155">
        <f t="shared" si="109"/>
        <v>0</v>
      </c>
      <c r="CG34" s="155">
        <f t="shared" si="109"/>
        <v>0</v>
      </c>
      <c r="CH34" s="155">
        <f t="shared" si="109"/>
        <v>0</v>
      </c>
      <c r="CI34" s="155">
        <f t="shared" si="109"/>
        <v>7.5</v>
      </c>
      <c r="CJ34" s="155">
        <f t="shared" si="109"/>
        <v>0</v>
      </c>
      <c r="CK34" s="155">
        <f t="shared" si="109"/>
        <v>0</v>
      </c>
      <c r="CL34" s="155">
        <f t="shared" si="109"/>
        <v>0</v>
      </c>
      <c r="CM34" s="155">
        <f t="shared" si="109"/>
        <v>0</v>
      </c>
      <c r="CN34" s="155">
        <f t="shared" si="109"/>
        <v>0</v>
      </c>
      <c r="CO34" s="155">
        <f t="shared" si="109"/>
        <v>0</v>
      </c>
      <c r="CP34" s="155">
        <f t="shared" si="109"/>
        <v>0</v>
      </c>
      <c r="CQ34" s="155">
        <f t="shared" si="109"/>
        <v>0</v>
      </c>
      <c r="CR34" s="155">
        <f t="shared" si="109"/>
        <v>0</v>
      </c>
      <c r="CS34" s="155">
        <f t="shared" si="109"/>
        <v>0</v>
      </c>
      <c r="CT34" s="155">
        <f t="shared" si="109"/>
        <v>0</v>
      </c>
      <c r="CU34" s="155">
        <f t="shared" si="109"/>
        <v>0</v>
      </c>
      <c r="CV34" s="155">
        <f t="shared" si="109"/>
        <v>7.5</v>
      </c>
      <c r="CW34" s="155">
        <f t="shared" si="109"/>
        <v>0</v>
      </c>
      <c r="CX34" s="155">
        <f t="shared" si="109"/>
        <v>0</v>
      </c>
      <c r="CY34" s="155">
        <f t="shared" si="109"/>
        <v>0</v>
      </c>
      <c r="CZ34" s="155">
        <f t="shared" si="109"/>
        <v>0</v>
      </c>
      <c r="DA34" s="102">
        <f t="shared" si="102"/>
        <v>15</v>
      </c>
    </row>
    <row r="35" spans="1:105" ht="18" thickBot="1" x14ac:dyDescent="0.35">
      <c r="A35" s="616" t="s">
        <v>274</v>
      </c>
      <c r="B35" s="617"/>
      <c r="C35" s="97"/>
      <c r="D35" s="110">
        <f>D12+D34</f>
        <v>78</v>
      </c>
      <c r="E35" s="110">
        <f t="shared" ref="E35:K35" si="110">E12+E34</f>
        <v>2081.2399999999998</v>
      </c>
      <c r="F35" s="110">
        <f t="shared" si="110"/>
        <v>52.640784929356371</v>
      </c>
      <c r="G35" s="110">
        <f t="shared" si="110"/>
        <v>312.20549450549447</v>
      </c>
      <c r="H35" s="110">
        <f t="shared" si="110"/>
        <v>1355.8260000000005</v>
      </c>
      <c r="I35" s="110">
        <f t="shared" si="110"/>
        <v>4865.8915580847734</v>
      </c>
      <c r="J35" s="110">
        <f t="shared" si="110"/>
        <v>25975.6859065934</v>
      </c>
      <c r="K35" s="110">
        <f t="shared" si="110"/>
        <v>113052.50287499999</v>
      </c>
      <c r="L35" s="119">
        <f>L3+L13</f>
        <v>0.19637721923221746</v>
      </c>
      <c r="O35" s="597"/>
      <c r="P35" s="86" t="s">
        <v>259</v>
      </c>
      <c r="Q35" s="87"/>
      <c r="R35" s="136">
        <f t="shared" ref="R35:X35" si="111">SUM(R30:R34)</f>
        <v>8</v>
      </c>
      <c r="S35" s="136">
        <f t="shared" si="111"/>
        <v>194</v>
      </c>
      <c r="T35" s="136">
        <f t="shared" si="111"/>
        <v>10.5</v>
      </c>
      <c r="U35" s="136">
        <f t="shared" si="111"/>
        <v>73.5</v>
      </c>
      <c r="V35" s="136">
        <f>SUM(V30:V34)</f>
        <v>318.255</v>
      </c>
      <c r="W35" s="170">
        <f t="shared" si="111"/>
        <v>508.5</v>
      </c>
      <c r="X35" s="170">
        <f t="shared" si="111"/>
        <v>3559.5</v>
      </c>
      <c r="Y35" s="171">
        <f t="shared" ref="Y35" si="112">SUM(Y30:Y34)</f>
        <v>15412.635</v>
      </c>
      <c r="Z35" s="611"/>
      <c r="AC35" s="596"/>
      <c r="AD35" s="80" t="s">
        <v>193</v>
      </c>
      <c r="AE35" s="80" t="s">
        <v>263</v>
      </c>
      <c r="AF35" s="98">
        <v>1</v>
      </c>
      <c r="AG35" s="98">
        <v>100</v>
      </c>
      <c r="AH35" s="98">
        <v>1</v>
      </c>
      <c r="AI35" s="98">
        <f>AH35*7</f>
        <v>7</v>
      </c>
      <c r="AJ35" s="98">
        <f t="shared" si="105"/>
        <v>30.310000000000002</v>
      </c>
      <c r="AK35" s="98">
        <f t="shared" si="98"/>
        <v>100</v>
      </c>
      <c r="AL35" s="98">
        <f t="shared" si="99"/>
        <v>700</v>
      </c>
      <c r="AM35" s="98">
        <f t="shared" si="100"/>
        <v>3031</v>
      </c>
      <c r="AN35" s="599"/>
      <c r="AQ35" s="596"/>
      <c r="AR35" s="80" t="s">
        <v>193</v>
      </c>
      <c r="AS35" s="80" t="s">
        <v>263</v>
      </c>
      <c r="AT35" s="134">
        <v>1</v>
      </c>
      <c r="AU35" s="135">
        <v>100</v>
      </c>
      <c r="AV35" s="139">
        <v>1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55">
        <v>0</v>
      </c>
      <c r="BC35" s="155">
        <v>0.5</v>
      </c>
      <c r="BD35" s="155">
        <v>0</v>
      </c>
      <c r="BE35" s="155">
        <v>0</v>
      </c>
      <c r="BF35" s="155">
        <v>0</v>
      </c>
      <c r="BG35" s="155">
        <v>0</v>
      </c>
      <c r="BH35" s="155">
        <v>0</v>
      </c>
      <c r="BI35" s="155">
        <v>0</v>
      </c>
      <c r="BJ35" s="155">
        <v>0</v>
      </c>
      <c r="BK35" s="155">
        <v>0</v>
      </c>
      <c r="BL35" s="155">
        <v>0</v>
      </c>
      <c r="BM35" s="155">
        <v>0</v>
      </c>
      <c r="BN35" s="155">
        <v>0</v>
      </c>
      <c r="BO35" s="155">
        <v>0</v>
      </c>
      <c r="BP35" s="155">
        <v>0.5</v>
      </c>
      <c r="BQ35" s="155">
        <v>0</v>
      </c>
      <c r="BR35" s="155">
        <v>0</v>
      </c>
      <c r="BS35" s="155">
        <v>0</v>
      </c>
      <c r="BT35" s="155">
        <v>0</v>
      </c>
      <c r="BU35" s="102">
        <f t="shared" si="13"/>
        <v>1</v>
      </c>
      <c r="BX35" s="596"/>
      <c r="BY35" s="80" t="s">
        <v>193</v>
      </c>
      <c r="BZ35" s="80" t="s">
        <v>263</v>
      </c>
      <c r="CA35" s="134">
        <v>1</v>
      </c>
      <c r="CB35" s="135">
        <v>100</v>
      </c>
      <c r="CC35" s="165">
        <f t="shared" ref="CC35:CZ35" si="113">$CA$35*$CB$35*AW35</f>
        <v>0</v>
      </c>
      <c r="CD35" s="155">
        <f t="shared" si="113"/>
        <v>0</v>
      </c>
      <c r="CE35" s="155">
        <f t="shared" si="113"/>
        <v>0</v>
      </c>
      <c r="CF35" s="155">
        <f t="shared" si="113"/>
        <v>0</v>
      </c>
      <c r="CG35" s="155">
        <f t="shared" si="113"/>
        <v>0</v>
      </c>
      <c r="CH35" s="155">
        <f t="shared" si="113"/>
        <v>0</v>
      </c>
      <c r="CI35" s="155">
        <f t="shared" si="113"/>
        <v>50</v>
      </c>
      <c r="CJ35" s="155">
        <f t="shared" si="113"/>
        <v>0</v>
      </c>
      <c r="CK35" s="155">
        <f t="shared" si="113"/>
        <v>0</v>
      </c>
      <c r="CL35" s="155">
        <f t="shared" si="113"/>
        <v>0</v>
      </c>
      <c r="CM35" s="155">
        <f t="shared" si="113"/>
        <v>0</v>
      </c>
      <c r="CN35" s="155">
        <f t="shared" si="113"/>
        <v>0</v>
      </c>
      <c r="CO35" s="155">
        <f t="shared" si="113"/>
        <v>0</v>
      </c>
      <c r="CP35" s="155">
        <f t="shared" si="113"/>
        <v>0</v>
      </c>
      <c r="CQ35" s="155">
        <f t="shared" si="113"/>
        <v>0</v>
      </c>
      <c r="CR35" s="155">
        <f t="shared" si="113"/>
        <v>0</v>
      </c>
      <c r="CS35" s="155">
        <f t="shared" si="113"/>
        <v>0</v>
      </c>
      <c r="CT35" s="155">
        <f t="shared" si="113"/>
        <v>0</v>
      </c>
      <c r="CU35" s="155">
        <f t="shared" si="113"/>
        <v>0</v>
      </c>
      <c r="CV35" s="155">
        <f t="shared" si="113"/>
        <v>50</v>
      </c>
      <c r="CW35" s="155">
        <f t="shared" si="113"/>
        <v>0</v>
      </c>
      <c r="CX35" s="155">
        <f t="shared" si="113"/>
        <v>0</v>
      </c>
      <c r="CY35" s="155">
        <f t="shared" si="113"/>
        <v>0</v>
      </c>
      <c r="CZ35" s="155">
        <f t="shared" si="113"/>
        <v>0</v>
      </c>
      <c r="DA35" s="102">
        <f t="shared" si="102"/>
        <v>100</v>
      </c>
    </row>
    <row r="36" spans="1:105" ht="18" thickBot="1" x14ac:dyDescent="0.35">
      <c r="A36" s="596" t="s">
        <v>199</v>
      </c>
      <c r="B36" s="80" t="s">
        <v>213</v>
      </c>
      <c r="C36" s="80" t="s">
        <v>45</v>
      </c>
      <c r="D36" s="98">
        <v>1</v>
      </c>
      <c r="E36" s="98">
        <v>45</v>
      </c>
      <c r="F36" s="98">
        <v>4</v>
      </c>
      <c r="G36" s="98">
        <f t="shared" ref="G36:G78" si="114">F36*7</f>
        <v>28</v>
      </c>
      <c r="H36" s="98">
        <f>G36*4.33</f>
        <v>121.24000000000001</v>
      </c>
      <c r="I36" s="98">
        <f>D36*E36*F36</f>
        <v>180</v>
      </c>
      <c r="J36" s="98">
        <f>D36*E36*G36</f>
        <v>1260</v>
      </c>
      <c r="K36" s="98">
        <f>D36*E36*H36</f>
        <v>5455.8</v>
      </c>
      <c r="L36" s="598">
        <f>K52/K79</f>
        <v>0.22839114265014673</v>
      </c>
      <c r="O36" s="595" t="s">
        <v>200</v>
      </c>
      <c r="P36" s="80" t="s">
        <v>191</v>
      </c>
      <c r="Q36" s="80" t="s">
        <v>205</v>
      </c>
      <c r="R36" s="134">
        <v>40</v>
      </c>
      <c r="S36" s="134">
        <v>28</v>
      </c>
      <c r="T36" s="134">
        <v>3</v>
      </c>
      <c r="U36" s="134">
        <f t="shared" ref="U36" si="115">T36*7</f>
        <v>21</v>
      </c>
      <c r="V36" s="134">
        <f>U36*4.33</f>
        <v>90.93</v>
      </c>
      <c r="W36" s="168">
        <f>(R36*S36*T36)</f>
        <v>3360</v>
      </c>
      <c r="X36" s="168">
        <f>(R36*S36*U36)</f>
        <v>23520</v>
      </c>
      <c r="Y36" s="168">
        <f>(R36*S36*V36)</f>
        <v>101841.60000000001</v>
      </c>
      <c r="Z36" s="609">
        <f>Y37/Y38</f>
        <v>0.42255959907866941</v>
      </c>
      <c r="AC36" s="597"/>
      <c r="AD36" s="86" t="s">
        <v>259</v>
      </c>
      <c r="AE36" s="87"/>
      <c r="AF36" s="107">
        <f t="shared" ref="AF36:AI36" si="116">SUM(AF31:AF35)</f>
        <v>43</v>
      </c>
      <c r="AG36" s="107">
        <f t="shared" si="116"/>
        <v>194</v>
      </c>
      <c r="AH36" s="107">
        <f t="shared" si="116"/>
        <v>10.5</v>
      </c>
      <c r="AI36" s="107">
        <f t="shared" si="116"/>
        <v>73.5</v>
      </c>
      <c r="AJ36" s="107">
        <f>SUM(AJ31:AJ35)</f>
        <v>318.255</v>
      </c>
      <c r="AK36" s="107">
        <f t="shared" ref="AK36:AM36" si="117">SUM(AK31:AK35)</f>
        <v>2636.5</v>
      </c>
      <c r="AL36" s="107">
        <f t="shared" si="117"/>
        <v>18455.5</v>
      </c>
      <c r="AM36" s="107">
        <f t="shared" si="117"/>
        <v>79912.315000000002</v>
      </c>
      <c r="AN36" s="600"/>
      <c r="AQ36" s="597"/>
      <c r="AR36" s="86" t="s">
        <v>259</v>
      </c>
      <c r="AS36" s="87"/>
      <c r="AT36" s="136">
        <f t="shared" ref="AT36:BU36" si="118">SUM(AT31:AT35)</f>
        <v>8</v>
      </c>
      <c r="AU36" s="137">
        <f t="shared" si="118"/>
        <v>194</v>
      </c>
      <c r="AV36" s="156">
        <f t="shared" si="118"/>
        <v>10.5</v>
      </c>
      <c r="AW36" s="136">
        <f t="shared" si="118"/>
        <v>0</v>
      </c>
      <c r="AX36" s="136">
        <f t="shared" si="118"/>
        <v>0</v>
      </c>
      <c r="AY36" s="136">
        <f t="shared" si="118"/>
        <v>0</v>
      </c>
      <c r="AZ36" s="136">
        <f t="shared" si="118"/>
        <v>0</v>
      </c>
      <c r="BA36" s="136">
        <f t="shared" si="118"/>
        <v>0</v>
      </c>
      <c r="BB36" s="136">
        <f t="shared" si="118"/>
        <v>0</v>
      </c>
      <c r="BC36" s="136">
        <f t="shared" si="118"/>
        <v>1</v>
      </c>
      <c r="BD36" s="136">
        <f t="shared" si="118"/>
        <v>0</v>
      </c>
      <c r="BE36" s="136">
        <f t="shared" si="118"/>
        <v>0</v>
      </c>
      <c r="BF36" s="136">
        <f t="shared" si="118"/>
        <v>0</v>
      </c>
      <c r="BG36" s="136">
        <f t="shared" si="118"/>
        <v>0</v>
      </c>
      <c r="BH36" s="136">
        <f t="shared" si="118"/>
        <v>2</v>
      </c>
      <c r="BI36" s="136">
        <f t="shared" si="118"/>
        <v>0</v>
      </c>
      <c r="BJ36" s="136">
        <f t="shared" si="118"/>
        <v>0</v>
      </c>
      <c r="BK36" s="136">
        <f t="shared" si="118"/>
        <v>0</v>
      </c>
      <c r="BL36" s="136">
        <f t="shared" si="118"/>
        <v>0</v>
      </c>
      <c r="BM36" s="136">
        <f t="shared" si="118"/>
        <v>0</v>
      </c>
      <c r="BN36" s="136">
        <f t="shared" si="118"/>
        <v>0</v>
      </c>
      <c r="BO36" s="136">
        <f t="shared" si="118"/>
        <v>0</v>
      </c>
      <c r="BP36" s="136">
        <f t="shared" si="118"/>
        <v>4</v>
      </c>
      <c r="BQ36" s="136">
        <f t="shared" si="118"/>
        <v>2</v>
      </c>
      <c r="BR36" s="136">
        <f t="shared" si="118"/>
        <v>1</v>
      </c>
      <c r="BS36" s="136">
        <f t="shared" si="118"/>
        <v>1</v>
      </c>
      <c r="BT36" s="137">
        <f t="shared" si="118"/>
        <v>0</v>
      </c>
      <c r="BU36" s="163">
        <f t="shared" si="118"/>
        <v>11</v>
      </c>
      <c r="BX36" s="597"/>
      <c r="BY36" s="86" t="s">
        <v>259</v>
      </c>
      <c r="BZ36" s="87"/>
      <c r="CA36" s="136">
        <f t="shared" ref="CA36:DA36" si="119">SUM(CA31:CA35)</f>
        <v>8</v>
      </c>
      <c r="CB36" s="137">
        <f t="shared" si="119"/>
        <v>194</v>
      </c>
      <c r="CC36" s="186">
        <f t="shared" si="119"/>
        <v>0</v>
      </c>
      <c r="CD36" s="136">
        <f t="shared" si="119"/>
        <v>0</v>
      </c>
      <c r="CE36" s="136">
        <f t="shared" si="119"/>
        <v>0</v>
      </c>
      <c r="CF36" s="136">
        <f t="shared" si="119"/>
        <v>0</v>
      </c>
      <c r="CG36" s="136">
        <f t="shared" si="119"/>
        <v>0</v>
      </c>
      <c r="CH36" s="136">
        <f t="shared" si="119"/>
        <v>0</v>
      </c>
      <c r="CI36" s="136">
        <f t="shared" si="119"/>
        <v>57.5</v>
      </c>
      <c r="CJ36" s="136">
        <f t="shared" si="119"/>
        <v>0</v>
      </c>
      <c r="CK36" s="136">
        <f t="shared" si="119"/>
        <v>0</v>
      </c>
      <c r="CL36" s="136">
        <f t="shared" si="119"/>
        <v>0</v>
      </c>
      <c r="CM36" s="136">
        <f t="shared" si="119"/>
        <v>0</v>
      </c>
      <c r="CN36" s="136">
        <f t="shared" si="119"/>
        <v>46</v>
      </c>
      <c r="CO36" s="136">
        <f t="shared" si="119"/>
        <v>0</v>
      </c>
      <c r="CP36" s="136">
        <f t="shared" si="119"/>
        <v>0</v>
      </c>
      <c r="CQ36" s="136">
        <f t="shared" si="119"/>
        <v>0</v>
      </c>
      <c r="CR36" s="136">
        <f t="shared" si="119"/>
        <v>0</v>
      </c>
      <c r="CS36" s="136">
        <f t="shared" si="119"/>
        <v>0</v>
      </c>
      <c r="CT36" s="136">
        <f t="shared" si="119"/>
        <v>0</v>
      </c>
      <c r="CU36" s="136">
        <f t="shared" si="119"/>
        <v>0</v>
      </c>
      <c r="CV36" s="136">
        <f t="shared" si="119"/>
        <v>220.5</v>
      </c>
      <c r="CW36" s="136">
        <f t="shared" si="119"/>
        <v>140</v>
      </c>
      <c r="CX36" s="136">
        <f t="shared" si="119"/>
        <v>28</v>
      </c>
      <c r="CY36" s="136">
        <f t="shared" si="119"/>
        <v>28</v>
      </c>
      <c r="CZ36" s="137">
        <f t="shared" si="119"/>
        <v>0</v>
      </c>
      <c r="DA36" s="163">
        <f t="shared" si="119"/>
        <v>520</v>
      </c>
    </row>
    <row r="37" spans="1:105" ht="18" thickBot="1" x14ac:dyDescent="0.35">
      <c r="A37" s="596"/>
      <c r="B37" s="80"/>
      <c r="C37" s="80" t="s">
        <v>251</v>
      </c>
      <c r="D37" s="98">
        <v>4</v>
      </c>
      <c r="E37" s="101">
        <v>17</v>
      </c>
      <c r="F37" s="98">
        <v>4</v>
      </c>
      <c r="G37" s="98">
        <f t="shared" si="114"/>
        <v>28</v>
      </c>
      <c r="H37" s="98">
        <f t="shared" ref="H37:H51" si="120">G37*4.33</f>
        <v>121.24000000000001</v>
      </c>
      <c r="I37" s="98">
        <f t="shared" ref="I37:I50" si="121">D37*E37*F37</f>
        <v>272</v>
      </c>
      <c r="J37" s="98">
        <f t="shared" ref="J37:J51" si="122">D37*E37*G37</f>
        <v>1904</v>
      </c>
      <c r="K37" s="98">
        <f t="shared" ref="K37:K51" si="123">D37*E37*H37</f>
        <v>8244.32</v>
      </c>
      <c r="L37" s="599"/>
      <c r="O37" s="597"/>
      <c r="P37" s="86" t="s">
        <v>259</v>
      </c>
      <c r="Q37" s="89"/>
      <c r="R37" s="142">
        <f t="shared" ref="R37:Y37" si="124">SUM(R36:R36)</f>
        <v>40</v>
      </c>
      <c r="S37" s="142">
        <f t="shared" si="124"/>
        <v>28</v>
      </c>
      <c r="T37" s="142">
        <f t="shared" si="124"/>
        <v>3</v>
      </c>
      <c r="U37" s="142">
        <f t="shared" si="124"/>
        <v>21</v>
      </c>
      <c r="V37" s="142">
        <f>SUM(V36)</f>
        <v>90.93</v>
      </c>
      <c r="W37" s="175">
        <f t="shared" si="124"/>
        <v>3360</v>
      </c>
      <c r="X37" s="175">
        <f t="shared" si="124"/>
        <v>23520</v>
      </c>
      <c r="Y37" s="175">
        <f t="shared" si="124"/>
        <v>101841.60000000001</v>
      </c>
      <c r="Z37" s="611"/>
      <c r="AC37" s="595" t="s">
        <v>200</v>
      </c>
      <c r="AD37" s="80" t="s">
        <v>191</v>
      </c>
      <c r="AE37" s="80" t="s">
        <v>205</v>
      </c>
      <c r="AF37" s="98">
        <v>40</v>
      </c>
      <c r="AG37" s="98">
        <v>28</v>
      </c>
      <c r="AH37" s="98">
        <v>3</v>
      </c>
      <c r="AI37" s="98">
        <f t="shared" ref="AI37" si="125">AH37*7</f>
        <v>21</v>
      </c>
      <c r="AJ37" s="98">
        <f>AI37*4.33</f>
        <v>90.93</v>
      </c>
      <c r="AK37" s="98">
        <f t="shared" ref="AK37" si="126">AF37*AG37*AH37</f>
        <v>3360</v>
      </c>
      <c r="AL37" s="98">
        <f t="shared" ref="AL37" si="127">AF37*AG37*AI37</f>
        <v>23520</v>
      </c>
      <c r="AM37" s="98">
        <f t="shared" ref="AM37" si="128">AF37*AG37*AJ37</f>
        <v>101841.60000000001</v>
      </c>
      <c r="AN37" s="598">
        <f>AM38/AM39</f>
        <v>0.23548543806750519</v>
      </c>
      <c r="AQ37" s="595" t="s">
        <v>200</v>
      </c>
      <c r="AR37" s="80" t="s">
        <v>191</v>
      </c>
      <c r="AS37" s="80" t="s">
        <v>205</v>
      </c>
      <c r="AT37" s="134">
        <v>40</v>
      </c>
      <c r="AU37" s="135">
        <v>28</v>
      </c>
      <c r="AV37" s="139">
        <v>3</v>
      </c>
      <c r="AW37" s="155">
        <v>0</v>
      </c>
      <c r="AX37" s="155">
        <v>0</v>
      </c>
      <c r="AY37" s="155">
        <v>0</v>
      </c>
      <c r="AZ37" s="155">
        <v>0</v>
      </c>
      <c r="BA37" s="155">
        <v>0</v>
      </c>
      <c r="BB37" s="155">
        <v>0</v>
      </c>
      <c r="BC37" s="155">
        <v>0</v>
      </c>
      <c r="BD37" s="155">
        <v>0</v>
      </c>
      <c r="BE37" s="155">
        <v>0</v>
      </c>
      <c r="BF37" s="155">
        <v>0</v>
      </c>
      <c r="BG37" s="155">
        <v>0</v>
      </c>
      <c r="BH37" s="155">
        <v>0</v>
      </c>
      <c r="BI37" s="155">
        <v>0</v>
      </c>
      <c r="BJ37" s="155">
        <v>0</v>
      </c>
      <c r="BK37" s="155">
        <v>0</v>
      </c>
      <c r="BL37" s="155">
        <v>0</v>
      </c>
      <c r="BM37" s="155">
        <v>0</v>
      </c>
      <c r="BN37" s="155">
        <v>0</v>
      </c>
      <c r="BO37" s="155">
        <v>0</v>
      </c>
      <c r="BP37" s="155">
        <v>0</v>
      </c>
      <c r="BQ37" s="155">
        <v>1</v>
      </c>
      <c r="BR37" s="155">
        <v>1</v>
      </c>
      <c r="BS37" s="155">
        <v>1</v>
      </c>
      <c r="BT37" s="155">
        <v>0</v>
      </c>
      <c r="BU37" s="102">
        <f t="shared" si="13"/>
        <v>3</v>
      </c>
      <c r="BX37" s="595" t="s">
        <v>200</v>
      </c>
      <c r="BY37" s="80" t="s">
        <v>191</v>
      </c>
      <c r="BZ37" s="80" t="s">
        <v>205</v>
      </c>
      <c r="CA37" s="134">
        <v>40</v>
      </c>
      <c r="CB37" s="135">
        <v>28</v>
      </c>
      <c r="CC37" s="189">
        <f t="shared" ref="CC37:CZ37" si="129">$CA$37*$CB$37*AW37</f>
        <v>0</v>
      </c>
      <c r="CD37" s="155">
        <f t="shared" si="129"/>
        <v>0</v>
      </c>
      <c r="CE37" s="155">
        <f t="shared" si="129"/>
        <v>0</v>
      </c>
      <c r="CF37" s="155">
        <f t="shared" si="129"/>
        <v>0</v>
      </c>
      <c r="CG37" s="155">
        <f t="shared" si="129"/>
        <v>0</v>
      </c>
      <c r="CH37" s="155">
        <f t="shared" si="129"/>
        <v>0</v>
      </c>
      <c r="CI37" s="155">
        <f t="shared" si="129"/>
        <v>0</v>
      </c>
      <c r="CJ37" s="155">
        <f t="shared" si="129"/>
        <v>0</v>
      </c>
      <c r="CK37" s="155">
        <f t="shared" si="129"/>
        <v>0</v>
      </c>
      <c r="CL37" s="155">
        <f t="shared" si="129"/>
        <v>0</v>
      </c>
      <c r="CM37" s="155">
        <f t="shared" si="129"/>
        <v>0</v>
      </c>
      <c r="CN37" s="155">
        <f t="shared" si="129"/>
        <v>0</v>
      </c>
      <c r="CO37" s="155">
        <f t="shared" si="129"/>
        <v>0</v>
      </c>
      <c r="CP37" s="155">
        <f t="shared" si="129"/>
        <v>0</v>
      </c>
      <c r="CQ37" s="155">
        <f t="shared" si="129"/>
        <v>0</v>
      </c>
      <c r="CR37" s="155">
        <f t="shared" si="129"/>
        <v>0</v>
      </c>
      <c r="CS37" s="155">
        <f t="shared" si="129"/>
        <v>0</v>
      </c>
      <c r="CT37" s="155">
        <f t="shared" si="129"/>
        <v>0</v>
      </c>
      <c r="CU37" s="155">
        <f t="shared" si="129"/>
        <v>0</v>
      </c>
      <c r="CV37" s="155">
        <f t="shared" si="129"/>
        <v>0</v>
      </c>
      <c r="CW37" s="155">
        <f t="shared" si="129"/>
        <v>1120</v>
      </c>
      <c r="CX37" s="155">
        <f t="shared" si="129"/>
        <v>1120</v>
      </c>
      <c r="CY37" s="155">
        <f t="shared" si="129"/>
        <v>1120</v>
      </c>
      <c r="CZ37" s="155">
        <f t="shared" si="129"/>
        <v>0</v>
      </c>
      <c r="DA37" s="102">
        <f t="shared" ref="DA37" si="130">SUM(CC37:CZ37)</f>
        <v>3360</v>
      </c>
    </row>
    <row r="38" spans="1:105" ht="19.5" thickBot="1" x14ac:dyDescent="0.35">
      <c r="A38" s="596"/>
      <c r="B38" s="80" t="s">
        <v>217</v>
      </c>
      <c r="C38" s="80" t="s">
        <v>264</v>
      </c>
      <c r="D38" s="98">
        <v>1</v>
      </c>
      <c r="E38" s="101">
        <v>100</v>
      </c>
      <c r="F38" s="98">
        <v>1</v>
      </c>
      <c r="G38" s="98">
        <f t="shared" si="114"/>
        <v>7</v>
      </c>
      <c r="H38" s="98">
        <f t="shared" si="120"/>
        <v>30.310000000000002</v>
      </c>
      <c r="I38" s="98">
        <f t="shared" si="121"/>
        <v>100</v>
      </c>
      <c r="J38" s="98">
        <f t="shared" si="122"/>
        <v>700</v>
      </c>
      <c r="K38" s="98">
        <f t="shared" si="123"/>
        <v>3031</v>
      </c>
      <c r="L38" s="599"/>
      <c r="P38" s="593" t="s">
        <v>158</v>
      </c>
      <c r="Q38" s="594"/>
      <c r="R38" s="182">
        <f t="shared" ref="R38:Y38" si="131">R9+R20+R29+R35+R37</f>
        <v>131</v>
      </c>
      <c r="S38" s="183">
        <f t="shared" si="131"/>
        <v>1267.22</v>
      </c>
      <c r="T38" s="183">
        <f t="shared" si="131"/>
        <v>81.166993720565145</v>
      </c>
      <c r="U38" s="183">
        <f t="shared" si="131"/>
        <v>542.16895604395609</v>
      </c>
      <c r="V38" s="183">
        <f t="shared" si="131"/>
        <v>2348.2562637362635</v>
      </c>
      <c r="W38" s="184">
        <f t="shared" si="131"/>
        <v>8298.5929179748819</v>
      </c>
      <c r="X38" s="184">
        <f t="shared" si="131"/>
        <v>55659.095425824176</v>
      </c>
      <c r="Y38" s="184">
        <f t="shared" si="131"/>
        <v>241011.20935851653</v>
      </c>
      <c r="Z38" s="181">
        <f>SUM(Z3:Z20,Z22:Z37)</f>
        <v>0.99999999999999978</v>
      </c>
      <c r="AC38" s="597"/>
      <c r="AD38" s="86" t="s">
        <v>259</v>
      </c>
      <c r="AE38" s="89"/>
      <c r="AF38" s="110">
        <f t="shared" ref="AF38:AI38" si="132">SUM(AF37:AF37)</f>
        <v>40</v>
      </c>
      <c r="AG38" s="110">
        <f t="shared" si="132"/>
        <v>28</v>
      </c>
      <c r="AH38" s="110">
        <f t="shared" si="132"/>
        <v>3</v>
      </c>
      <c r="AI38" s="110">
        <f t="shared" si="132"/>
        <v>21</v>
      </c>
      <c r="AJ38" s="110">
        <f>SUM(AJ37)</f>
        <v>90.93</v>
      </c>
      <c r="AK38" s="110">
        <f t="shared" ref="AK38:AM38" si="133">SUM(AK37:AK37)</f>
        <v>3360</v>
      </c>
      <c r="AL38" s="110">
        <f t="shared" si="133"/>
        <v>23520</v>
      </c>
      <c r="AM38" s="110">
        <f t="shared" si="133"/>
        <v>101841.60000000001</v>
      </c>
      <c r="AN38" s="600"/>
      <c r="AQ38" s="597"/>
      <c r="AR38" s="86" t="s">
        <v>259</v>
      </c>
      <c r="AS38" s="89"/>
      <c r="AT38" s="142">
        <f t="shared" ref="AT38:BU38" si="134">SUM(AT37:AT37)</f>
        <v>40</v>
      </c>
      <c r="AU38" s="143">
        <f t="shared" si="134"/>
        <v>28</v>
      </c>
      <c r="AV38" s="158">
        <f t="shared" si="134"/>
        <v>3</v>
      </c>
      <c r="AW38" s="142">
        <f t="shared" si="134"/>
        <v>0</v>
      </c>
      <c r="AX38" s="142">
        <f t="shared" si="134"/>
        <v>0</v>
      </c>
      <c r="AY38" s="142">
        <f t="shared" si="134"/>
        <v>0</v>
      </c>
      <c r="AZ38" s="142">
        <f t="shared" si="134"/>
        <v>0</v>
      </c>
      <c r="BA38" s="142">
        <f t="shared" si="134"/>
        <v>0</v>
      </c>
      <c r="BB38" s="142">
        <f t="shared" si="134"/>
        <v>0</v>
      </c>
      <c r="BC38" s="142">
        <f t="shared" si="134"/>
        <v>0</v>
      </c>
      <c r="BD38" s="142">
        <f t="shared" si="134"/>
        <v>0</v>
      </c>
      <c r="BE38" s="142">
        <f t="shared" si="134"/>
        <v>0</v>
      </c>
      <c r="BF38" s="142">
        <f t="shared" si="134"/>
        <v>0</v>
      </c>
      <c r="BG38" s="142">
        <f t="shared" si="134"/>
        <v>0</v>
      </c>
      <c r="BH38" s="142">
        <f t="shared" si="134"/>
        <v>0</v>
      </c>
      <c r="BI38" s="142">
        <f t="shared" si="134"/>
        <v>0</v>
      </c>
      <c r="BJ38" s="142">
        <f t="shared" si="134"/>
        <v>0</v>
      </c>
      <c r="BK38" s="142">
        <f t="shared" si="134"/>
        <v>0</v>
      </c>
      <c r="BL38" s="142">
        <f t="shared" si="134"/>
        <v>0</v>
      </c>
      <c r="BM38" s="142">
        <f t="shared" si="134"/>
        <v>0</v>
      </c>
      <c r="BN38" s="142">
        <f t="shared" si="134"/>
        <v>0</v>
      </c>
      <c r="BO38" s="142">
        <f t="shared" si="134"/>
        <v>0</v>
      </c>
      <c r="BP38" s="142">
        <f t="shared" si="134"/>
        <v>0</v>
      </c>
      <c r="BQ38" s="142">
        <f t="shared" si="134"/>
        <v>1</v>
      </c>
      <c r="BR38" s="142">
        <f t="shared" si="134"/>
        <v>1</v>
      </c>
      <c r="BS38" s="142">
        <f t="shared" si="134"/>
        <v>1</v>
      </c>
      <c r="BT38" s="143">
        <f t="shared" si="134"/>
        <v>0</v>
      </c>
      <c r="BU38" s="158">
        <f t="shared" si="134"/>
        <v>3</v>
      </c>
      <c r="BX38" s="597"/>
      <c r="BY38" s="86" t="s">
        <v>259</v>
      </c>
      <c r="BZ38" s="89"/>
      <c r="CA38" s="142">
        <f t="shared" ref="CA38:DA38" si="135">SUM(CA37:CA37)</f>
        <v>40</v>
      </c>
      <c r="CB38" s="143">
        <f t="shared" si="135"/>
        <v>28</v>
      </c>
      <c r="CC38" s="158">
        <f t="shared" si="135"/>
        <v>0</v>
      </c>
      <c r="CD38" s="142">
        <f t="shared" si="135"/>
        <v>0</v>
      </c>
      <c r="CE38" s="142">
        <f t="shared" si="135"/>
        <v>0</v>
      </c>
      <c r="CF38" s="142">
        <f t="shared" si="135"/>
        <v>0</v>
      </c>
      <c r="CG38" s="142">
        <f t="shared" si="135"/>
        <v>0</v>
      </c>
      <c r="CH38" s="142">
        <f t="shared" si="135"/>
        <v>0</v>
      </c>
      <c r="CI38" s="142">
        <f t="shared" si="135"/>
        <v>0</v>
      </c>
      <c r="CJ38" s="142">
        <f t="shared" si="135"/>
        <v>0</v>
      </c>
      <c r="CK38" s="142">
        <f t="shared" si="135"/>
        <v>0</v>
      </c>
      <c r="CL38" s="142">
        <f t="shared" si="135"/>
        <v>0</v>
      </c>
      <c r="CM38" s="142">
        <f t="shared" si="135"/>
        <v>0</v>
      </c>
      <c r="CN38" s="142">
        <f t="shared" si="135"/>
        <v>0</v>
      </c>
      <c r="CO38" s="142">
        <f t="shared" si="135"/>
        <v>0</v>
      </c>
      <c r="CP38" s="142">
        <f t="shared" si="135"/>
        <v>0</v>
      </c>
      <c r="CQ38" s="142">
        <f t="shared" si="135"/>
        <v>0</v>
      </c>
      <c r="CR38" s="142">
        <f t="shared" si="135"/>
        <v>0</v>
      </c>
      <c r="CS38" s="142">
        <f t="shared" si="135"/>
        <v>0</v>
      </c>
      <c r="CT38" s="142">
        <f t="shared" si="135"/>
        <v>0</v>
      </c>
      <c r="CU38" s="142">
        <f t="shared" si="135"/>
        <v>0</v>
      </c>
      <c r="CV38" s="142">
        <f t="shared" si="135"/>
        <v>0</v>
      </c>
      <c r="CW38" s="142">
        <f t="shared" si="135"/>
        <v>1120</v>
      </c>
      <c r="CX38" s="142">
        <f t="shared" si="135"/>
        <v>1120</v>
      </c>
      <c r="CY38" s="142">
        <f t="shared" si="135"/>
        <v>1120</v>
      </c>
      <c r="CZ38" s="143">
        <f t="shared" si="135"/>
        <v>0</v>
      </c>
      <c r="DA38" s="158">
        <f t="shared" si="135"/>
        <v>3360</v>
      </c>
    </row>
    <row r="39" spans="1:105" ht="18" thickBot="1" x14ac:dyDescent="0.35">
      <c r="A39" s="596"/>
      <c r="B39" s="80" t="s">
        <v>193</v>
      </c>
      <c r="C39" s="80" t="s">
        <v>263</v>
      </c>
      <c r="D39" s="98">
        <v>1</v>
      </c>
      <c r="E39" s="101">
        <v>100</v>
      </c>
      <c r="F39" s="98">
        <v>1</v>
      </c>
      <c r="G39" s="98">
        <f t="shared" si="114"/>
        <v>7</v>
      </c>
      <c r="H39" s="98">
        <f t="shared" si="120"/>
        <v>30.310000000000002</v>
      </c>
      <c r="I39" s="98">
        <f t="shared" si="121"/>
        <v>100</v>
      </c>
      <c r="J39" s="98">
        <f t="shared" si="122"/>
        <v>700</v>
      </c>
      <c r="K39" s="98">
        <f t="shared" si="123"/>
        <v>3031</v>
      </c>
      <c r="L39" s="599"/>
      <c r="R39" s="106"/>
      <c r="S39" s="106"/>
      <c r="T39" s="106"/>
      <c r="U39" s="106"/>
      <c r="V39" s="106"/>
      <c r="W39" s="106"/>
      <c r="X39" s="106"/>
      <c r="Y39" s="106"/>
      <c r="AD39" s="593" t="s">
        <v>158</v>
      </c>
      <c r="AE39" s="594"/>
      <c r="AF39" s="113">
        <f t="shared" ref="AF39:AM39" si="136">AF10+AF21+AF30+AF36+AF38</f>
        <v>225</v>
      </c>
      <c r="AG39" s="105">
        <f t="shared" si="136"/>
        <v>1267.22</v>
      </c>
      <c r="AH39" s="105">
        <f t="shared" si="136"/>
        <v>89.166993720565145</v>
      </c>
      <c r="AI39" s="105">
        <f t="shared" si="136"/>
        <v>563.16895604395609</v>
      </c>
      <c r="AJ39" s="105">
        <f t="shared" si="136"/>
        <v>2439.1862637362633</v>
      </c>
      <c r="AK39" s="105">
        <f t="shared" si="136"/>
        <v>23002.592917974882</v>
      </c>
      <c r="AL39" s="105">
        <f t="shared" si="136"/>
        <v>99877.095425824169</v>
      </c>
      <c r="AM39" s="105">
        <f t="shared" si="136"/>
        <v>432475.14935851656</v>
      </c>
      <c r="AN39" s="121">
        <f>SUM(AN3:AN21,AN23:AN38)</f>
        <v>1</v>
      </c>
      <c r="AR39" s="593" t="s">
        <v>158</v>
      </c>
      <c r="AS39" s="594"/>
      <c r="AT39" s="147">
        <f t="shared" ref="AT39:BU39" si="137">AT10+AT21+AT30+AT36+AT38</f>
        <v>132</v>
      </c>
      <c r="AU39" s="154">
        <f t="shared" si="137"/>
        <v>1267.22</v>
      </c>
      <c r="AV39" s="147">
        <f t="shared" si="137"/>
        <v>81.166666666666671</v>
      </c>
      <c r="AW39" s="148">
        <f t="shared" si="137"/>
        <v>2</v>
      </c>
      <c r="AX39" s="148">
        <f t="shared" si="137"/>
        <v>2.5</v>
      </c>
      <c r="AY39" s="148">
        <f t="shared" si="137"/>
        <v>3</v>
      </c>
      <c r="AZ39" s="148">
        <f t="shared" si="137"/>
        <v>3</v>
      </c>
      <c r="BA39" s="148">
        <f t="shared" si="137"/>
        <v>2.5</v>
      </c>
      <c r="BB39" s="148">
        <f t="shared" si="137"/>
        <v>3.5</v>
      </c>
      <c r="BC39" s="148">
        <f t="shared" si="137"/>
        <v>4</v>
      </c>
      <c r="BD39" s="148">
        <f t="shared" si="137"/>
        <v>2</v>
      </c>
      <c r="BE39" s="148">
        <f t="shared" si="137"/>
        <v>4</v>
      </c>
      <c r="BF39" s="148">
        <f t="shared" si="137"/>
        <v>2</v>
      </c>
      <c r="BG39" s="148">
        <f t="shared" si="137"/>
        <v>2</v>
      </c>
      <c r="BH39" s="148">
        <f t="shared" si="137"/>
        <v>4.5</v>
      </c>
      <c r="BI39" s="148">
        <f t="shared" si="137"/>
        <v>2</v>
      </c>
      <c r="BJ39" s="148">
        <f t="shared" si="137"/>
        <v>0</v>
      </c>
      <c r="BK39" s="148">
        <f t="shared" si="137"/>
        <v>0</v>
      </c>
      <c r="BL39" s="148">
        <f t="shared" si="137"/>
        <v>3</v>
      </c>
      <c r="BM39" s="148">
        <f t="shared" si="137"/>
        <v>3</v>
      </c>
      <c r="BN39" s="148">
        <f t="shared" si="137"/>
        <v>5.5</v>
      </c>
      <c r="BO39" s="148">
        <f t="shared" si="137"/>
        <v>5</v>
      </c>
      <c r="BP39" s="148">
        <f t="shared" si="137"/>
        <v>8</v>
      </c>
      <c r="BQ39" s="148">
        <f t="shared" si="137"/>
        <v>8</v>
      </c>
      <c r="BR39" s="148">
        <f t="shared" si="137"/>
        <v>6</v>
      </c>
      <c r="BS39" s="148">
        <f t="shared" si="137"/>
        <v>5</v>
      </c>
      <c r="BT39" s="154">
        <f t="shared" si="137"/>
        <v>3</v>
      </c>
      <c r="BU39" s="147">
        <f t="shared" si="137"/>
        <v>83.5</v>
      </c>
      <c r="BY39" s="593" t="s">
        <v>158</v>
      </c>
      <c r="BZ39" s="594"/>
      <c r="CA39" s="147">
        <f t="shared" ref="CA39:DA39" si="138">CA10+CA21+CA30+CA36+CA38</f>
        <v>132</v>
      </c>
      <c r="CB39" s="154">
        <f t="shared" si="138"/>
        <v>1267.22</v>
      </c>
      <c r="CC39" s="147">
        <f t="shared" si="138"/>
        <v>86</v>
      </c>
      <c r="CD39" s="148">
        <f t="shared" si="138"/>
        <v>103</v>
      </c>
      <c r="CE39" s="148">
        <f t="shared" si="138"/>
        <v>120</v>
      </c>
      <c r="CF39" s="148">
        <f t="shared" si="138"/>
        <v>120</v>
      </c>
      <c r="CG39" s="148">
        <f t="shared" si="138"/>
        <v>103</v>
      </c>
      <c r="CH39" s="148">
        <f t="shared" si="138"/>
        <v>178.5</v>
      </c>
      <c r="CI39" s="148">
        <f t="shared" si="138"/>
        <v>243.5</v>
      </c>
      <c r="CJ39" s="148">
        <f t="shared" si="138"/>
        <v>86</v>
      </c>
      <c r="CK39" s="148">
        <f t="shared" si="138"/>
        <v>307</v>
      </c>
      <c r="CL39" s="148">
        <f t="shared" si="138"/>
        <v>221</v>
      </c>
      <c r="CM39" s="148">
        <f t="shared" si="138"/>
        <v>221</v>
      </c>
      <c r="CN39" s="148">
        <f t="shared" si="138"/>
        <v>297.52750000000003</v>
      </c>
      <c r="CO39" s="148">
        <f t="shared" si="138"/>
        <v>221</v>
      </c>
      <c r="CP39" s="148">
        <f t="shared" si="138"/>
        <v>0</v>
      </c>
      <c r="CQ39" s="148">
        <f t="shared" si="138"/>
        <v>0</v>
      </c>
      <c r="CR39" s="148">
        <f t="shared" si="138"/>
        <v>197</v>
      </c>
      <c r="CS39" s="148">
        <f t="shared" si="138"/>
        <v>197</v>
      </c>
      <c r="CT39" s="148">
        <f t="shared" si="138"/>
        <v>358.5</v>
      </c>
      <c r="CU39" s="148">
        <f t="shared" si="138"/>
        <v>417</v>
      </c>
      <c r="CV39" s="148">
        <f t="shared" si="138"/>
        <v>537.5</v>
      </c>
      <c r="CW39" s="148">
        <f t="shared" si="138"/>
        <v>1594</v>
      </c>
      <c r="CX39" s="148">
        <f t="shared" si="138"/>
        <v>1336</v>
      </c>
      <c r="CY39" s="148">
        <f t="shared" si="138"/>
        <v>1268</v>
      </c>
      <c r="CZ39" s="154">
        <f t="shared" si="138"/>
        <v>120</v>
      </c>
      <c r="DA39" s="147">
        <f t="shared" si="138"/>
        <v>8332.5275000000001</v>
      </c>
    </row>
    <row r="40" spans="1:105" ht="15.75" thickBot="1" x14ac:dyDescent="0.3">
      <c r="A40" s="596"/>
      <c r="B40" s="80" t="s">
        <v>218</v>
      </c>
      <c r="C40" s="80" t="s">
        <v>219</v>
      </c>
      <c r="D40" s="98">
        <v>1</v>
      </c>
      <c r="E40" s="101">
        <v>135</v>
      </c>
      <c r="F40" s="98">
        <v>4</v>
      </c>
      <c r="G40" s="98">
        <f t="shared" si="114"/>
        <v>28</v>
      </c>
      <c r="H40" s="98">
        <f t="shared" si="120"/>
        <v>121.24000000000001</v>
      </c>
      <c r="I40" s="98">
        <f t="shared" si="121"/>
        <v>540</v>
      </c>
      <c r="J40" s="98">
        <f t="shared" si="122"/>
        <v>3780</v>
      </c>
      <c r="K40" s="98">
        <f t="shared" si="123"/>
        <v>16367.400000000001</v>
      </c>
      <c r="L40" s="599"/>
      <c r="AF40" s="106"/>
      <c r="AG40" s="106"/>
      <c r="AH40" s="106"/>
      <c r="AI40" s="106"/>
      <c r="AJ40" s="106"/>
      <c r="AK40" s="106"/>
      <c r="AL40" s="106">
        <f>AL39/1000</f>
        <v>99.877095425824166</v>
      </c>
      <c r="AM40" s="106">
        <f>AM39/1000</f>
        <v>432.47514935851655</v>
      </c>
    </row>
    <row r="41" spans="1:105" ht="18" thickBot="1" x14ac:dyDescent="0.35">
      <c r="A41" s="596"/>
      <c r="B41" s="80"/>
      <c r="C41" s="80" t="s">
        <v>45</v>
      </c>
      <c r="D41" s="98">
        <v>1</v>
      </c>
      <c r="E41" s="101">
        <f>20*2.25</f>
        <v>45</v>
      </c>
      <c r="F41" s="98">
        <v>4</v>
      </c>
      <c r="G41" s="98">
        <f t="shared" si="114"/>
        <v>28</v>
      </c>
      <c r="H41" s="98">
        <f t="shared" si="120"/>
        <v>121.24000000000001</v>
      </c>
      <c r="I41" s="98">
        <f t="shared" si="121"/>
        <v>180</v>
      </c>
      <c r="J41" s="98">
        <f t="shared" si="122"/>
        <v>1260</v>
      </c>
      <c r="K41" s="98">
        <f t="shared" si="123"/>
        <v>5455.8</v>
      </c>
      <c r="L41" s="599"/>
      <c r="BY41" s="593" t="s">
        <v>378</v>
      </c>
      <c r="BZ41" s="594"/>
      <c r="CA41" s="147">
        <f>CA22+CA30+CA36</f>
        <v>92</v>
      </c>
      <c r="CB41" s="147">
        <f>CB22+CB30+CB36</f>
        <v>1239.22</v>
      </c>
      <c r="CC41" s="147">
        <f>CC22+CC30+CC36</f>
        <v>86</v>
      </c>
      <c r="CD41" s="147">
        <f t="shared" ref="CD41:DA41" si="139">CD22+CD30+CD36</f>
        <v>103</v>
      </c>
      <c r="CE41" s="147">
        <f t="shared" si="139"/>
        <v>120</v>
      </c>
      <c r="CF41" s="147">
        <f t="shared" si="139"/>
        <v>120</v>
      </c>
      <c r="CG41" s="147">
        <f t="shared" si="139"/>
        <v>103</v>
      </c>
      <c r="CH41" s="147">
        <f t="shared" si="139"/>
        <v>178.5</v>
      </c>
      <c r="CI41" s="147">
        <f t="shared" si="139"/>
        <v>243.5</v>
      </c>
      <c r="CJ41" s="147">
        <f t="shared" si="139"/>
        <v>86</v>
      </c>
      <c r="CK41" s="147">
        <f t="shared" si="139"/>
        <v>307</v>
      </c>
      <c r="CL41" s="147">
        <f t="shared" si="139"/>
        <v>221</v>
      </c>
      <c r="CM41" s="147">
        <f t="shared" si="139"/>
        <v>221</v>
      </c>
      <c r="CN41" s="147">
        <f t="shared" si="139"/>
        <v>297.52750000000003</v>
      </c>
      <c r="CO41" s="147">
        <f t="shared" si="139"/>
        <v>221</v>
      </c>
      <c r="CP41" s="147">
        <f t="shared" si="139"/>
        <v>0</v>
      </c>
      <c r="CQ41" s="147">
        <f t="shared" si="139"/>
        <v>0</v>
      </c>
      <c r="CR41" s="147">
        <f t="shared" si="139"/>
        <v>197</v>
      </c>
      <c r="CS41" s="147">
        <f t="shared" si="139"/>
        <v>197</v>
      </c>
      <c r="CT41" s="147">
        <f t="shared" si="139"/>
        <v>358.5</v>
      </c>
      <c r="CU41" s="147">
        <f t="shared" si="139"/>
        <v>417</v>
      </c>
      <c r="CV41" s="147">
        <f t="shared" si="139"/>
        <v>537.5</v>
      </c>
      <c r="CW41" s="147">
        <f t="shared" si="139"/>
        <v>474</v>
      </c>
      <c r="CX41" s="147">
        <f t="shared" si="139"/>
        <v>216</v>
      </c>
      <c r="CY41" s="147">
        <f t="shared" si="139"/>
        <v>148</v>
      </c>
      <c r="CZ41" s="147">
        <f t="shared" si="139"/>
        <v>120</v>
      </c>
      <c r="DA41" s="147">
        <f t="shared" si="139"/>
        <v>4972.5275000000001</v>
      </c>
    </row>
    <row r="42" spans="1:105" ht="18" thickBot="1" x14ac:dyDescent="0.35">
      <c r="A42" s="596"/>
      <c r="B42" s="80"/>
      <c r="C42" s="80" t="s">
        <v>220</v>
      </c>
      <c r="D42" s="98">
        <v>1</v>
      </c>
      <c r="E42" s="101">
        <f>0.8*240</f>
        <v>192</v>
      </c>
      <c r="F42" s="98">
        <v>4</v>
      </c>
      <c r="G42" s="98">
        <f t="shared" si="114"/>
        <v>28</v>
      </c>
      <c r="H42" s="98">
        <f t="shared" si="120"/>
        <v>121.24000000000001</v>
      </c>
      <c r="I42" s="98">
        <f t="shared" si="121"/>
        <v>768</v>
      </c>
      <c r="J42" s="98">
        <f t="shared" si="122"/>
        <v>5376</v>
      </c>
      <c r="K42" s="98">
        <f t="shared" si="123"/>
        <v>23278.080000000002</v>
      </c>
      <c r="L42" s="599"/>
      <c r="BY42" s="593" t="s">
        <v>379</v>
      </c>
      <c r="BZ42" s="594"/>
      <c r="CA42" s="147">
        <f>CA22+CA30</f>
        <v>84</v>
      </c>
      <c r="CB42" s="147">
        <f t="shared" ref="CB42:DA42" si="140">CB22+CB30</f>
        <v>1045.22</v>
      </c>
      <c r="CC42" s="147">
        <f t="shared" si="140"/>
        <v>86</v>
      </c>
      <c r="CD42" s="147">
        <f t="shared" si="140"/>
        <v>103</v>
      </c>
      <c r="CE42" s="147">
        <f t="shared" si="140"/>
        <v>120</v>
      </c>
      <c r="CF42" s="147">
        <f t="shared" si="140"/>
        <v>120</v>
      </c>
      <c r="CG42" s="147">
        <f t="shared" si="140"/>
        <v>103</v>
      </c>
      <c r="CH42" s="147">
        <f t="shared" si="140"/>
        <v>178.5</v>
      </c>
      <c r="CI42" s="147">
        <f t="shared" si="140"/>
        <v>186</v>
      </c>
      <c r="CJ42" s="147">
        <f t="shared" si="140"/>
        <v>86</v>
      </c>
      <c r="CK42" s="147">
        <f>CK22+CK30</f>
        <v>307</v>
      </c>
      <c r="CL42" s="147">
        <f t="shared" si="140"/>
        <v>221</v>
      </c>
      <c r="CM42" s="147">
        <f t="shared" si="140"/>
        <v>221</v>
      </c>
      <c r="CN42" s="147">
        <f t="shared" si="140"/>
        <v>251.5275</v>
      </c>
      <c r="CO42" s="147">
        <f t="shared" si="140"/>
        <v>221</v>
      </c>
      <c r="CP42" s="147">
        <f t="shared" si="140"/>
        <v>0</v>
      </c>
      <c r="CQ42" s="147">
        <f t="shared" si="140"/>
        <v>0</v>
      </c>
      <c r="CR42" s="147">
        <f t="shared" si="140"/>
        <v>197</v>
      </c>
      <c r="CS42" s="147">
        <f t="shared" si="140"/>
        <v>197</v>
      </c>
      <c r="CT42" s="147">
        <f t="shared" si="140"/>
        <v>358.5</v>
      </c>
      <c r="CU42" s="147">
        <f>CU22+CU30</f>
        <v>417</v>
      </c>
      <c r="CV42" s="147">
        <f t="shared" si="140"/>
        <v>317</v>
      </c>
      <c r="CW42" s="147">
        <f t="shared" si="140"/>
        <v>334</v>
      </c>
      <c r="CX42" s="147">
        <f t="shared" si="140"/>
        <v>188</v>
      </c>
      <c r="CY42" s="147">
        <f t="shared" si="140"/>
        <v>120</v>
      </c>
      <c r="CZ42" s="147">
        <f t="shared" si="140"/>
        <v>120</v>
      </c>
      <c r="DA42" s="147">
        <f t="shared" si="140"/>
        <v>4452.5275000000001</v>
      </c>
    </row>
    <row r="43" spans="1:105" ht="18" thickBot="1" x14ac:dyDescent="0.35">
      <c r="A43" s="596"/>
      <c r="B43" s="80"/>
      <c r="C43" s="80" t="s">
        <v>222</v>
      </c>
      <c r="D43" s="98">
        <v>4</v>
      </c>
      <c r="E43" s="101">
        <v>28</v>
      </c>
      <c r="F43" s="98">
        <v>6</v>
      </c>
      <c r="G43" s="98">
        <f t="shared" si="114"/>
        <v>42</v>
      </c>
      <c r="H43" s="98">
        <f t="shared" si="120"/>
        <v>181.86</v>
      </c>
      <c r="I43" s="98">
        <f t="shared" si="121"/>
        <v>672</v>
      </c>
      <c r="J43" s="98">
        <f t="shared" si="122"/>
        <v>4704</v>
      </c>
      <c r="K43" s="98">
        <f t="shared" si="123"/>
        <v>20368.32</v>
      </c>
      <c r="L43" s="599"/>
      <c r="AN43"/>
      <c r="BY43" s="593" t="s">
        <v>380</v>
      </c>
      <c r="BZ43" s="594"/>
      <c r="CA43" s="147">
        <f>CA22+CA36</f>
        <v>72</v>
      </c>
      <c r="CB43" s="147">
        <f>CB22+CB36</f>
        <v>931.22</v>
      </c>
      <c r="CC43" s="147"/>
      <c r="CD43" s="147">
        <f t="shared" ref="CD43:DA43" si="141">CD22+CD36</f>
        <v>103</v>
      </c>
      <c r="CE43" s="147">
        <f t="shared" si="141"/>
        <v>120</v>
      </c>
      <c r="CF43" s="147">
        <f t="shared" si="141"/>
        <v>120</v>
      </c>
      <c r="CG43" s="147">
        <f t="shared" si="141"/>
        <v>103</v>
      </c>
      <c r="CH43" s="147">
        <f t="shared" si="141"/>
        <v>178.5</v>
      </c>
      <c r="CI43" s="147">
        <f t="shared" si="141"/>
        <v>143.5</v>
      </c>
      <c r="CJ43" s="147">
        <f t="shared" si="141"/>
        <v>86</v>
      </c>
      <c r="CK43" s="147">
        <f t="shared" si="141"/>
        <v>307</v>
      </c>
      <c r="CL43" s="147">
        <f t="shared" si="141"/>
        <v>221</v>
      </c>
      <c r="CM43" s="147">
        <f t="shared" si="141"/>
        <v>221</v>
      </c>
      <c r="CN43" s="147">
        <f t="shared" si="141"/>
        <v>297.52750000000003</v>
      </c>
      <c r="CO43" s="147">
        <f t="shared" si="141"/>
        <v>221</v>
      </c>
      <c r="CP43" s="147">
        <f t="shared" si="141"/>
        <v>0</v>
      </c>
      <c r="CQ43" s="147">
        <f t="shared" si="141"/>
        <v>0</v>
      </c>
      <c r="CR43" s="147">
        <f t="shared" si="141"/>
        <v>17</v>
      </c>
      <c r="CS43" s="147">
        <f t="shared" si="141"/>
        <v>17</v>
      </c>
      <c r="CT43" s="147">
        <f t="shared" si="141"/>
        <v>178.5</v>
      </c>
      <c r="CU43" s="147">
        <f t="shared" si="141"/>
        <v>69</v>
      </c>
      <c r="CV43" s="147">
        <f t="shared" si="141"/>
        <v>289.5</v>
      </c>
      <c r="CW43" s="147">
        <f t="shared" si="141"/>
        <v>226</v>
      </c>
      <c r="CX43" s="147">
        <f t="shared" si="141"/>
        <v>148</v>
      </c>
      <c r="CY43" s="147">
        <f t="shared" si="141"/>
        <v>148</v>
      </c>
      <c r="CZ43" s="147">
        <f t="shared" si="141"/>
        <v>120</v>
      </c>
      <c r="DA43" s="147">
        <f t="shared" si="141"/>
        <v>3420.5275000000001</v>
      </c>
    </row>
    <row r="44" spans="1:105" x14ac:dyDescent="0.25">
      <c r="A44" s="596"/>
      <c r="B44" s="80"/>
      <c r="C44" s="80" t="s">
        <v>223</v>
      </c>
      <c r="D44" s="98">
        <v>4</v>
      </c>
      <c r="E44" s="101">
        <v>17</v>
      </c>
      <c r="F44" s="98">
        <v>6</v>
      </c>
      <c r="G44" s="98">
        <f t="shared" si="114"/>
        <v>42</v>
      </c>
      <c r="H44" s="98">
        <f t="shared" si="120"/>
        <v>181.86</v>
      </c>
      <c r="I44" s="98">
        <f t="shared" si="121"/>
        <v>408</v>
      </c>
      <c r="J44" s="98">
        <f t="shared" si="122"/>
        <v>2856</v>
      </c>
      <c r="K44" s="98">
        <f t="shared" si="123"/>
        <v>12366.480000000001</v>
      </c>
      <c r="L44" s="599"/>
      <c r="AN44"/>
    </row>
    <row r="45" spans="1:105" x14ac:dyDescent="0.25">
      <c r="A45" s="596"/>
      <c r="B45" s="80" t="s">
        <v>186</v>
      </c>
      <c r="C45" s="80" t="s">
        <v>221</v>
      </c>
      <c r="D45" s="98">
        <v>1</v>
      </c>
      <c r="E45" s="101">
        <v>350</v>
      </c>
      <c r="F45" s="98"/>
      <c r="G45" s="98">
        <f t="shared" si="114"/>
        <v>0</v>
      </c>
      <c r="H45" s="98">
        <f t="shared" si="120"/>
        <v>0</v>
      </c>
      <c r="I45" s="98">
        <f t="shared" si="121"/>
        <v>0</v>
      </c>
      <c r="J45" s="98">
        <f t="shared" si="122"/>
        <v>0</v>
      </c>
      <c r="K45" s="98">
        <f t="shared" si="123"/>
        <v>0</v>
      </c>
      <c r="L45" s="599"/>
      <c r="AN45"/>
    </row>
    <row r="46" spans="1:105" x14ac:dyDescent="0.25">
      <c r="A46" s="596"/>
      <c r="B46" s="80"/>
      <c r="C46" s="80" t="s">
        <v>224</v>
      </c>
      <c r="D46" s="98">
        <v>1</v>
      </c>
      <c r="E46" s="101">
        <v>75</v>
      </c>
      <c r="F46" s="98">
        <v>2</v>
      </c>
      <c r="G46" s="98">
        <f t="shared" si="114"/>
        <v>14</v>
      </c>
      <c r="H46" s="98">
        <f t="shared" si="120"/>
        <v>60.620000000000005</v>
      </c>
      <c r="I46" s="98">
        <f t="shared" si="121"/>
        <v>150</v>
      </c>
      <c r="J46" s="98">
        <f t="shared" si="122"/>
        <v>1050</v>
      </c>
      <c r="K46" s="98">
        <f t="shared" si="123"/>
        <v>4546.5</v>
      </c>
      <c r="L46" s="599"/>
      <c r="AN46"/>
    </row>
    <row r="47" spans="1:105" x14ac:dyDescent="0.25">
      <c r="A47" s="596"/>
      <c r="B47" s="80"/>
      <c r="C47" s="80" t="s">
        <v>226</v>
      </c>
      <c r="D47" s="98">
        <v>1</v>
      </c>
      <c r="E47" s="101">
        <v>800</v>
      </c>
      <c r="F47" s="98">
        <f>15/60</f>
        <v>0.25</v>
      </c>
      <c r="G47" s="98">
        <f>F47*2</f>
        <v>0.5</v>
      </c>
      <c r="H47" s="98">
        <f t="shared" si="120"/>
        <v>2.165</v>
      </c>
      <c r="I47" s="98">
        <f t="shared" si="121"/>
        <v>200</v>
      </c>
      <c r="J47" s="98">
        <f t="shared" si="122"/>
        <v>400</v>
      </c>
      <c r="K47" s="98">
        <f t="shared" si="123"/>
        <v>1732</v>
      </c>
      <c r="L47" s="599"/>
      <c r="AN47"/>
    </row>
    <row r="48" spans="1:105" x14ac:dyDescent="0.25">
      <c r="A48" s="596"/>
      <c r="B48" s="80"/>
      <c r="C48" s="80" t="s">
        <v>212</v>
      </c>
      <c r="D48" s="98">
        <v>3</v>
      </c>
      <c r="E48" s="101">
        <v>23</v>
      </c>
      <c r="F48" s="98">
        <f>10/60</f>
        <v>0.16666666666666666</v>
      </c>
      <c r="G48" s="98">
        <f t="shared" si="114"/>
        <v>1.1666666666666665</v>
      </c>
      <c r="H48" s="98">
        <f t="shared" si="120"/>
        <v>5.0516666666666659</v>
      </c>
      <c r="I48" s="98">
        <f t="shared" si="121"/>
        <v>11.5</v>
      </c>
      <c r="J48" s="98">
        <f t="shared" si="122"/>
        <v>80.499999999999986</v>
      </c>
      <c r="K48" s="98">
        <f t="shared" si="123"/>
        <v>348.56499999999994</v>
      </c>
      <c r="L48" s="599"/>
      <c r="AN48"/>
    </row>
    <row r="49" spans="1:40" x14ac:dyDescent="0.25">
      <c r="A49" s="596"/>
      <c r="B49" s="80" t="s">
        <v>197</v>
      </c>
      <c r="C49" s="80" t="s">
        <v>225</v>
      </c>
      <c r="D49" s="98">
        <v>1</v>
      </c>
      <c r="E49" s="98">
        <v>340</v>
      </c>
      <c r="F49" s="98">
        <v>0.5</v>
      </c>
      <c r="G49" s="98">
        <f>F49*1</f>
        <v>0.5</v>
      </c>
      <c r="H49" s="98">
        <f t="shared" si="120"/>
        <v>2.165</v>
      </c>
      <c r="I49" s="98">
        <f t="shared" si="121"/>
        <v>170</v>
      </c>
      <c r="J49" s="98">
        <f t="shared" si="122"/>
        <v>170</v>
      </c>
      <c r="K49" s="98">
        <f t="shared" si="123"/>
        <v>736.1</v>
      </c>
      <c r="L49" s="599"/>
      <c r="AN49"/>
    </row>
    <row r="50" spans="1:40" x14ac:dyDescent="0.25">
      <c r="A50" s="596"/>
      <c r="B50" s="80" t="s">
        <v>190</v>
      </c>
      <c r="C50" s="80" t="s">
        <v>227</v>
      </c>
      <c r="D50" s="98">
        <v>1</v>
      </c>
      <c r="E50" s="98">
        <v>3500</v>
      </c>
      <c r="F50" s="98">
        <f>15/60</f>
        <v>0.25</v>
      </c>
      <c r="G50" s="98">
        <f t="shared" si="114"/>
        <v>1.75</v>
      </c>
      <c r="H50" s="98">
        <f t="shared" si="120"/>
        <v>7.5775000000000006</v>
      </c>
      <c r="I50" s="98">
        <f t="shared" si="121"/>
        <v>875</v>
      </c>
      <c r="J50" s="98">
        <f t="shared" si="122"/>
        <v>6125</v>
      </c>
      <c r="K50" s="98">
        <f t="shared" si="123"/>
        <v>26521.250000000004</v>
      </c>
      <c r="L50" s="599"/>
      <c r="AN50"/>
    </row>
    <row r="51" spans="1:40" ht="15.75" thickBot="1" x14ac:dyDescent="0.3">
      <c r="A51" s="596"/>
      <c r="B51" s="80"/>
      <c r="C51" s="80" t="s">
        <v>212</v>
      </c>
      <c r="D51" s="98">
        <v>3</v>
      </c>
      <c r="E51" s="98">
        <v>23</v>
      </c>
      <c r="F51" s="98" t="s">
        <v>215</v>
      </c>
      <c r="G51" s="98"/>
      <c r="H51" s="98">
        <f t="shared" si="120"/>
        <v>0</v>
      </c>
      <c r="I51" s="98">
        <v>0</v>
      </c>
      <c r="J51" s="98">
        <f t="shared" si="122"/>
        <v>0</v>
      </c>
      <c r="K51" s="98">
        <f t="shared" si="123"/>
        <v>0</v>
      </c>
      <c r="L51" s="599"/>
      <c r="AN51"/>
    </row>
    <row r="52" spans="1:40" ht="15.75" thickBot="1" x14ac:dyDescent="0.3">
      <c r="A52" s="597"/>
      <c r="B52" s="86" t="s">
        <v>259</v>
      </c>
      <c r="C52" s="90"/>
      <c r="D52" s="99">
        <f t="shared" ref="D52:I52" si="142">SUM(D36:D51)</f>
        <v>29</v>
      </c>
      <c r="E52" s="99">
        <f t="shared" si="142"/>
        <v>5790</v>
      </c>
      <c r="F52" s="99">
        <f t="shared" si="142"/>
        <v>37.166666666666664</v>
      </c>
      <c r="G52" s="99">
        <f t="shared" si="142"/>
        <v>255.91666666666666</v>
      </c>
      <c r="H52" s="99">
        <f>SUM(H36:H50)</f>
        <v>1108.1191666666666</v>
      </c>
      <c r="I52" s="99">
        <f t="shared" si="142"/>
        <v>4626.5</v>
      </c>
      <c r="J52" s="99">
        <f>SUM(J36:J51)</f>
        <v>30365.5</v>
      </c>
      <c r="K52" s="99">
        <f>SUM(K36:K50)</f>
        <v>131482.61500000002</v>
      </c>
      <c r="L52" s="600"/>
      <c r="AN52"/>
    </row>
    <row r="53" spans="1:40" x14ac:dyDescent="0.25">
      <c r="A53" s="595" t="s">
        <v>198</v>
      </c>
      <c r="B53" s="80" t="s">
        <v>228</v>
      </c>
      <c r="C53" s="80" t="s">
        <v>204</v>
      </c>
      <c r="D53" s="98">
        <v>1</v>
      </c>
      <c r="E53" s="101">
        <v>145</v>
      </c>
      <c r="F53" s="98">
        <v>1</v>
      </c>
      <c r="G53" s="98">
        <f>F53*2</f>
        <v>2</v>
      </c>
      <c r="H53" s="98">
        <f>G53*4.3</f>
        <v>8.6</v>
      </c>
      <c r="I53" s="98">
        <f>D53*E53*F53</f>
        <v>145</v>
      </c>
      <c r="J53" s="98">
        <f>D53*E53*G53</f>
        <v>290</v>
      </c>
      <c r="K53" s="98">
        <f>D53*E53*H53</f>
        <v>1247</v>
      </c>
      <c r="L53" s="598">
        <f>K72/K79</f>
        <v>0.14245014767323541</v>
      </c>
      <c r="AN53"/>
    </row>
    <row r="54" spans="1:40" x14ac:dyDescent="0.25">
      <c r="A54" s="596"/>
      <c r="B54" s="80"/>
      <c r="C54" s="80" t="s">
        <v>229</v>
      </c>
      <c r="D54" s="98">
        <v>1</v>
      </c>
      <c r="E54" s="101">
        <v>20</v>
      </c>
      <c r="F54" s="98">
        <v>2</v>
      </c>
      <c r="G54" s="98">
        <f>F54*1</f>
        <v>2</v>
      </c>
      <c r="H54" s="98">
        <f t="shared" ref="H54:H71" si="143">G54*4.3</f>
        <v>8.6</v>
      </c>
      <c r="I54" s="98">
        <f t="shared" ref="I54:I71" si="144">D54*E54*F54</f>
        <v>40</v>
      </c>
      <c r="J54" s="98">
        <f t="shared" ref="J54:J71" si="145">D54*E54*G54</f>
        <v>40</v>
      </c>
      <c r="K54" s="98">
        <f t="shared" ref="K54:K71" si="146">D54*E54*H54</f>
        <v>172</v>
      </c>
      <c r="L54" s="599"/>
      <c r="AN54"/>
    </row>
    <row r="55" spans="1:40" x14ac:dyDescent="0.25">
      <c r="A55" s="596"/>
      <c r="B55" s="80"/>
      <c r="C55" s="80" t="s">
        <v>230</v>
      </c>
      <c r="D55" s="98">
        <v>1</v>
      </c>
      <c r="E55" s="101">
        <f>12*1.25</f>
        <v>15</v>
      </c>
      <c r="F55" s="98">
        <v>1</v>
      </c>
      <c r="G55" s="98">
        <f>F55*2</f>
        <v>2</v>
      </c>
      <c r="H55" s="98">
        <f t="shared" si="143"/>
        <v>8.6</v>
      </c>
      <c r="I55" s="98">
        <f t="shared" si="144"/>
        <v>15</v>
      </c>
      <c r="J55" s="98">
        <f t="shared" si="145"/>
        <v>30</v>
      </c>
      <c r="K55" s="98">
        <f t="shared" si="146"/>
        <v>129</v>
      </c>
      <c r="L55" s="599"/>
      <c r="AN55"/>
    </row>
    <row r="56" spans="1:40" x14ac:dyDescent="0.25">
      <c r="A56" s="596"/>
      <c r="B56" s="80"/>
      <c r="C56" s="80" t="s">
        <v>231</v>
      </c>
      <c r="D56" s="98">
        <v>1</v>
      </c>
      <c r="E56" s="98">
        <v>12</v>
      </c>
      <c r="F56" s="98">
        <v>5</v>
      </c>
      <c r="G56" s="98">
        <f>F56*3</f>
        <v>15</v>
      </c>
      <c r="H56" s="98">
        <f t="shared" si="143"/>
        <v>64.5</v>
      </c>
      <c r="I56" s="98">
        <f t="shared" si="144"/>
        <v>60</v>
      </c>
      <c r="J56" s="98">
        <f t="shared" si="145"/>
        <v>180</v>
      </c>
      <c r="K56" s="98">
        <f t="shared" si="146"/>
        <v>774</v>
      </c>
      <c r="L56" s="599"/>
      <c r="AN56"/>
    </row>
    <row r="57" spans="1:40" x14ac:dyDescent="0.25">
      <c r="A57" s="596"/>
      <c r="B57" s="80"/>
      <c r="C57" s="80" t="s">
        <v>238</v>
      </c>
      <c r="D57" s="98">
        <v>1</v>
      </c>
      <c r="E57" s="98">
        <v>200</v>
      </c>
      <c r="F57" s="98">
        <v>5</v>
      </c>
      <c r="G57" s="98">
        <f>F57*3</f>
        <v>15</v>
      </c>
      <c r="H57" s="98">
        <f t="shared" si="143"/>
        <v>64.5</v>
      </c>
      <c r="I57" s="98">
        <f t="shared" si="144"/>
        <v>1000</v>
      </c>
      <c r="J57" s="98">
        <f t="shared" si="145"/>
        <v>3000</v>
      </c>
      <c r="K57" s="98">
        <f t="shared" si="146"/>
        <v>12900</v>
      </c>
      <c r="L57" s="599"/>
      <c r="AN57"/>
    </row>
    <row r="58" spans="1:40" x14ac:dyDescent="0.25">
      <c r="A58" s="596"/>
      <c r="B58" s="80"/>
      <c r="C58" s="80" t="s">
        <v>209</v>
      </c>
      <c r="D58" s="98">
        <v>1</v>
      </c>
      <c r="E58" s="98">
        <v>15</v>
      </c>
      <c r="F58" s="98">
        <v>5</v>
      </c>
      <c r="G58" s="98">
        <f>F58*3</f>
        <v>15</v>
      </c>
      <c r="H58" s="98">
        <f t="shared" si="143"/>
        <v>64.5</v>
      </c>
      <c r="I58" s="98">
        <f t="shared" si="144"/>
        <v>75</v>
      </c>
      <c r="J58" s="98">
        <f t="shared" si="145"/>
        <v>225</v>
      </c>
      <c r="K58" s="98">
        <f t="shared" si="146"/>
        <v>967.5</v>
      </c>
      <c r="L58" s="599"/>
      <c r="AN58"/>
    </row>
    <row r="59" spans="1:40" x14ac:dyDescent="0.25">
      <c r="A59" s="596"/>
      <c r="B59" s="80"/>
      <c r="C59" s="80" t="s">
        <v>239</v>
      </c>
      <c r="D59" s="98">
        <v>1</v>
      </c>
      <c r="E59" s="98">
        <v>15</v>
      </c>
      <c r="F59" s="98">
        <v>5</v>
      </c>
      <c r="G59" s="98">
        <f>F59*3</f>
        <v>15</v>
      </c>
      <c r="H59" s="98">
        <f t="shared" si="143"/>
        <v>64.5</v>
      </c>
      <c r="I59" s="98">
        <f t="shared" si="144"/>
        <v>75</v>
      </c>
      <c r="J59" s="98">
        <f t="shared" si="145"/>
        <v>225</v>
      </c>
      <c r="K59" s="98">
        <f t="shared" si="146"/>
        <v>967.5</v>
      </c>
      <c r="L59" s="599"/>
      <c r="AN59"/>
    </row>
    <row r="60" spans="1:40" x14ac:dyDescent="0.25">
      <c r="A60" s="596"/>
      <c r="B60" s="80"/>
      <c r="C60" s="80" t="s">
        <v>232</v>
      </c>
      <c r="D60" s="98">
        <v>2</v>
      </c>
      <c r="E60" s="98"/>
      <c r="F60" s="98">
        <v>5</v>
      </c>
      <c r="G60" s="98">
        <f>F60*3</f>
        <v>15</v>
      </c>
      <c r="H60" s="98">
        <f t="shared" si="143"/>
        <v>64.5</v>
      </c>
      <c r="I60" s="98">
        <f t="shared" si="144"/>
        <v>0</v>
      </c>
      <c r="J60" s="98">
        <f t="shared" si="145"/>
        <v>0</v>
      </c>
      <c r="K60" s="98">
        <f t="shared" si="146"/>
        <v>0</v>
      </c>
      <c r="L60" s="599"/>
      <c r="AN60"/>
    </row>
    <row r="61" spans="1:40" x14ac:dyDescent="0.25">
      <c r="A61" s="596"/>
      <c r="B61" s="80"/>
      <c r="C61" s="80" t="s">
        <v>233</v>
      </c>
      <c r="D61" s="98">
        <v>1</v>
      </c>
      <c r="E61" s="98">
        <v>110</v>
      </c>
      <c r="F61" s="98">
        <v>0.1</v>
      </c>
      <c r="G61" s="98">
        <f t="shared" si="114"/>
        <v>0.70000000000000007</v>
      </c>
      <c r="H61" s="98">
        <f t="shared" si="143"/>
        <v>3.0100000000000002</v>
      </c>
      <c r="I61" s="98">
        <f t="shared" si="144"/>
        <v>11</v>
      </c>
      <c r="J61" s="98">
        <f t="shared" si="145"/>
        <v>77.000000000000014</v>
      </c>
      <c r="K61" s="98">
        <f t="shared" si="146"/>
        <v>331.1</v>
      </c>
      <c r="L61" s="599"/>
      <c r="AN61"/>
    </row>
    <row r="62" spans="1:40" x14ac:dyDescent="0.25">
      <c r="A62" s="596"/>
      <c r="B62" s="80"/>
      <c r="C62" s="80" t="s">
        <v>240</v>
      </c>
      <c r="D62" s="98">
        <v>1</v>
      </c>
      <c r="E62" s="98">
        <v>7</v>
      </c>
      <c r="F62" s="98">
        <v>5</v>
      </c>
      <c r="G62" s="98">
        <f t="shared" si="114"/>
        <v>35</v>
      </c>
      <c r="H62" s="98">
        <f t="shared" si="143"/>
        <v>150.5</v>
      </c>
      <c r="I62" s="98">
        <f t="shared" si="144"/>
        <v>35</v>
      </c>
      <c r="J62" s="98">
        <f t="shared" si="145"/>
        <v>245</v>
      </c>
      <c r="K62" s="98">
        <f t="shared" si="146"/>
        <v>1053.5</v>
      </c>
      <c r="L62" s="599"/>
      <c r="AN62"/>
    </row>
    <row r="63" spans="1:40" x14ac:dyDescent="0.25">
      <c r="A63" s="596"/>
      <c r="B63" s="80"/>
      <c r="C63" s="80" t="s">
        <v>235</v>
      </c>
      <c r="D63" s="98">
        <v>1</v>
      </c>
      <c r="E63" s="101">
        <v>150</v>
      </c>
      <c r="F63" s="98">
        <v>1</v>
      </c>
      <c r="G63" s="98">
        <f t="shared" si="114"/>
        <v>7</v>
      </c>
      <c r="H63" s="98">
        <f t="shared" si="143"/>
        <v>30.099999999999998</v>
      </c>
      <c r="I63" s="98">
        <f t="shared" si="144"/>
        <v>150</v>
      </c>
      <c r="J63" s="98">
        <f t="shared" si="145"/>
        <v>1050</v>
      </c>
      <c r="K63" s="98">
        <f t="shared" si="146"/>
        <v>4515</v>
      </c>
      <c r="L63" s="599"/>
      <c r="AN63"/>
    </row>
    <row r="64" spans="1:40" x14ac:dyDescent="0.25">
      <c r="A64" s="596"/>
      <c r="B64" s="80"/>
      <c r="C64" s="80" t="s">
        <v>205</v>
      </c>
      <c r="D64" s="98">
        <v>4</v>
      </c>
      <c r="E64" s="101">
        <v>28</v>
      </c>
      <c r="F64" s="98">
        <v>2</v>
      </c>
      <c r="G64" s="98">
        <f t="shared" si="114"/>
        <v>14</v>
      </c>
      <c r="H64" s="98">
        <f t="shared" si="143"/>
        <v>60.199999999999996</v>
      </c>
      <c r="I64" s="98">
        <f t="shared" si="144"/>
        <v>224</v>
      </c>
      <c r="J64" s="98">
        <f t="shared" si="145"/>
        <v>1568</v>
      </c>
      <c r="K64" s="98">
        <f t="shared" si="146"/>
        <v>6742.4</v>
      </c>
      <c r="L64" s="599"/>
      <c r="AN64"/>
    </row>
    <row r="65" spans="1:40" x14ac:dyDescent="0.25">
      <c r="A65" s="596"/>
      <c r="B65" s="80" t="s">
        <v>186</v>
      </c>
      <c r="C65" s="80" t="s">
        <v>236</v>
      </c>
      <c r="D65" s="98">
        <v>1</v>
      </c>
      <c r="E65" s="98">
        <v>350</v>
      </c>
      <c r="F65" s="98">
        <f>8.57/60</f>
        <v>0.14283333333333334</v>
      </c>
      <c r="G65" s="98">
        <f t="shared" si="114"/>
        <v>0.99983333333333335</v>
      </c>
      <c r="H65" s="98">
        <f t="shared" si="143"/>
        <v>4.2992833333333333</v>
      </c>
      <c r="I65" s="98">
        <f t="shared" si="144"/>
        <v>49.991666666666667</v>
      </c>
      <c r="J65" s="98">
        <f t="shared" si="145"/>
        <v>349.94166666666666</v>
      </c>
      <c r="K65" s="98">
        <f t="shared" si="146"/>
        <v>1504.7491666666667</v>
      </c>
      <c r="L65" s="599"/>
      <c r="AN65"/>
    </row>
    <row r="66" spans="1:40" x14ac:dyDescent="0.25">
      <c r="A66" s="596"/>
      <c r="B66" s="80"/>
      <c r="C66" s="80" t="s">
        <v>221</v>
      </c>
      <c r="D66" s="98">
        <v>1</v>
      </c>
      <c r="E66" s="101">
        <v>130</v>
      </c>
      <c r="F66" s="98">
        <v>8</v>
      </c>
      <c r="G66" s="98">
        <f t="shared" si="114"/>
        <v>56</v>
      </c>
      <c r="H66" s="98">
        <f t="shared" si="143"/>
        <v>240.79999999999998</v>
      </c>
      <c r="I66" s="98">
        <f t="shared" si="144"/>
        <v>1040</v>
      </c>
      <c r="J66" s="98">
        <f t="shared" si="145"/>
        <v>7280</v>
      </c>
      <c r="K66" s="98">
        <f t="shared" si="146"/>
        <v>31303.999999999996</v>
      </c>
      <c r="L66" s="599"/>
      <c r="AN66"/>
    </row>
    <row r="67" spans="1:40" x14ac:dyDescent="0.25">
      <c r="A67" s="596"/>
      <c r="B67" s="80"/>
      <c r="C67" s="80" t="s">
        <v>212</v>
      </c>
      <c r="D67" s="98">
        <v>1</v>
      </c>
      <c r="E67" s="101">
        <v>23</v>
      </c>
      <c r="F67" s="98">
        <v>2.5</v>
      </c>
      <c r="G67" s="98">
        <f t="shared" si="114"/>
        <v>17.5</v>
      </c>
      <c r="H67" s="98">
        <f t="shared" si="143"/>
        <v>75.25</v>
      </c>
      <c r="I67" s="98">
        <f t="shared" si="144"/>
        <v>57.5</v>
      </c>
      <c r="J67" s="98">
        <f t="shared" si="145"/>
        <v>402.5</v>
      </c>
      <c r="K67" s="98">
        <f t="shared" si="146"/>
        <v>1730.75</v>
      </c>
      <c r="L67" s="599"/>
      <c r="AN67"/>
    </row>
    <row r="68" spans="1:40" x14ac:dyDescent="0.25">
      <c r="A68" s="596"/>
      <c r="B68" s="80" t="s">
        <v>237</v>
      </c>
      <c r="C68" s="80" t="s">
        <v>204</v>
      </c>
      <c r="D68" s="98">
        <v>1</v>
      </c>
      <c r="E68" s="101">
        <v>120</v>
      </c>
      <c r="F68" s="98">
        <v>3</v>
      </c>
      <c r="G68" s="98">
        <f t="shared" si="114"/>
        <v>21</v>
      </c>
      <c r="H68" s="98">
        <f t="shared" si="143"/>
        <v>90.3</v>
      </c>
      <c r="I68" s="98">
        <f t="shared" si="144"/>
        <v>360</v>
      </c>
      <c r="J68" s="98">
        <f t="shared" si="145"/>
        <v>2520</v>
      </c>
      <c r="K68" s="98">
        <f t="shared" si="146"/>
        <v>10836</v>
      </c>
      <c r="L68" s="599"/>
      <c r="AN68"/>
    </row>
    <row r="69" spans="1:40" x14ac:dyDescent="0.25">
      <c r="A69" s="596"/>
      <c r="B69" s="80"/>
      <c r="C69" s="80" t="s">
        <v>205</v>
      </c>
      <c r="D69" s="98">
        <v>1</v>
      </c>
      <c r="E69" s="101">
        <v>28</v>
      </c>
      <c r="F69" s="98">
        <v>4</v>
      </c>
      <c r="G69" s="98">
        <f t="shared" si="114"/>
        <v>28</v>
      </c>
      <c r="H69" s="98">
        <f t="shared" si="143"/>
        <v>120.39999999999999</v>
      </c>
      <c r="I69" s="98">
        <f t="shared" si="144"/>
        <v>112</v>
      </c>
      <c r="J69" s="98">
        <f t="shared" si="145"/>
        <v>784</v>
      </c>
      <c r="K69" s="98">
        <f t="shared" si="146"/>
        <v>3371.2</v>
      </c>
      <c r="L69" s="599"/>
      <c r="AN69"/>
    </row>
    <row r="70" spans="1:40" x14ac:dyDescent="0.25">
      <c r="A70" s="596"/>
      <c r="B70" s="80" t="s">
        <v>190</v>
      </c>
      <c r="C70" s="80" t="s">
        <v>212</v>
      </c>
      <c r="D70" s="98">
        <v>1</v>
      </c>
      <c r="E70" s="98">
        <v>15</v>
      </c>
      <c r="F70" s="98">
        <v>1</v>
      </c>
      <c r="G70" s="98">
        <f t="shared" si="114"/>
        <v>7</v>
      </c>
      <c r="H70" s="98">
        <f t="shared" si="143"/>
        <v>30.099999999999998</v>
      </c>
      <c r="I70" s="98">
        <f t="shared" si="144"/>
        <v>15</v>
      </c>
      <c r="J70" s="98">
        <f t="shared" si="145"/>
        <v>105</v>
      </c>
      <c r="K70" s="98">
        <f t="shared" si="146"/>
        <v>451.49999999999994</v>
      </c>
      <c r="L70" s="599"/>
      <c r="AN70"/>
    </row>
    <row r="71" spans="1:40" ht="15.75" thickBot="1" x14ac:dyDescent="0.3">
      <c r="A71" s="596"/>
      <c r="B71" s="80" t="s">
        <v>193</v>
      </c>
      <c r="C71" s="80" t="s">
        <v>263</v>
      </c>
      <c r="D71" s="98">
        <v>1</v>
      </c>
      <c r="E71" s="98">
        <v>100</v>
      </c>
      <c r="F71" s="98">
        <v>1</v>
      </c>
      <c r="G71" s="98">
        <f>F71*7</f>
        <v>7</v>
      </c>
      <c r="H71" s="98">
        <f t="shared" si="143"/>
        <v>30.099999999999998</v>
      </c>
      <c r="I71" s="98">
        <f t="shared" si="144"/>
        <v>100</v>
      </c>
      <c r="J71" s="98">
        <f t="shared" si="145"/>
        <v>700</v>
      </c>
      <c r="K71" s="98">
        <f t="shared" si="146"/>
        <v>3010</v>
      </c>
      <c r="L71" s="599"/>
      <c r="AN71"/>
    </row>
    <row r="72" spans="1:40" ht="15.75" thickBot="1" x14ac:dyDescent="0.3">
      <c r="A72" s="597"/>
      <c r="B72" s="86" t="s">
        <v>259</v>
      </c>
      <c r="C72" s="90"/>
      <c r="D72" s="99">
        <f t="shared" ref="D72:I72" si="147">SUM(D53:D71)</f>
        <v>23</v>
      </c>
      <c r="E72" s="99">
        <f t="shared" si="147"/>
        <v>1483</v>
      </c>
      <c r="F72" s="99">
        <f t="shared" si="147"/>
        <v>56.742833333333337</v>
      </c>
      <c r="G72" s="99">
        <f t="shared" si="147"/>
        <v>275.19983333333334</v>
      </c>
      <c r="H72" s="99">
        <f>SUM(H53:H71)</f>
        <v>1183.359283333333</v>
      </c>
      <c r="I72" s="99">
        <f t="shared" si="147"/>
        <v>3564.4916666666668</v>
      </c>
      <c r="J72" s="99">
        <f>SUM(J53:J71)</f>
        <v>19071.441666666666</v>
      </c>
      <c r="K72" s="99">
        <f>SUM(K53:K71)</f>
        <v>82007.199166666658</v>
      </c>
      <c r="L72" s="600"/>
      <c r="AN72"/>
    </row>
    <row r="73" spans="1:40" x14ac:dyDescent="0.25">
      <c r="A73" s="595" t="s">
        <v>200</v>
      </c>
      <c r="B73" s="80" t="s">
        <v>191</v>
      </c>
      <c r="C73" s="80" t="s">
        <v>235</v>
      </c>
      <c r="D73" s="98">
        <v>1</v>
      </c>
      <c r="E73" s="101">
        <v>30</v>
      </c>
      <c r="F73" s="98">
        <v>4</v>
      </c>
      <c r="G73" s="98">
        <f t="shared" si="114"/>
        <v>28</v>
      </c>
      <c r="H73" s="98">
        <f>G73*4.33</f>
        <v>121.24000000000001</v>
      </c>
      <c r="I73" s="98">
        <f t="shared" ref="I73:I76" si="148">D73*E73*F73</f>
        <v>120</v>
      </c>
      <c r="J73" s="98">
        <f t="shared" ref="J73:J76" si="149">D73*E73*G73</f>
        <v>840</v>
      </c>
      <c r="K73" s="98">
        <f t="shared" ref="K73:K76" si="150">D73*E73*H73</f>
        <v>3637.2000000000003</v>
      </c>
      <c r="L73" s="598">
        <f>K77/K79</f>
        <v>0.43278149044440045</v>
      </c>
      <c r="AN73"/>
    </row>
    <row r="74" spans="1:40" x14ac:dyDescent="0.25">
      <c r="A74" s="596"/>
      <c r="B74" s="80"/>
      <c r="C74" s="80" t="s">
        <v>234</v>
      </c>
      <c r="D74" s="98">
        <v>1</v>
      </c>
      <c r="E74" s="101">
        <v>80</v>
      </c>
      <c r="F74" s="98">
        <v>3</v>
      </c>
      <c r="G74" s="98">
        <f t="shared" si="114"/>
        <v>21</v>
      </c>
      <c r="H74" s="98">
        <f t="shared" ref="H74:H76" si="151">G74*4.33</f>
        <v>90.93</v>
      </c>
      <c r="I74" s="98">
        <f t="shared" si="148"/>
        <v>240</v>
      </c>
      <c r="J74" s="98">
        <f t="shared" si="149"/>
        <v>1680</v>
      </c>
      <c r="K74" s="98">
        <f t="shared" si="150"/>
        <v>7274.4000000000005</v>
      </c>
      <c r="L74" s="599"/>
      <c r="AN74"/>
    </row>
    <row r="75" spans="1:40" x14ac:dyDescent="0.25">
      <c r="A75" s="596"/>
      <c r="B75" s="80"/>
      <c r="C75" s="80" t="s">
        <v>242</v>
      </c>
      <c r="D75" s="98">
        <v>40</v>
      </c>
      <c r="E75" s="101">
        <v>28</v>
      </c>
      <c r="F75" s="98">
        <v>3</v>
      </c>
      <c r="G75" s="98">
        <f t="shared" si="114"/>
        <v>21</v>
      </c>
      <c r="H75" s="98">
        <f t="shared" si="151"/>
        <v>90.93</v>
      </c>
      <c r="I75" s="98">
        <f t="shared" si="148"/>
        <v>3360</v>
      </c>
      <c r="J75" s="98">
        <f t="shared" si="149"/>
        <v>23520</v>
      </c>
      <c r="K75" s="98">
        <f t="shared" si="150"/>
        <v>101841.60000000001</v>
      </c>
      <c r="L75" s="599"/>
      <c r="AN75"/>
    </row>
    <row r="76" spans="1:40" ht="17.25" customHeight="1" thickBot="1" x14ac:dyDescent="0.3">
      <c r="A76" s="596"/>
      <c r="B76" s="81" t="s">
        <v>186</v>
      </c>
      <c r="C76" s="81" t="s">
        <v>241</v>
      </c>
      <c r="D76" s="103">
        <v>1</v>
      </c>
      <c r="E76" s="454">
        <v>4500</v>
      </c>
      <c r="F76" s="103">
        <v>1</v>
      </c>
      <c r="G76" s="103">
        <f t="shared" si="114"/>
        <v>7</v>
      </c>
      <c r="H76" s="98">
        <f t="shared" si="151"/>
        <v>30.310000000000002</v>
      </c>
      <c r="I76" s="98">
        <f t="shared" si="148"/>
        <v>4500</v>
      </c>
      <c r="J76" s="98">
        <f t="shared" si="149"/>
        <v>31500</v>
      </c>
      <c r="K76" s="98">
        <f t="shared" si="150"/>
        <v>136395</v>
      </c>
      <c r="L76" s="599"/>
      <c r="AN76"/>
    </row>
    <row r="77" spans="1:40" ht="17.25" customHeight="1" thickBot="1" x14ac:dyDescent="0.3">
      <c r="A77" s="597"/>
      <c r="B77" s="86" t="s">
        <v>259</v>
      </c>
      <c r="C77" s="88"/>
      <c r="D77" s="104">
        <f t="shared" ref="D77:I77" si="152">SUM(D73:D76)</f>
        <v>43</v>
      </c>
      <c r="E77" s="104">
        <f t="shared" si="152"/>
        <v>4638</v>
      </c>
      <c r="F77" s="104">
        <f t="shared" si="152"/>
        <v>11</v>
      </c>
      <c r="G77" s="104">
        <f t="shared" si="152"/>
        <v>77</v>
      </c>
      <c r="H77" s="99">
        <f>SUM(H73:H76)</f>
        <v>333.41</v>
      </c>
      <c r="I77" s="99">
        <f t="shared" si="152"/>
        <v>8220</v>
      </c>
      <c r="J77" s="118">
        <f>SUM(J73:J76)</f>
        <v>57540</v>
      </c>
      <c r="K77" s="118">
        <f>SUM(K73:K76)</f>
        <v>249148.2</v>
      </c>
      <c r="L77" s="600"/>
      <c r="AN77"/>
    </row>
    <row r="78" spans="1:40" ht="17.25" customHeight="1" thickBot="1" x14ac:dyDescent="0.3">
      <c r="A78" s="84" t="s">
        <v>201</v>
      </c>
      <c r="B78" s="85" t="s">
        <v>189</v>
      </c>
      <c r="C78" s="80"/>
      <c r="D78" s="103"/>
      <c r="E78" s="103"/>
      <c r="F78" s="103"/>
      <c r="G78" s="103">
        <f t="shared" si="114"/>
        <v>0</v>
      </c>
      <c r="H78" s="103">
        <f>G78*4.33</f>
        <v>0</v>
      </c>
      <c r="I78" s="98">
        <f t="shared" ref="I78" si="153">D78*E78*F78</f>
        <v>0</v>
      </c>
      <c r="J78" s="98">
        <f t="shared" ref="J78" si="154">D78*E78*G78</f>
        <v>0</v>
      </c>
      <c r="K78" s="98">
        <f t="shared" ref="K78" si="155">D78*E78*H78</f>
        <v>0</v>
      </c>
      <c r="L78" s="120"/>
      <c r="AN78"/>
    </row>
    <row r="79" spans="1:40" ht="17.25" customHeight="1" thickBot="1" x14ac:dyDescent="0.3">
      <c r="B79" s="593" t="s">
        <v>158</v>
      </c>
      <c r="C79" s="594"/>
      <c r="D79" s="105">
        <f>D12+D34+D52+D72+D77</f>
        <v>173</v>
      </c>
      <c r="E79" s="105">
        <f>E12+E34+E52+E72+E77</f>
        <v>13992.24</v>
      </c>
      <c r="F79" s="105">
        <f>F12+F34+F52+F72+F77</f>
        <v>157.55028492935639</v>
      </c>
      <c r="G79" s="105">
        <f>G12+G34+G52+G72+G77</f>
        <v>920.32199450549444</v>
      </c>
      <c r="H79" s="105">
        <f>SUM(H78)</f>
        <v>0</v>
      </c>
      <c r="I79" s="105">
        <f>I12+I34+I52+I72+I77</f>
        <v>21276.88322475144</v>
      </c>
      <c r="J79" s="105">
        <f>J12+J34+J52+J72+J77</f>
        <v>132952.62757326005</v>
      </c>
      <c r="K79" s="105">
        <f>K12+K34+K52+K72+K77</f>
        <v>575690.51704166667</v>
      </c>
      <c r="L79" s="121">
        <f>SUM(L3:L34,L36:L78)</f>
        <v>1</v>
      </c>
      <c r="AN79"/>
    </row>
    <row r="80" spans="1:40" ht="17.25" customHeight="1" x14ac:dyDescent="0.25">
      <c r="D80" s="106"/>
      <c r="E80" s="106"/>
      <c r="F80" s="106"/>
      <c r="G80" s="106"/>
      <c r="H80" s="106"/>
      <c r="I80" s="106"/>
      <c r="J80" s="106">
        <f>J79/1000</f>
        <v>132.95262757326006</v>
      </c>
      <c r="K80" s="106">
        <f>K79/1000</f>
        <v>575.69051704166668</v>
      </c>
      <c r="AN80"/>
    </row>
    <row r="81" spans="2:40" ht="17.25" customHeight="1" x14ac:dyDescent="0.25">
      <c r="AN81"/>
    </row>
    <row r="82" spans="2:40" ht="17.25" customHeight="1" x14ac:dyDescent="0.25">
      <c r="AN82"/>
    </row>
    <row r="83" spans="2:40" x14ac:dyDescent="0.25">
      <c r="AN83"/>
    </row>
    <row r="84" spans="2:40" x14ac:dyDescent="0.25">
      <c r="B84" t="s">
        <v>256</v>
      </c>
      <c r="C84" t="s">
        <v>249</v>
      </c>
      <c r="AN84"/>
    </row>
    <row r="85" spans="2:40" x14ac:dyDescent="0.25">
      <c r="B85" t="s">
        <v>247</v>
      </c>
      <c r="C85" s="78" t="s">
        <v>244</v>
      </c>
      <c r="D85" s="78" t="s">
        <v>245</v>
      </c>
      <c r="E85" s="78" t="s">
        <v>246</v>
      </c>
      <c r="AN85"/>
    </row>
    <row r="86" spans="2:40" x14ac:dyDescent="0.25">
      <c r="B86" t="s">
        <v>226</v>
      </c>
      <c r="C86" s="78" t="s">
        <v>254</v>
      </c>
      <c r="AN86"/>
    </row>
    <row r="87" spans="2:40" x14ac:dyDescent="0.25">
      <c r="B87" t="s">
        <v>252</v>
      </c>
      <c r="C87" t="s">
        <v>253</v>
      </c>
      <c r="AN87"/>
    </row>
    <row r="88" spans="2:40" x14ac:dyDescent="0.25">
      <c r="B88" t="s">
        <v>257</v>
      </c>
      <c r="C88" s="78" t="s">
        <v>243</v>
      </c>
      <c r="D88" t="s">
        <v>260</v>
      </c>
      <c r="AN88"/>
    </row>
    <row r="89" spans="2:40" x14ac:dyDescent="0.25">
      <c r="AN89"/>
    </row>
    <row r="90" spans="2:40" x14ac:dyDescent="0.25">
      <c r="AN90"/>
    </row>
    <row r="91" spans="2:40" x14ac:dyDescent="0.25">
      <c r="AN91"/>
    </row>
    <row r="92" spans="2:40" x14ac:dyDescent="0.25">
      <c r="AN92"/>
    </row>
    <row r="93" spans="2:40" x14ac:dyDescent="0.25">
      <c r="AN93"/>
    </row>
    <row r="94" spans="2:40" x14ac:dyDescent="0.25">
      <c r="AN94"/>
    </row>
    <row r="95" spans="2:40" x14ac:dyDescent="0.25">
      <c r="AN95"/>
    </row>
    <row r="96" spans="2:40" x14ac:dyDescent="0.25">
      <c r="AN96"/>
    </row>
    <row r="97" spans="40:40" x14ac:dyDescent="0.25">
      <c r="AN97"/>
    </row>
    <row r="98" spans="40:40" x14ac:dyDescent="0.25">
      <c r="AN98"/>
    </row>
    <row r="99" spans="40:40" x14ac:dyDescent="0.25">
      <c r="AN99"/>
    </row>
    <row r="100" spans="40:40" x14ac:dyDescent="0.25">
      <c r="AN100"/>
    </row>
    <row r="101" spans="40:40" x14ac:dyDescent="0.25">
      <c r="AN101"/>
    </row>
    <row r="102" spans="40:40" x14ac:dyDescent="0.25">
      <c r="AN102"/>
    </row>
    <row r="103" spans="40:40" x14ac:dyDescent="0.25">
      <c r="AN103"/>
    </row>
    <row r="104" spans="40:40" x14ac:dyDescent="0.25">
      <c r="AN104"/>
    </row>
    <row r="105" spans="40:40" x14ac:dyDescent="0.25">
      <c r="AN105"/>
    </row>
    <row r="106" spans="40:40" x14ac:dyDescent="0.25">
      <c r="AN106"/>
    </row>
    <row r="107" spans="40:40" x14ac:dyDescent="0.25">
      <c r="AN107"/>
    </row>
    <row r="108" spans="40:40" x14ac:dyDescent="0.25">
      <c r="AN108"/>
    </row>
    <row r="109" spans="40:40" x14ac:dyDescent="0.25">
      <c r="AN109"/>
    </row>
    <row r="110" spans="40:40" x14ac:dyDescent="0.25">
      <c r="AN110"/>
    </row>
    <row r="111" spans="40:40" x14ac:dyDescent="0.25">
      <c r="AN111"/>
    </row>
    <row r="112" spans="40:40" x14ac:dyDescent="0.25">
      <c r="AN112"/>
    </row>
    <row r="113" spans="40:40" x14ac:dyDescent="0.25">
      <c r="AN113"/>
    </row>
    <row r="114" spans="40:40" x14ac:dyDescent="0.25">
      <c r="AN114"/>
    </row>
    <row r="115" spans="40:40" x14ac:dyDescent="0.25">
      <c r="AN115"/>
    </row>
    <row r="116" spans="40:40" x14ac:dyDescent="0.25">
      <c r="AN116"/>
    </row>
    <row r="117" spans="40:40" x14ac:dyDescent="0.25">
      <c r="AN117"/>
    </row>
  </sheetData>
  <mergeCells count="59">
    <mergeCell ref="A1:L1"/>
    <mergeCell ref="O1:Z1"/>
    <mergeCell ref="AC1:AN1"/>
    <mergeCell ref="A2:B2"/>
    <mergeCell ref="O2:P2"/>
    <mergeCell ref="AC2:AD2"/>
    <mergeCell ref="AQ2:AR2"/>
    <mergeCell ref="BX2:BY2"/>
    <mergeCell ref="A3:A12"/>
    <mergeCell ref="L3:L12"/>
    <mergeCell ref="AC3:AC10"/>
    <mergeCell ref="AN3:AN10"/>
    <mergeCell ref="AQ3:AQ10"/>
    <mergeCell ref="BX3:BX10"/>
    <mergeCell ref="O10:O20"/>
    <mergeCell ref="Z10:Z20"/>
    <mergeCell ref="AC11:AC21"/>
    <mergeCell ref="AN11:AN21"/>
    <mergeCell ref="AQ11:AQ21"/>
    <mergeCell ref="BX11:BX21"/>
    <mergeCell ref="AC37:AC38"/>
    <mergeCell ref="AC22:AD22"/>
    <mergeCell ref="AQ22:AR22"/>
    <mergeCell ref="BX22:BY22"/>
    <mergeCell ref="O22:O29"/>
    <mergeCell ref="Z22:Z29"/>
    <mergeCell ref="AC23:AC30"/>
    <mergeCell ref="AN23:AN30"/>
    <mergeCell ref="AQ23:AQ30"/>
    <mergeCell ref="BX23:BX30"/>
    <mergeCell ref="O30:O35"/>
    <mergeCell ref="Z30:Z35"/>
    <mergeCell ref="AC31:AC36"/>
    <mergeCell ref="AN31:AN36"/>
    <mergeCell ref="AQ31:AQ36"/>
    <mergeCell ref="BX31:BX36"/>
    <mergeCell ref="BY39:BZ39"/>
    <mergeCell ref="BY41:BZ41"/>
    <mergeCell ref="BY42:BZ42"/>
    <mergeCell ref="BY43:BZ43"/>
    <mergeCell ref="A53:A72"/>
    <mergeCell ref="L53:L72"/>
    <mergeCell ref="A36:A52"/>
    <mergeCell ref="L36:L52"/>
    <mergeCell ref="O36:O37"/>
    <mergeCell ref="AN37:AN38"/>
    <mergeCell ref="AQ37:AQ38"/>
    <mergeCell ref="BX37:BX38"/>
    <mergeCell ref="P38:Q38"/>
    <mergeCell ref="AD39:AE39"/>
    <mergeCell ref="AR39:AS39"/>
    <mergeCell ref="Z36:Z37"/>
    <mergeCell ref="A73:A77"/>
    <mergeCell ref="L73:L77"/>
    <mergeCell ref="B79:C79"/>
    <mergeCell ref="Z3:Z9"/>
    <mergeCell ref="A35:B35"/>
    <mergeCell ref="L13:L34"/>
    <mergeCell ref="O21:P21"/>
  </mergeCells>
  <hyperlinks>
    <hyperlink ref="C88" r:id="rId1" xr:uid="{00000000-0004-0000-0800-000000000000}"/>
    <hyperlink ref="C85" r:id="rId2" location="product_section_description" xr:uid="{00000000-0004-0000-0800-000001000000}"/>
    <hyperlink ref="D85" r:id="rId3" xr:uid="{00000000-0004-0000-0800-000002000000}"/>
    <hyperlink ref="E85" r:id="rId4" xr:uid="{00000000-0004-0000-0800-000003000000}"/>
    <hyperlink ref="C86" r:id="rId5" xr:uid="{00000000-0004-0000-0800-000004000000}"/>
  </hyperlinks>
  <pageMargins left="0.7" right="0.7" top="0.75" bottom="0.75" header="0.3" footer="0.3"/>
  <pageSetup orientation="portrait" r:id="rId6"/>
  <drawing r:id="rId7"/>
  <legacy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C2:L62"/>
  <sheetViews>
    <sheetView topLeftCell="A45" workbookViewId="0">
      <selection activeCell="E4" sqref="E4"/>
    </sheetView>
  </sheetViews>
  <sheetFormatPr baseColWidth="10" defaultRowHeight="15" x14ac:dyDescent="0.25"/>
  <cols>
    <col min="3" max="3" width="12.42578125" customWidth="1"/>
    <col min="4" max="4" width="12.85546875" customWidth="1"/>
    <col min="5" max="5" width="14.42578125" customWidth="1"/>
    <col min="6" max="6" width="29.7109375" customWidth="1"/>
    <col min="7" max="7" width="24.140625" customWidth="1"/>
    <col min="9" max="9" width="21.42578125" customWidth="1"/>
    <col min="10" max="10" width="19.28515625" customWidth="1"/>
    <col min="11" max="11" width="20.42578125" customWidth="1"/>
  </cols>
  <sheetData>
    <row r="2" spans="3:10" x14ac:dyDescent="0.25">
      <c r="C2" s="128"/>
      <c r="D2" s="128"/>
      <c r="E2" s="128"/>
      <c r="F2" s="128"/>
    </row>
    <row r="3" spans="3:10" x14ac:dyDescent="0.25">
      <c r="C3" s="129"/>
      <c r="D3" s="129"/>
      <c r="E3" s="129"/>
      <c r="F3" s="129"/>
    </row>
    <row r="4" spans="3:10" ht="30.75" customHeight="1" x14ac:dyDescent="0.25">
      <c r="D4" s="130" t="s">
        <v>282</v>
      </c>
      <c r="E4" s="131" t="s">
        <v>283</v>
      </c>
    </row>
    <row r="5" spans="3:10" ht="21.75" customHeight="1" x14ac:dyDescent="0.25">
      <c r="D5" s="1" t="s">
        <v>285</v>
      </c>
      <c r="E5" s="132" t="s">
        <v>287</v>
      </c>
    </row>
    <row r="6" spans="3:10" ht="21.75" customHeight="1" x14ac:dyDescent="0.25">
      <c r="D6" s="1" t="s">
        <v>286</v>
      </c>
      <c r="E6" s="132" t="s">
        <v>288</v>
      </c>
      <c r="I6" t="s">
        <v>642</v>
      </c>
      <c r="J6">
        <v>2000</v>
      </c>
    </row>
    <row r="7" spans="3:10" ht="21" customHeight="1" x14ac:dyDescent="0.25">
      <c r="D7" s="1" t="s">
        <v>284</v>
      </c>
      <c r="E7" s="132" t="s">
        <v>289</v>
      </c>
      <c r="I7" t="s">
        <v>645</v>
      </c>
      <c r="J7">
        <f>J6*60</f>
        <v>120000</v>
      </c>
    </row>
    <row r="8" spans="3:10" ht="18.75" customHeight="1" x14ac:dyDescent="0.25">
      <c r="I8" t="s">
        <v>643</v>
      </c>
      <c r="J8">
        <v>6.5</v>
      </c>
    </row>
    <row r="9" spans="3:10" x14ac:dyDescent="0.25">
      <c r="I9" t="s">
        <v>644</v>
      </c>
      <c r="J9">
        <v>6000</v>
      </c>
    </row>
    <row r="10" spans="3:10" x14ac:dyDescent="0.25">
      <c r="I10" t="s">
        <v>647</v>
      </c>
      <c r="J10">
        <f>J7*J8</f>
        <v>780000</v>
      </c>
    </row>
    <row r="11" spans="3:10" x14ac:dyDescent="0.25">
      <c r="I11" t="s">
        <v>646</v>
      </c>
      <c r="J11">
        <f>J10/J9</f>
        <v>130</v>
      </c>
    </row>
    <row r="12" spans="3:10" x14ac:dyDescent="0.25">
      <c r="J12" s="106">
        <f>J11*192000</f>
        <v>24960000</v>
      </c>
    </row>
    <row r="14" spans="3:10" ht="30" customHeight="1" x14ac:dyDescent="0.25">
      <c r="C14" s="126" t="s">
        <v>279</v>
      </c>
      <c r="D14" s="127" t="s">
        <v>280</v>
      </c>
      <c r="E14" s="626" t="s">
        <v>281</v>
      </c>
      <c r="F14" s="626"/>
      <c r="G14" s="215" t="s">
        <v>178</v>
      </c>
    </row>
    <row r="15" spans="3:10" ht="20.100000000000001" customHeight="1" x14ac:dyDescent="0.25">
      <c r="C15" s="624" t="s">
        <v>461</v>
      </c>
      <c r="D15" s="622" t="s">
        <v>462</v>
      </c>
      <c r="E15" s="630" t="s">
        <v>463</v>
      </c>
      <c r="F15" s="631"/>
      <c r="G15" s="214"/>
    </row>
    <row r="16" spans="3:10" ht="20.100000000000001" customHeight="1" x14ac:dyDescent="0.25">
      <c r="C16" s="627"/>
      <c r="D16" s="623"/>
      <c r="E16" s="635" t="s">
        <v>464</v>
      </c>
      <c r="F16" s="636"/>
      <c r="G16" s="214"/>
      <c r="H16" s="78" t="s">
        <v>468</v>
      </c>
    </row>
    <row r="17" spans="3:12" ht="20.100000000000001" customHeight="1" x14ac:dyDescent="0.25">
      <c r="C17" s="627"/>
      <c r="D17" s="623"/>
      <c r="E17" s="635" t="s">
        <v>465</v>
      </c>
      <c r="F17" s="636"/>
      <c r="G17" s="214"/>
    </row>
    <row r="18" spans="3:12" ht="20.100000000000001" customHeight="1" x14ac:dyDescent="0.25">
      <c r="C18" s="627"/>
      <c r="D18" s="623"/>
      <c r="E18" s="635" t="s">
        <v>466</v>
      </c>
      <c r="F18" s="636"/>
      <c r="G18" s="214"/>
    </row>
    <row r="19" spans="3:12" ht="20.100000000000001" customHeight="1" x14ac:dyDescent="0.25">
      <c r="C19" s="628"/>
      <c r="D19" s="629"/>
      <c r="E19" s="633" t="s">
        <v>467</v>
      </c>
      <c r="F19" s="634"/>
      <c r="G19" s="216"/>
    </row>
    <row r="20" spans="3:12" ht="20.100000000000001" customHeight="1" x14ac:dyDescent="0.25">
      <c r="C20" s="624" t="s">
        <v>469</v>
      </c>
      <c r="D20" s="622" t="s">
        <v>381</v>
      </c>
      <c r="E20" s="632" t="s">
        <v>463</v>
      </c>
      <c r="F20" s="632"/>
      <c r="G20" s="214"/>
    </row>
    <row r="21" spans="3:12" ht="20.100000000000001" customHeight="1" x14ac:dyDescent="0.25">
      <c r="C21" s="625"/>
      <c r="D21" s="623"/>
      <c r="E21" s="621" t="s">
        <v>464</v>
      </c>
      <c r="F21" s="621"/>
      <c r="G21" s="214"/>
      <c r="H21" s="78" t="s">
        <v>472</v>
      </c>
    </row>
    <row r="22" spans="3:12" ht="20.100000000000001" customHeight="1" x14ac:dyDescent="0.25">
      <c r="C22" s="625"/>
      <c r="D22" s="623"/>
      <c r="E22" s="621" t="s">
        <v>465</v>
      </c>
      <c r="F22" s="621"/>
      <c r="G22" s="214"/>
      <c r="H22" t="s">
        <v>473</v>
      </c>
    </row>
    <row r="23" spans="3:12" ht="20.100000000000001" customHeight="1" x14ac:dyDescent="0.25">
      <c r="C23" s="625"/>
      <c r="D23" s="623"/>
      <c r="E23" s="621" t="s">
        <v>470</v>
      </c>
      <c r="F23" s="621"/>
      <c r="G23" s="214"/>
    </row>
    <row r="24" spans="3:12" x14ac:dyDescent="0.25">
      <c r="C24" s="625"/>
      <c r="D24" s="623"/>
      <c r="E24" s="621" t="s">
        <v>471</v>
      </c>
      <c r="F24" s="621"/>
      <c r="G24" s="214"/>
    </row>
    <row r="26" spans="3:12" x14ac:dyDescent="0.25">
      <c r="K26">
        <v>2838.33</v>
      </c>
      <c r="L26" t="s">
        <v>636</v>
      </c>
    </row>
    <row r="30" spans="3:12" ht="42.75" customHeight="1" x14ac:dyDescent="0.25">
      <c r="F30" s="313" t="s">
        <v>633</v>
      </c>
      <c r="G30" s="313" t="s">
        <v>634</v>
      </c>
      <c r="H30" s="313" t="s">
        <v>526</v>
      </c>
      <c r="I30" s="313" t="s">
        <v>648</v>
      </c>
      <c r="J30" s="313" t="s">
        <v>649</v>
      </c>
    </row>
    <row r="31" spans="3:12" ht="107.25" customHeight="1" x14ac:dyDescent="0.25">
      <c r="F31" s="300" t="s">
        <v>672</v>
      </c>
      <c r="G31" s="300"/>
      <c r="H31" s="300">
        <v>1</v>
      </c>
      <c r="I31" s="312">
        <f>2200*(K26)</f>
        <v>6244326</v>
      </c>
      <c r="J31" s="312">
        <f t="shared" ref="J31:J37" si="0">I31*H31</f>
        <v>6244326</v>
      </c>
      <c r="K31" s="78" t="s">
        <v>635</v>
      </c>
    </row>
    <row r="32" spans="3:12" ht="72" customHeight="1" x14ac:dyDescent="0.25">
      <c r="F32" s="300" t="s">
        <v>671</v>
      </c>
      <c r="G32" s="300"/>
      <c r="H32" s="300">
        <v>1</v>
      </c>
      <c r="I32" s="312">
        <v>109900</v>
      </c>
      <c r="J32" s="312">
        <f t="shared" si="0"/>
        <v>109900</v>
      </c>
    </row>
    <row r="33" spans="6:11" ht="85.5" customHeight="1" x14ac:dyDescent="0.25">
      <c r="F33" s="300" t="s">
        <v>638</v>
      </c>
      <c r="G33" s="300"/>
      <c r="H33" s="300">
        <v>1</v>
      </c>
      <c r="I33" s="312">
        <v>86990</v>
      </c>
      <c r="J33" s="312">
        <f t="shared" si="0"/>
        <v>86990</v>
      </c>
      <c r="K33" t="s">
        <v>639</v>
      </c>
    </row>
    <row r="34" spans="6:11" ht="65.25" customHeight="1" x14ac:dyDescent="0.25">
      <c r="F34" s="300" t="s">
        <v>640</v>
      </c>
      <c r="G34" s="300"/>
      <c r="H34" s="300">
        <v>1</v>
      </c>
      <c r="I34" s="312">
        <v>15000</v>
      </c>
      <c r="J34" s="312">
        <f t="shared" si="0"/>
        <v>15000</v>
      </c>
    </row>
    <row r="35" spans="6:11" ht="103.5" customHeight="1" x14ac:dyDescent="0.25">
      <c r="F35" s="300" t="s">
        <v>641</v>
      </c>
      <c r="G35" s="300"/>
      <c r="H35" s="300">
        <v>1</v>
      </c>
      <c r="I35" s="312">
        <v>650000</v>
      </c>
      <c r="J35" s="312">
        <f t="shared" si="0"/>
        <v>650000</v>
      </c>
    </row>
    <row r="36" spans="6:11" ht="47.25" x14ac:dyDescent="0.25">
      <c r="F36" s="300" t="s">
        <v>674</v>
      </c>
      <c r="G36" s="300"/>
      <c r="H36" s="300">
        <v>1</v>
      </c>
      <c r="I36" s="312">
        <v>950000</v>
      </c>
      <c r="J36" s="312">
        <f t="shared" si="0"/>
        <v>950000</v>
      </c>
    </row>
    <row r="37" spans="6:11" ht="15.75" x14ac:dyDescent="0.25">
      <c r="F37" s="300" t="s">
        <v>321</v>
      </c>
      <c r="G37" s="300"/>
      <c r="H37" s="300">
        <v>1</v>
      </c>
      <c r="I37" s="312">
        <v>1000000</v>
      </c>
      <c r="J37" s="312">
        <f t="shared" si="0"/>
        <v>1000000</v>
      </c>
    </row>
    <row r="38" spans="6:11" ht="15.75" x14ac:dyDescent="0.25">
      <c r="F38" s="300" t="s">
        <v>669</v>
      </c>
      <c r="G38" s="300"/>
      <c r="H38" s="300">
        <v>1</v>
      </c>
      <c r="I38" s="312">
        <f>I31*10%</f>
        <v>624432.6</v>
      </c>
      <c r="J38" s="312">
        <f t="shared" ref="J38:J39" si="1">I38*H38</f>
        <v>624432.6</v>
      </c>
    </row>
    <row r="39" spans="6:11" ht="15.75" x14ac:dyDescent="0.25">
      <c r="F39" s="300" t="s">
        <v>670</v>
      </c>
      <c r="G39" s="300"/>
      <c r="H39" s="300">
        <v>1</v>
      </c>
      <c r="I39" s="312">
        <f>I31*0.6%</f>
        <v>37465.955999999998</v>
      </c>
      <c r="J39" s="312">
        <f t="shared" si="1"/>
        <v>37465.955999999998</v>
      </c>
    </row>
    <row r="40" spans="6:11" ht="19.5" customHeight="1" x14ac:dyDescent="0.25">
      <c r="F40" s="313" t="s">
        <v>259</v>
      </c>
      <c r="G40" s="300"/>
      <c r="H40" s="300"/>
      <c r="I40" s="312"/>
      <c r="J40" s="314">
        <f>SUM(J31:J39)</f>
        <v>9718114.5559999999</v>
      </c>
    </row>
    <row r="41" spans="6:11" ht="36" customHeight="1" x14ac:dyDescent="0.25">
      <c r="F41" s="313" t="s">
        <v>650</v>
      </c>
      <c r="G41" s="313"/>
      <c r="H41" s="313"/>
      <c r="I41" s="314"/>
      <c r="J41" s="314">
        <f>J40*(3.5%)</f>
        <v>340134.00946000003</v>
      </c>
    </row>
    <row r="42" spans="6:11" ht="18.75" customHeight="1" x14ac:dyDescent="0.25">
      <c r="F42" s="313" t="s">
        <v>673</v>
      </c>
      <c r="G42" s="311"/>
      <c r="H42" s="311"/>
      <c r="I42" s="315"/>
      <c r="J42" s="315">
        <f>J40+J41</f>
        <v>10058248.56546</v>
      </c>
    </row>
    <row r="43" spans="6:11" x14ac:dyDescent="0.25">
      <c r="I43" s="65"/>
      <c r="J43" s="65"/>
    </row>
    <row r="44" spans="6:11" x14ac:dyDescent="0.25">
      <c r="I44" s="65"/>
      <c r="J44" s="65"/>
    </row>
    <row r="45" spans="6:11" x14ac:dyDescent="0.25">
      <c r="I45" s="65"/>
      <c r="J45" s="65"/>
    </row>
    <row r="46" spans="6:11" x14ac:dyDescent="0.25">
      <c r="I46" s="65"/>
      <c r="J46" s="65"/>
    </row>
    <row r="47" spans="6:11" ht="15.75" x14ac:dyDescent="0.25">
      <c r="F47" s="620" t="s">
        <v>702</v>
      </c>
      <c r="G47" s="620"/>
      <c r="H47" s="497"/>
      <c r="I47" s="497"/>
      <c r="J47" s="497"/>
    </row>
    <row r="48" spans="6:11" ht="30" customHeight="1" x14ac:dyDescent="0.25">
      <c r="F48" s="436" t="s">
        <v>633</v>
      </c>
      <c r="G48" s="436" t="s">
        <v>768</v>
      </c>
      <c r="H48" s="128"/>
      <c r="I48" s="128"/>
      <c r="J48" s="128"/>
    </row>
    <row r="49" spans="6:8" x14ac:dyDescent="0.25">
      <c r="F49" s="128" t="s">
        <v>766</v>
      </c>
      <c r="G49" s="434">
        <v>5000</v>
      </c>
    </row>
    <row r="50" spans="6:8" x14ac:dyDescent="0.25">
      <c r="F50" s="129" t="s">
        <v>767</v>
      </c>
      <c r="G50" s="437">
        <f>'Flujos de caja'!D26*'Flujos de caja'!D34*30</f>
        <v>8404.2644760359999</v>
      </c>
    </row>
    <row r="51" spans="6:8" x14ac:dyDescent="0.25">
      <c r="F51" s="195" t="s">
        <v>315</v>
      </c>
      <c r="G51" s="435">
        <f>SUM(G49:G50)</f>
        <v>13404.264476036</v>
      </c>
    </row>
    <row r="54" spans="6:8" x14ac:dyDescent="0.25">
      <c r="G54" s="179" t="s">
        <v>678</v>
      </c>
    </row>
    <row r="55" spans="6:8" x14ac:dyDescent="0.25">
      <c r="G55" t="s">
        <v>677</v>
      </c>
      <c r="H55">
        <v>6.5</v>
      </c>
    </row>
    <row r="56" spans="6:8" x14ac:dyDescent="0.25">
      <c r="G56" t="s">
        <v>679</v>
      </c>
      <c r="H56">
        <f>H55/1000</f>
        <v>6.4999999999999997E-3</v>
      </c>
    </row>
    <row r="57" spans="6:8" x14ac:dyDescent="0.25">
      <c r="G57" t="s">
        <v>680</v>
      </c>
      <c r="H57">
        <f>H56*0.0838</f>
        <v>5.4469999999999996E-4</v>
      </c>
    </row>
    <row r="58" spans="6:8" x14ac:dyDescent="0.25">
      <c r="G58" t="s">
        <v>681</v>
      </c>
      <c r="H58" s="106">
        <f>2000*60</f>
        <v>120000</v>
      </c>
    </row>
    <row r="59" spans="6:8" x14ac:dyDescent="0.25">
      <c r="G59" t="s">
        <v>682</v>
      </c>
      <c r="H59" s="322">
        <f>H58*H57</f>
        <v>65.36399999999999</v>
      </c>
    </row>
    <row r="60" spans="6:8" x14ac:dyDescent="0.25">
      <c r="G60" t="s">
        <v>683</v>
      </c>
      <c r="H60" s="323">
        <f>1.51*K26</f>
        <v>4285.8783000000003</v>
      </c>
    </row>
    <row r="61" spans="6:8" x14ac:dyDescent="0.25">
      <c r="G61" t="s">
        <v>704</v>
      </c>
      <c r="H61" s="323">
        <f>(H57*60)*H60</f>
        <v>140.07107460059999</v>
      </c>
    </row>
    <row r="62" spans="6:8" x14ac:dyDescent="0.25">
      <c r="G62" t="s">
        <v>684</v>
      </c>
      <c r="H62" s="65">
        <f>H60*H59</f>
        <v>280142.14920119999</v>
      </c>
    </row>
  </sheetData>
  <mergeCells count="16">
    <mergeCell ref="F47:G47"/>
    <mergeCell ref="E24:F24"/>
    <mergeCell ref="D20:D24"/>
    <mergeCell ref="C20:C24"/>
    <mergeCell ref="E14:F14"/>
    <mergeCell ref="C15:C19"/>
    <mergeCell ref="D15:D19"/>
    <mergeCell ref="E15:F15"/>
    <mergeCell ref="E23:F23"/>
    <mergeCell ref="E20:F20"/>
    <mergeCell ref="E21:F21"/>
    <mergeCell ref="E19:F19"/>
    <mergeCell ref="E16:F16"/>
    <mergeCell ref="E17:F17"/>
    <mergeCell ref="E18:F18"/>
    <mergeCell ref="E22:F22"/>
  </mergeCells>
  <hyperlinks>
    <hyperlink ref="H16" r:id="rId1" xr:uid="{01CBB34F-A8C4-4B49-852A-D16460AA0A8F}"/>
    <hyperlink ref="H21" r:id="rId2" xr:uid="{1C0FE883-75D0-44F7-B1CC-8BC08E7FCD11}"/>
    <hyperlink ref="K31" r:id="rId3" xr:uid="{1AADB893-962C-498B-A754-BB6CCCAF09BA}"/>
  </hyperlink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Metodología</vt:lpstr>
      <vt:lpstr>Cronograma</vt:lpstr>
      <vt:lpstr>Recursos</vt:lpstr>
      <vt:lpstr>Presupuesto</vt:lpstr>
      <vt:lpstr>Datos</vt:lpstr>
      <vt:lpstr>Análisis dimensional</vt:lpstr>
      <vt:lpstr>Inventario de cargas</vt:lpstr>
      <vt:lpstr>Inventario de cargas (WORD)</vt:lpstr>
      <vt:lpstr>Componentes Sistema </vt:lpstr>
      <vt:lpstr>PERCPM</vt:lpstr>
      <vt:lpstr>Parámetros</vt:lpstr>
      <vt:lpstr>EPS</vt:lpstr>
      <vt:lpstr>Metodología Conesa Mod.</vt:lpstr>
      <vt:lpstr>Matriz de identificación</vt:lpstr>
      <vt:lpstr>Calificación de la actividad</vt:lpstr>
      <vt:lpstr>Matriz de calificación</vt:lpstr>
      <vt:lpstr>Flujos de caja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CristianM</dc:creator>
  <cp:lastModifiedBy>CristianM</cp:lastModifiedBy>
  <dcterms:created xsi:type="dcterms:W3CDTF">2017-04-21T23:18:56Z</dcterms:created>
  <dcterms:modified xsi:type="dcterms:W3CDTF">2018-08-17T05:13:06Z</dcterms:modified>
</cp:coreProperties>
</file>