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Personal\Documents\"/>
    </mc:Choice>
  </mc:AlternateContent>
  <xr:revisionPtr revIDLastSave="0" documentId="8_{30028B11-0799-4E94-970F-D16EC8368D19}" xr6:coauthVersionLast="41" xr6:coauthVersionMax="41" xr10:uidLastSave="{00000000-0000-0000-0000-000000000000}"/>
  <bookViews>
    <workbookView xWindow="-120" yWindow="-120" windowWidth="20730" windowHeight="11160" activeTab="4" xr2:uid="{00000000-000D-0000-FFFF-FFFF00000000}"/>
  </bookViews>
  <sheets>
    <sheet name="NOMINA" sheetId="6" r:id="rId1"/>
    <sheet name="COSTOS&amp;GASTOS" sheetId="7" r:id="rId2"/>
    <sheet name="ESCENARIO A" sheetId="1" r:id="rId3"/>
    <sheet name="ESCENARIO B" sheetId="8" r:id="rId4"/>
    <sheet name="ESCENARIO C" sheetId="9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7" i="9" l="1"/>
  <c r="C30" i="9"/>
  <c r="D3" i="9" s="1"/>
  <c r="D8" i="9" s="1"/>
  <c r="D16" i="9" s="1"/>
  <c r="D26" i="9" s="1"/>
  <c r="C21" i="9"/>
  <c r="C53" i="9"/>
  <c r="C50" i="9"/>
  <c r="Q47" i="9"/>
  <c r="O47" i="9"/>
  <c r="P13" i="9" s="1"/>
  <c r="M47" i="9"/>
  <c r="J47" i="9"/>
  <c r="I47" i="9"/>
  <c r="G47" i="9"/>
  <c r="H13" i="9" s="1"/>
  <c r="E47" i="9"/>
  <c r="C47" i="9"/>
  <c r="P47" i="9" s="1"/>
  <c r="Q13" i="9" s="1"/>
  <c r="C44" i="9"/>
  <c r="C38" i="9"/>
  <c r="D50" i="9" s="1"/>
  <c r="C26" i="9"/>
  <c r="P18" i="9"/>
  <c r="H18" i="9"/>
  <c r="D18" i="9"/>
  <c r="O18" i="9" s="1"/>
  <c r="R13" i="9"/>
  <c r="N13" i="9"/>
  <c r="K13" i="9"/>
  <c r="J13" i="9"/>
  <c r="F13" i="9"/>
  <c r="D13" i="9"/>
  <c r="C8" i="9"/>
  <c r="R7" i="9"/>
  <c r="P7" i="9"/>
  <c r="O7" i="9"/>
  <c r="M7" i="9"/>
  <c r="K7" i="9"/>
  <c r="J7" i="9"/>
  <c r="H7" i="9"/>
  <c r="G7" i="9"/>
  <c r="E7" i="9"/>
  <c r="D7" i="9"/>
  <c r="N7" i="9" s="1"/>
  <c r="D5" i="9"/>
  <c r="D8" i="8"/>
  <c r="C21" i="8"/>
  <c r="F3" i="8"/>
  <c r="G3" i="8"/>
  <c r="H3" i="8"/>
  <c r="E3" i="8"/>
  <c r="D3" i="8"/>
  <c r="J53" i="8"/>
  <c r="I53" i="8"/>
  <c r="H53" i="8"/>
  <c r="C53" i="8"/>
  <c r="C50" i="8"/>
  <c r="C47" i="8"/>
  <c r="M47" i="8" s="1"/>
  <c r="N13" i="8" s="1"/>
  <c r="C44" i="8"/>
  <c r="C38" i="8"/>
  <c r="D50" i="8" s="1"/>
  <c r="E50" i="8" s="1"/>
  <c r="F50" i="8" s="1"/>
  <c r="G5" i="8" s="1"/>
  <c r="G8" i="8" s="1"/>
  <c r="C33" i="8"/>
  <c r="C26" i="8"/>
  <c r="C8" i="8"/>
  <c r="O7" i="8"/>
  <c r="N7" i="8"/>
  <c r="M7" i="8"/>
  <c r="L7" i="8"/>
  <c r="G7" i="8"/>
  <c r="F7" i="8"/>
  <c r="D7" i="8"/>
  <c r="F5" i="8"/>
  <c r="F8" i="8" s="1"/>
  <c r="E5" i="8"/>
  <c r="D5" i="8"/>
  <c r="F7" i="1"/>
  <c r="G7" i="1"/>
  <c r="H7" i="1"/>
  <c r="I7" i="1"/>
  <c r="J7" i="1"/>
  <c r="K7" i="1"/>
  <c r="L7" i="1"/>
  <c r="M7" i="1"/>
  <c r="N7" i="1"/>
  <c r="O7" i="1"/>
  <c r="P7" i="1"/>
  <c r="Q7" i="1"/>
  <c r="R7" i="1"/>
  <c r="E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E18" i="1"/>
  <c r="C44" i="1"/>
  <c r="D7" i="1" s="1"/>
  <c r="D18" i="1" s="1"/>
  <c r="D50" i="1"/>
  <c r="C38" i="1"/>
  <c r="F25" i="7"/>
  <c r="I53" i="1"/>
  <c r="P53" i="1"/>
  <c r="Q53" i="1"/>
  <c r="C53" i="1"/>
  <c r="J53" i="1" s="1"/>
  <c r="O54" i="7"/>
  <c r="N54" i="7"/>
  <c r="N52" i="7"/>
  <c r="N53" i="7"/>
  <c r="K52" i="7"/>
  <c r="K53" i="7" s="1"/>
  <c r="K54" i="7" s="1"/>
  <c r="C47" i="1"/>
  <c r="F47" i="1" s="1"/>
  <c r="D45" i="7"/>
  <c r="D49" i="7"/>
  <c r="D48" i="7"/>
  <c r="D47" i="7"/>
  <c r="C47" i="7"/>
  <c r="C45" i="7"/>
  <c r="D44" i="7"/>
  <c r="C44" i="7"/>
  <c r="C33" i="9" l="1"/>
  <c r="G3" i="9"/>
  <c r="F3" i="9"/>
  <c r="E5" i="9"/>
  <c r="E50" i="9"/>
  <c r="I18" i="9"/>
  <c r="Q18" i="9"/>
  <c r="D53" i="9"/>
  <c r="L53" i="9"/>
  <c r="K53" i="9"/>
  <c r="E3" i="9"/>
  <c r="E8" i="9" s="1"/>
  <c r="E16" i="9" s="1"/>
  <c r="E26" i="9" s="1"/>
  <c r="I7" i="9"/>
  <c r="Q7" i="9"/>
  <c r="J18" i="9"/>
  <c r="R18" i="9"/>
  <c r="K47" i="9"/>
  <c r="L13" i="9" s="1"/>
  <c r="E53" i="9"/>
  <c r="M53" i="9"/>
  <c r="K18" i="9"/>
  <c r="D47" i="9"/>
  <c r="E13" i="9" s="1"/>
  <c r="L47" i="9"/>
  <c r="M13" i="9" s="1"/>
  <c r="F53" i="9"/>
  <c r="N53" i="9"/>
  <c r="G53" i="9"/>
  <c r="R53" i="9" s="1"/>
  <c r="R11" i="9" s="1"/>
  <c r="R12" i="9" s="1"/>
  <c r="O53" i="9"/>
  <c r="L18" i="9"/>
  <c r="H3" i="9"/>
  <c r="L7" i="9"/>
  <c r="E18" i="9"/>
  <c r="M18" i="9"/>
  <c r="F47" i="9"/>
  <c r="G13" i="9" s="1"/>
  <c r="N47" i="9"/>
  <c r="O13" i="9" s="1"/>
  <c r="H53" i="9"/>
  <c r="P53" i="9"/>
  <c r="Q53" i="9"/>
  <c r="F18" i="9"/>
  <c r="N18" i="9"/>
  <c r="I53" i="9"/>
  <c r="F7" i="9"/>
  <c r="G18" i="9"/>
  <c r="H47" i="9"/>
  <c r="I13" i="9" s="1"/>
  <c r="J53" i="9"/>
  <c r="N47" i="8"/>
  <c r="O13" i="8" s="1"/>
  <c r="D13" i="8"/>
  <c r="D16" i="8" s="1"/>
  <c r="G47" i="8"/>
  <c r="H13" i="8" s="1"/>
  <c r="O47" i="8"/>
  <c r="P13" i="8" s="1"/>
  <c r="H47" i="8"/>
  <c r="I13" i="8" s="1"/>
  <c r="I47" i="8"/>
  <c r="J13" i="8" s="1"/>
  <c r="J47" i="8"/>
  <c r="K13" i="8" s="1"/>
  <c r="P47" i="8"/>
  <c r="Q13" i="8" s="1"/>
  <c r="F47" i="8"/>
  <c r="G13" i="8" s="1"/>
  <c r="G16" i="8" s="1"/>
  <c r="Q47" i="8"/>
  <c r="R13" i="8" s="1"/>
  <c r="G50" i="8"/>
  <c r="D18" i="8"/>
  <c r="K7" i="8"/>
  <c r="R7" i="8"/>
  <c r="J7" i="8"/>
  <c r="Q7" i="8"/>
  <c r="I7" i="8"/>
  <c r="P7" i="8"/>
  <c r="H7" i="8"/>
  <c r="E7" i="8"/>
  <c r="E8" i="8" s="1"/>
  <c r="N53" i="8"/>
  <c r="K53" i="8"/>
  <c r="D53" i="8"/>
  <c r="R53" i="8" s="1"/>
  <c r="G37" i="8" s="1"/>
  <c r="R11" i="8" s="1"/>
  <c r="R12" i="8" s="1"/>
  <c r="L53" i="8"/>
  <c r="K47" i="8"/>
  <c r="L13" i="8" s="1"/>
  <c r="E53" i="8"/>
  <c r="M53" i="8"/>
  <c r="D47" i="8"/>
  <c r="E13" i="8" s="1"/>
  <c r="L47" i="8"/>
  <c r="M13" i="8" s="1"/>
  <c r="F53" i="8"/>
  <c r="E47" i="8"/>
  <c r="F13" i="8" s="1"/>
  <c r="F16" i="8" s="1"/>
  <c r="G53" i="8"/>
  <c r="O53" i="8"/>
  <c r="P53" i="8"/>
  <c r="Q53" i="8"/>
  <c r="H53" i="1"/>
  <c r="O53" i="1"/>
  <c r="G53" i="1"/>
  <c r="N53" i="1"/>
  <c r="F53" i="1"/>
  <c r="M53" i="1"/>
  <c r="E53" i="1"/>
  <c r="R53" i="1"/>
  <c r="G37" i="1" s="1"/>
  <c r="R11" i="1" s="1"/>
  <c r="R12" i="1" s="1"/>
  <c r="K53" i="1"/>
  <c r="L53" i="1"/>
  <c r="D53" i="1"/>
  <c r="L47" i="1"/>
  <c r="M47" i="1"/>
  <c r="E47" i="1"/>
  <c r="K47" i="1"/>
  <c r="D47" i="1"/>
  <c r="J47" i="1"/>
  <c r="Q47" i="1"/>
  <c r="I47" i="1"/>
  <c r="P47" i="1"/>
  <c r="H47" i="1"/>
  <c r="O47" i="1"/>
  <c r="G47" i="1"/>
  <c r="N47" i="1"/>
  <c r="D43" i="7"/>
  <c r="C43" i="7"/>
  <c r="C41" i="7"/>
  <c r="M48" i="7"/>
  <c r="M47" i="7"/>
  <c r="M49" i="7" s="1"/>
  <c r="M46" i="7"/>
  <c r="N41" i="7"/>
  <c r="N40" i="7"/>
  <c r="N39" i="7"/>
  <c r="N42" i="7" s="1"/>
  <c r="L34" i="7"/>
  <c r="N33" i="7"/>
  <c r="N32" i="7"/>
  <c r="N31" i="7"/>
  <c r="N35" i="7" s="1"/>
  <c r="E34" i="7"/>
  <c r="M27" i="7"/>
  <c r="L27" i="7"/>
  <c r="K27" i="7"/>
  <c r="F24" i="7"/>
  <c r="E24" i="7"/>
  <c r="C24" i="7"/>
  <c r="F23" i="7"/>
  <c r="F22" i="7"/>
  <c r="F21" i="7"/>
  <c r="F20" i="7"/>
  <c r="F19" i="7"/>
  <c r="F18" i="7"/>
  <c r="F13" i="7"/>
  <c r="E13" i="7"/>
  <c r="C13" i="7"/>
  <c r="F12" i="7"/>
  <c r="F11" i="7"/>
  <c r="F10" i="7"/>
  <c r="F9" i="7"/>
  <c r="F8" i="7"/>
  <c r="F7" i="7"/>
  <c r="F6" i="7"/>
  <c r="F5" i="7"/>
  <c r="O244" i="6"/>
  <c r="B255" i="6"/>
  <c r="D255" i="6" s="1"/>
  <c r="B254" i="6"/>
  <c r="D254" i="6" s="1"/>
  <c r="B253" i="6"/>
  <c r="D253" i="6" s="1"/>
  <c r="D256" i="6" s="1"/>
  <c r="H243" i="6"/>
  <c r="J243" i="6" s="1"/>
  <c r="L243" i="6" s="1"/>
  <c r="E243" i="6"/>
  <c r="F243" i="6" s="1"/>
  <c r="G243" i="6" s="1"/>
  <c r="I243" i="6" s="1"/>
  <c r="K243" i="6" s="1"/>
  <c r="M243" i="6" s="1"/>
  <c r="D243" i="6"/>
  <c r="C243" i="6"/>
  <c r="C242" i="6"/>
  <c r="D242" i="6" s="1"/>
  <c r="E242" i="6" s="1"/>
  <c r="F242" i="6" s="1"/>
  <c r="F241" i="6"/>
  <c r="H241" i="6" s="1"/>
  <c r="J241" i="6" s="1"/>
  <c r="L241" i="6" s="1"/>
  <c r="C241" i="6"/>
  <c r="D241" i="6" s="1"/>
  <c r="E241" i="6" s="1"/>
  <c r="C240" i="6"/>
  <c r="D240" i="6" s="1"/>
  <c r="E240" i="6" s="1"/>
  <c r="F240" i="6" s="1"/>
  <c r="D239" i="6"/>
  <c r="E239" i="6" s="1"/>
  <c r="F239" i="6" s="1"/>
  <c r="C239" i="6"/>
  <c r="D238" i="6"/>
  <c r="E238" i="6" s="1"/>
  <c r="F238" i="6" s="1"/>
  <c r="H238" i="6" s="1"/>
  <c r="J238" i="6" s="1"/>
  <c r="L238" i="6" s="1"/>
  <c r="C238" i="6"/>
  <c r="D237" i="6"/>
  <c r="E237" i="6" s="1"/>
  <c r="F237" i="6" s="1"/>
  <c r="H237" i="6" s="1"/>
  <c r="J237" i="6" s="1"/>
  <c r="L237" i="6" s="1"/>
  <c r="C237" i="6"/>
  <c r="E236" i="6"/>
  <c r="F236" i="6" s="1"/>
  <c r="D236" i="6"/>
  <c r="C236" i="6"/>
  <c r="C235" i="6"/>
  <c r="D235" i="6" s="1"/>
  <c r="E235" i="6" s="1"/>
  <c r="F235" i="6" s="1"/>
  <c r="J233" i="6"/>
  <c r="L233" i="6" s="1"/>
  <c r="F233" i="6"/>
  <c r="H233" i="6" s="1"/>
  <c r="D233" i="6"/>
  <c r="C233" i="6"/>
  <c r="G232" i="6"/>
  <c r="I232" i="6" s="1"/>
  <c r="K232" i="6" s="1"/>
  <c r="M232" i="6" s="1"/>
  <c r="D232" i="6"/>
  <c r="E232" i="6" s="1"/>
  <c r="F232" i="6" s="1"/>
  <c r="H232" i="6" s="1"/>
  <c r="J232" i="6" s="1"/>
  <c r="L232" i="6" s="1"/>
  <c r="C232" i="6"/>
  <c r="C231" i="6"/>
  <c r="D231" i="6" s="1"/>
  <c r="E231" i="6" s="1"/>
  <c r="F231" i="6" s="1"/>
  <c r="C223" i="6"/>
  <c r="D223" i="6" s="1"/>
  <c r="E223" i="6" s="1"/>
  <c r="F223" i="6" s="1"/>
  <c r="F222" i="6"/>
  <c r="C222" i="6"/>
  <c r="D222" i="6" s="1"/>
  <c r="E222" i="6" s="1"/>
  <c r="E221" i="6"/>
  <c r="F221" i="6" s="1"/>
  <c r="D221" i="6"/>
  <c r="C221" i="6"/>
  <c r="H220" i="6"/>
  <c r="J220" i="6" s="1"/>
  <c r="L220" i="6" s="1"/>
  <c r="G220" i="6"/>
  <c r="I220" i="6" s="1"/>
  <c r="K220" i="6" s="1"/>
  <c r="M220" i="6" s="1"/>
  <c r="D220" i="6"/>
  <c r="E220" i="6" s="1"/>
  <c r="F220" i="6" s="1"/>
  <c r="C220" i="6"/>
  <c r="C219" i="6"/>
  <c r="D219" i="6" s="1"/>
  <c r="E219" i="6" s="1"/>
  <c r="F219" i="6" s="1"/>
  <c r="J218" i="6"/>
  <c r="L218" i="6" s="1"/>
  <c r="F218" i="6"/>
  <c r="H218" i="6" s="1"/>
  <c r="E218" i="6"/>
  <c r="D218" i="6"/>
  <c r="C218" i="6"/>
  <c r="I217" i="6"/>
  <c r="K217" i="6" s="1"/>
  <c r="E217" i="6"/>
  <c r="F217" i="6" s="1"/>
  <c r="G217" i="6" s="1"/>
  <c r="C217" i="6"/>
  <c r="D217" i="6" s="1"/>
  <c r="C216" i="6"/>
  <c r="D216" i="6" s="1"/>
  <c r="E216" i="6" s="1"/>
  <c r="F216" i="6" s="1"/>
  <c r="F215" i="6"/>
  <c r="H215" i="6" s="1"/>
  <c r="J215" i="6" s="1"/>
  <c r="L215" i="6" s="1"/>
  <c r="C215" i="6"/>
  <c r="D215" i="6" s="1"/>
  <c r="E215" i="6" s="1"/>
  <c r="M213" i="6"/>
  <c r="L213" i="6"/>
  <c r="K213" i="6"/>
  <c r="H213" i="6"/>
  <c r="J213" i="6" s="1"/>
  <c r="F213" i="6"/>
  <c r="G213" i="6" s="1"/>
  <c r="I213" i="6" s="1"/>
  <c r="C213" i="6"/>
  <c r="D213" i="6" s="1"/>
  <c r="J212" i="6"/>
  <c r="L212" i="6" s="1"/>
  <c r="F212" i="6"/>
  <c r="H212" i="6" s="1"/>
  <c r="E212" i="6"/>
  <c r="D212" i="6"/>
  <c r="C212" i="6"/>
  <c r="I211" i="6"/>
  <c r="K211" i="6" s="1"/>
  <c r="M211" i="6" s="1"/>
  <c r="E211" i="6"/>
  <c r="F211" i="6" s="1"/>
  <c r="G211" i="6" s="1"/>
  <c r="C211" i="6"/>
  <c r="D211" i="6" s="1"/>
  <c r="D203" i="6"/>
  <c r="E203" i="6" s="1"/>
  <c r="F203" i="6" s="1"/>
  <c r="C203" i="6"/>
  <c r="D202" i="6"/>
  <c r="E202" i="6" s="1"/>
  <c r="F202" i="6" s="1"/>
  <c r="H202" i="6" s="1"/>
  <c r="J202" i="6" s="1"/>
  <c r="L202" i="6" s="1"/>
  <c r="C202" i="6"/>
  <c r="L201" i="6"/>
  <c r="J201" i="6"/>
  <c r="D201" i="6"/>
  <c r="E201" i="6" s="1"/>
  <c r="F201" i="6" s="1"/>
  <c r="H201" i="6" s="1"/>
  <c r="C201" i="6"/>
  <c r="E200" i="6"/>
  <c r="F200" i="6" s="1"/>
  <c r="C200" i="6"/>
  <c r="D200" i="6" s="1"/>
  <c r="C199" i="6"/>
  <c r="D199" i="6" s="1"/>
  <c r="E199" i="6" s="1"/>
  <c r="F199" i="6" s="1"/>
  <c r="C198" i="6"/>
  <c r="D198" i="6" s="1"/>
  <c r="E198" i="6" s="1"/>
  <c r="F198" i="6" s="1"/>
  <c r="D197" i="6"/>
  <c r="E197" i="6" s="1"/>
  <c r="F197" i="6" s="1"/>
  <c r="C197" i="6"/>
  <c r="F196" i="6"/>
  <c r="H196" i="6" s="1"/>
  <c r="J196" i="6" s="1"/>
  <c r="L196" i="6" s="1"/>
  <c r="C196" i="6"/>
  <c r="D196" i="6" s="1"/>
  <c r="E196" i="6" s="1"/>
  <c r="D195" i="6"/>
  <c r="E195" i="6" s="1"/>
  <c r="F195" i="6" s="1"/>
  <c r="C195" i="6"/>
  <c r="F193" i="6"/>
  <c r="H193" i="6" s="1"/>
  <c r="J193" i="6" s="1"/>
  <c r="L193" i="6" s="1"/>
  <c r="C193" i="6"/>
  <c r="D193" i="6" s="1"/>
  <c r="D192" i="6"/>
  <c r="E192" i="6" s="1"/>
  <c r="F192" i="6" s="1"/>
  <c r="C192" i="6"/>
  <c r="C191" i="6"/>
  <c r="D191" i="6" s="1"/>
  <c r="E191" i="6" s="1"/>
  <c r="F191" i="6" s="1"/>
  <c r="C189" i="6"/>
  <c r="D189" i="6" s="1"/>
  <c r="E189" i="6" s="1"/>
  <c r="F189" i="6" s="1"/>
  <c r="B189" i="6"/>
  <c r="H184" i="6"/>
  <c r="J184" i="6" s="1"/>
  <c r="L184" i="6" s="1"/>
  <c r="D184" i="6"/>
  <c r="E184" i="6" s="1"/>
  <c r="F184" i="6" s="1"/>
  <c r="G184" i="6" s="1"/>
  <c r="I184" i="6" s="1"/>
  <c r="K184" i="6" s="1"/>
  <c r="M184" i="6" s="1"/>
  <c r="C184" i="6"/>
  <c r="C183" i="6"/>
  <c r="D183" i="6" s="1"/>
  <c r="E183" i="6" s="1"/>
  <c r="F183" i="6" s="1"/>
  <c r="E182" i="6"/>
  <c r="F182" i="6" s="1"/>
  <c r="C182" i="6"/>
  <c r="D182" i="6" s="1"/>
  <c r="D181" i="6"/>
  <c r="E181" i="6" s="1"/>
  <c r="F181" i="6" s="1"/>
  <c r="C181" i="6"/>
  <c r="C180" i="6"/>
  <c r="D180" i="6" s="1"/>
  <c r="E180" i="6" s="1"/>
  <c r="F180" i="6" s="1"/>
  <c r="C179" i="6"/>
  <c r="D179" i="6" s="1"/>
  <c r="E179" i="6" s="1"/>
  <c r="F179" i="6" s="1"/>
  <c r="E178" i="6"/>
  <c r="F178" i="6" s="1"/>
  <c r="D178" i="6"/>
  <c r="C178" i="6"/>
  <c r="L177" i="6"/>
  <c r="H177" i="6"/>
  <c r="J177" i="6" s="1"/>
  <c r="E177" i="6"/>
  <c r="F177" i="6" s="1"/>
  <c r="G177" i="6" s="1"/>
  <c r="I177" i="6" s="1"/>
  <c r="K177" i="6" s="1"/>
  <c r="D177" i="6"/>
  <c r="C177" i="6"/>
  <c r="H176" i="6"/>
  <c r="J176" i="6" s="1"/>
  <c r="L176" i="6" s="1"/>
  <c r="D176" i="6"/>
  <c r="E176" i="6" s="1"/>
  <c r="F176" i="6" s="1"/>
  <c r="G176" i="6" s="1"/>
  <c r="I176" i="6" s="1"/>
  <c r="K176" i="6" s="1"/>
  <c r="C176" i="6"/>
  <c r="L174" i="6"/>
  <c r="H174" i="6"/>
  <c r="J174" i="6" s="1"/>
  <c r="G174" i="6"/>
  <c r="I174" i="6" s="1"/>
  <c r="K174" i="6" s="1"/>
  <c r="M174" i="6" s="1"/>
  <c r="F174" i="6"/>
  <c r="C174" i="6"/>
  <c r="D174" i="6" s="1"/>
  <c r="C173" i="6"/>
  <c r="D173" i="6" s="1"/>
  <c r="E173" i="6" s="1"/>
  <c r="F173" i="6" s="1"/>
  <c r="E172" i="6"/>
  <c r="F172" i="6" s="1"/>
  <c r="D172" i="6"/>
  <c r="C172" i="6"/>
  <c r="E164" i="6"/>
  <c r="F164" i="6" s="1"/>
  <c r="C164" i="6"/>
  <c r="D164" i="6" s="1"/>
  <c r="D163" i="6"/>
  <c r="E163" i="6" s="1"/>
  <c r="F163" i="6" s="1"/>
  <c r="G163" i="6" s="1"/>
  <c r="I163" i="6" s="1"/>
  <c r="K163" i="6" s="1"/>
  <c r="M163" i="6" s="1"/>
  <c r="C163" i="6"/>
  <c r="C162" i="6"/>
  <c r="D162" i="6" s="1"/>
  <c r="E162" i="6" s="1"/>
  <c r="F162" i="6" s="1"/>
  <c r="D161" i="6"/>
  <c r="E161" i="6" s="1"/>
  <c r="F161" i="6" s="1"/>
  <c r="C161" i="6"/>
  <c r="C160" i="6"/>
  <c r="D160" i="6" s="1"/>
  <c r="E160" i="6" s="1"/>
  <c r="F160" i="6" s="1"/>
  <c r="H160" i="6" s="1"/>
  <c r="J160" i="6" s="1"/>
  <c r="L160" i="6" s="1"/>
  <c r="F159" i="6"/>
  <c r="D159" i="6"/>
  <c r="E159" i="6" s="1"/>
  <c r="C159" i="6"/>
  <c r="C158" i="6"/>
  <c r="D158" i="6" s="1"/>
  <c r="E158" i="6" s="1"/>
  <c r="F158" i="6" s="1"/>
  <c r="H158" i="6" s="1"/>
  <c r="J158" i="6" s="1"/>
  <c r="L158" i="6" s="1"/>
  <c r="D157" i="6"/>
  <c r="E157" i="6" s="1"/>
  <c r="F157" i="6" s="1"/>
  <c r="C157" i="6"/>
  <c r="E156" i="6"/>
  <c r="F156" i="6" s="1"/>
  <c r="H156" i="6" s="1"/>
  <c r="J156" i="6" s="1"/>
  <c r="L156" i="6" s="1"/>
  <c r="C156" i="6"/>
  <c r="D156" i="6" s="1"/>
  <c r="J154" i="6"/>
  <c r="L154" i="6" s="1"/>
  <c r="H154" i="6"/>
  <c r="F154" i="6"/>
  <c r="G154" i="6" s="1"/>
  <c r="I154" i="6" s="1"/>
  <c r="K154" i="6" s="1"/>
  <c r="M154" i="6" s="1"/>
  <c r="C154" i="6"/>
  <c r="D154" i="6" s="1"/>
  <c r="F153" i="6"/>
  <c r="D153" i="6"/>
  <c r="E153" i="6" s="1"/>
  <c r="C153" i="6"/>
  <c r="C152" i="6"/>
  <c r="D152" i="6" s="1"/>
  <c r="E152" i="6" s="1"/>
  <c r="F152" i="6" s="1"/>
  <c r="F150" i="6"/>
  <c r="G150" i="6" s="1"/>
  <c r="I150" i="6" s="1"/>
  <c r="K150" i="6" s="1"/>
  <c r="D150" i="6"/>
  <c r="E150" i="6" s="1"/>
  <c r="C150" i="6"/>
  <c r="D138" i="6"/>
  <c r="E138" i="6" s="1"/>
  <c r="F138" i="6" s="1"/>
  <c r="C138" i="6"/>
  <c r="E137" i="6"/>
  <c r="F137" i="6" s="1"/>
  <c r="C137" i="6"/>
  <c r="D137" i="6" s="1"/>
  <c r="D136" i="6"/>
  <c r="E136" i="6" s="1"/>
  <c r="F136" i="6" s="1"/>
  <c r="C136" i="6"/>
  <c r="G134" i="6"/>
  <c r="I134" i="6" s="1"/>
  <c r="K134" i="6" s="1"/>
  <c r="M134" i="6" s="1"/>
  <c r="F134" i="6"/>
  <c r="H134" i="6" s="1"/>
  <c r="J134" i="6" s="1"/>
  <c r="L134" i="6" s="1"/>
  <c r="D134" i="6"/>
  <c r="C134" i="6"/>
  <c r="H133" i="6"/>
  <c r="J133" i="6" s="1"/>
  <c r="L133" i="6" s="1"/>
  <c r="G133" i="6"/>
  <c r="I133" i="6" s="1"/>
  <c r="K133" i="6" s="1"/>
  <c r="M133" i="6" s="1"/>
  <c r="E133" i="6"/>
  <c r="F133" i="6" s="1"/>
  <c r="C133" i="6"/>
  <c r="D133" i="6" s="1"/>
  <c r="H132" i="6"/>
  <c r="J132" i="6" s="1"/>
  <c r="L132" i="6" s="1"/>
  <c r="G132" i="6"/>
  <c r="I132" i="6" s="1"/>
  <c r="K132" i="6" s="1"/>
  <c r="M132" i="6" s="1"/>
  <c r="F132" i="6"/>
  <c r="C132" i="6"/>
  <c r="D132" i="6" s="1"/>
  <c r="E132" i="6" s="1"/>
  <c r="D130" i="6"/>
  <c r="E130" i="6" s="1"/>
  <c r="F130" i="6" s="1"/>
  <c r="C130" i="6"/>
  <c r="I124" i="6"/>
  <c r="K124" i="6" s="1"/>
  <c r="M124" i="6" s="1"/>
  <c r="E124" i="6"/>
  <c r="F124" i="6" s="1"/>
  <c r="G124" i="6" s="1"/>
  <c r="D124" i="6"/>
  <c r="C124" i="6"/>
  <c r="C123" i="6"/>
  <c r="D123" i="6" s="1"/>
  <c r="E123" i="6" s="1"/>
  <c r="F123" i="6" s="1"/>
  <c r="F122" i="6"/>
  <c r="H122" i="6" s="1"/>
  <c r="J122" i="6" s="1"/>
  <c r="L122" i="6" s="1"/>
  <c r="C122" i="6"/>
  <c r="D122" i="6" s="1"/>
  <c r="E122" i="6" s="1"/>
  <c r="C121" i="6"/>
  <c r="D121" i="6" s="1"/>
  <c r="E121" i="6" s="1"/>
  <c r="F121" i="6" s="1"/>
  <c r="F120" i="6"/>
  <c r="E120" i="6"/>
  <c r="D120" i="6"/>
  <c r="C120" i="6"/>
  <c r="H119" i="6"/>
  <c r="J119" i="6" s="1"/>
  <c r="L119" i="6" s="1"/>
  <c r="D119" i="6"/>
  <c r="E119" i="6" s="1"/>
  <c r="F119" i="6" s="1"/>
  <c r="G119" i="6" s="1"/>
  <c r="I119" i="6" s="1"/>
  <c r="K119" i="6" s="1"/>
  <c r="M119" i="6" s="1"/>
  <c r="C119" i="6"/>
  <c r="C118" i="6"/>
  <c r="D118" i="6" s="1"/>
  <c r="E118" i="6" s="1"/>
  <c r="F118" i="6" s="1"/>
  <c r="F117" i="6"/>
  <c r="H117" i="6" s="1"/>
  <c r="J117" i="6" s="1"/>
  <c r="L117" i="6" s="1"/>
  <c r="E117" i="6"/>
  <c r="C117" i="6"/>
  <c r="D117" i="6" s="1"/>
  <c r="J116" i="6"/>
  <c r="L116" i="6" s="1"/>
  <c r="I116" i="6"/>
  <c r="K116" i="6" s="1"/>
  <c r="H116" i="6"/>
  <c r="E116" i="6"/>
  <c r="F116" i="6" s="1"/>
  <c r="G116" i="6" s="1"/>
  <c r="D116" i="6"/>
  <c r="C116" i="6"/>
  <c r="F114" i="6"/>
  <c r="H114" i="6" s="1"/>
  <c r="J114" i="6" s="1"/>
  <c r="L114" i="6" s="1"/>
  <c r="D114" i="6"/>
  <c r="C114" i="6"/>
  <c r="D113" i="6"/>
  <c r="E113" i="6" s="1"/>
  <c r="F113" i="6" s="1"/>
  <c r="H113" i="6" s="1"/>
  <c r="J113" i="6" s="1"/>
  <c r="L113" i="6" s="1"/>
  <c r="C113" i="6"/>
  <c r="D112" i="6"/>
  <c r="E112" i="6" s="1"/>
  <c r="F112" i="6" s="1"/>
  <c r="C112" i="6"/>
  <c r="C110" i="6"/>
  <c r="D110" i="6" s="1"/>
  <c r="E110" i="6" s="1"/>
  <c r="F110" i="6" s="1"/>
  <c r="B110" i="6"/>
  <c r="C104" i="6"/>
  <c r="D104" i="6" s="1"/>
  <c r="E104" i="6" s="1"/>
  <c r="F104" i="6" s="1"/>
  <c r="C103" i="6"/>
  <c r="D103" i="6" s="1"/>
  <c r="E103" i="6" s="1"/>
  <c r="F103" i="6" s="1"/>
  <c r="E102" i="6"/>
  <c r="F102" i="6" s="1"/>
  <c r="D102" i="6"/>
  <c r="C102" i="6"/>
  <c r="I101" i="6"/>
  <c r="K101" i="6" s="1"/>
  <c r="M101" i="6" s="1"/>
  <c r="H101" i="6"/>
  <c r="J101" i="6" s="1"/>
  <c r="L101" i="6" s="1"/>
  <c r="G101" i="6"/>
  <c r="D101" i="6"/>
  <c r="E101" i="6" s="1"/>
  <c r="F101" i="6" s="1"/>
  <c r="C101" i="6"/>
  <c r="D100" i="6"/>
  <c r="E100" i="6" s="1"/>
  <c r="F100" i="6" s="1"/>
  <c r="C100" i="6"/>
  <c r="E99" i="6"/>
  <c r="F99" i="6" s="1"/>
  <c r="C99" i="6"/>
  <c r="D99" i="6" s="1"/>
  <c r="I98" i="6"/>
  <c r="K98" i="6" s="1"/>
  <c r="E98" i="6"/>
  <c r="F98" i="6" s="1"/>
  <c r="G98" i="6" s="1"/>
  <c r="D98" i="6"/>
  <c r="C98" i="6"/>
  <c r="C97" i="6"/>
  <c r="D97" i="6" s="1"/>
  <c r="E97" i="6" s="1"/>
  <c r="F97" i="6" s="1"/>
  <c r="C96" i="6"/>
  <c r="D96" i="6" s="1"/>
  <c r="E96" i="6" s="1"/>
  <c r="F96" i="6" s="1"/>
  <c r="L94" i="6"/>
  <c r="K94" i="6"/>
  <c r="M94" i="6" s="1"/>
  <c r="H94" i="6"/>
  <c r="J94" i="6" s="1"/>
  <c r="G94" i="6"/>
  <c r="I94" i="6" s="1"/>
  <c r="F94" i="6"/>
  <c r="C94" i="6"/>
  <c r="D94" i="6" s="1"/>
  <c r="E93" i="6"/>
  <c r="F93" i="6" s="1"/>
  <c r="C93" i="6"/>
  <c r="D93" i="6" s="1"/>
  <c r="E92" i="6"/>
  <c r="F92" i="6" s="1"/>
  <c r="G92" i="6" s="1"/>
  <c r="I92" i="6" s="1"/>
  <c r="K92" i="6" s="1"/>
  <c r="M92" i="6" s="1"/>
  <c r="D92" i="6"/>
  <c r="C92" i="6"/>
  <c r="E85" i="6"/>
  <c r="F85" i="6" s="1"/>
  <c r="G85" i="6" s="1"/>
  <c r="H85" i="6" s="1"/>
  <c r="I85" i="6" s="1"/>
  <c r="J85" i="6" s="1"/>
  <c r="K85" i="6" s="1"/>
  <c r="L85" i="6" s="1"/>
  <c r="M85" i="6" s="1"/>
  <c r="D85" i="6"/>
  <c r="C85" i="6"/>
  <c r="G84" i="6"/>
  <c r="H84" i="6" s="1"/>
  <c r="I84" i="6" s="1"/>
  <c r="J84" i="6" s="1"/>
  <c r="K84" i="6" s="1"/>
  <c r="L84" i="6" s="1"/>
  <c r="M84" i="6" s="1"/>
  <c r="D84" i="6"/>
  <c r="E84" i="6" s="1"/>
  <c r="F84" i="6" s="1"/>
  <c r="C84" i="6"/>
  <c r="C83" i="6"/>
  <c r="D83" i="6" s="1"/>
  <c r="E83" i="6" s="1"/>
  <c r="F83" i="6" s="1"/>
  <c r="G83" i="6" s="1"/>
  <c r="H83" i="6" s="1"/>
  <c r="I83" i="6" s="1"/>
  <c r="J83" i="6" s="1"/>
  <c r="K83" i="6" s="1"/>
  <c r="L83" i="6" s="1"/>
  <c r="M83" i="6" s="1"/>
  <c r="C82" i="6"/>
  <c r="D82" i="6" s="1"/>
  <c r="E82" i="6" s="1"/>
  <c r="F82" i="6" s="1"/>
  <c r="G82" i="6" s="1"/>
  <c r="H82" i="6" s="1"/>
  <c r="I82" i="6" s="1"/>
  <c r="J82" i="6" s="1"/>
  <c r="K82" i="6" s="1"/>
  <c r="L82" i="6" s="1"/>
  <c r="M82" i="6" s="1"/>
  <c r="H81" i="6"/>
  <c r="I81" i="6" s="1"/>
  <c r="J81" i="6" s="1"/>
  <c r="K81" i="6" s="1"/>
  <c r="L81" i="6" s="1"/>
  <c r="M81" i="6" s="1"/>
  <c r="E81" i="6"/>
  <c r="F81" i="6" s="1"/>
  <c r="G81" i="6" s="1"/>
  <c r="D81" i="6"/>
  <c r="C81" i="6"/>
  <c r="E80" i="6"/>
  <c r="F80" i="6" s="1"/>
  <c r="G80" i="6" s="1"/>
  <c r="H80" i="6" s="1"/>
  <c r="I80" i="6" s="1"/>
  <c r="J80" i="6" s="1"/>
  <c r="K80" i="6" s="1"/>
  <c r="L80" i="6" s="1"/>
  <c r="M80" i="6" s="1"/>
  <c r="D80" i="6"/>
  <c r="C80" i="6"/>
  <c r="F79" i="6"/>
  <c r="G79" i="6" s="1"/>
  <c r="H79" i="6" s="1"/>
  <c r="I79" i="6" s="1"/>
  <c r="J79" i="6" s="1"/>
  <c r="K79" i="6" s="1"/>
  <c r="L79" i="6" s="1"/>
  <c r="C79" i="6"/>
  <c r="D79" i="6" s="1"/>
  <c r="E79" i="6" s="1"/>
  <c r="C78" i="6"/>
  <c r="D78" i="6" s="1"/>
  <c r="E78" i="6" s="1"/>
  <c r="F78" i="6" s="1"/>
  <c r="G78" i="6" s="1"/>
  <c r="H78" i="6" s="1"/>
  <c r="I78" i="6" s="1"/>
  <c r="J78" i="6" s="1"/>
  <c r="K78" i="6" s="1"/>
  <c r="L78" i="6" s="1"/>
  <c r="F77" i="6"/>
  <c r="G77" i="6" s="1"/>
  <c r="H77" i="6" s="1"/>
  <c r="I77" i="6" s="1"/>
  <c r="J77" i="6" s="1"/>
  <c r="K77" i="6" s="1"/>
  <c r="L77" i="6" s="1"/>
  <c r="E77" i="6"/>
  <c r="D77" i="6"/>
  <c r="C77" i="6"/>
  <c r="C76" i="6"/>
  <c r="D76" i="6" s="1"/>
  <c r="E76" i="6" s="1"/>
  <c r="F76" i="6" s="1"/>
  <c r="C75" i="6"/>
  <c r="D75" i="6" s="1"/>
  <c r="E75" i="6" s="1"/>
  <c r="F75" i="6" s="1"/>
  <c r="G75" i="6" s="1"/>
  <c r="H75" i="6" s="1"/>
  <c r="I75" i="6" s="1"/>
  <c r="J75" i="6" s="1"/>
  <c r="K75" i="6" s="1"/>
  <c r="L75" i="6" s="1"/>
  <c r="M75" i="6" s="1"/>
  <c r="D74" i="6"/>
  <c r="E74" i="6" s="1"/>
  <c r="F74" i="6" s="1"/>
  <c r="G74" i="6" s="1"/>
  <c r="H74" i="6" s="1"/>
  <c r="I74" i="6" s="1"/>
  <c r="J74" i="6" s="1"/>
  <c r="K74" i="6" s="1"/>
  <c r="L74" i="6" s="1"/>
  <c r="M74" i="6" s="1"/>
  <c r="C74" i="6"/>
  <c r="E73" i="6"/>
  <c r="F73" i="6" s="1"/>
  <c r="G73" i="6" s="1"/>
  <c r="H73" i="6" s="1"/>
  <c r="I73" i="6" s="1"/>
  <c r="J73" i="6" s="1"/>
  <c r="K73" i="6" s="1"/>
  <c r="L73" i="6" s="1"/>
  <c r="M73" i="6" s="1"/>
  <c r="D73" i="6"/>
  <c r="C73" i="6"/>
  <c r="B71" i="6"/>
  <c r="C71" i="6" s="1"/>
  <c r="D71" i="6" s="1"/>
  <c r="E71" i="6" s="1"/>
  <c r="F71" i="6" s="1"/>
  <c r="G71" i="6" s="1"/>
  <c r="H71" i="6" s="1"/>
  <c r="I71" i="6" s="1"/>
  <c r="J71" i="6" s="1"/>
  <c r="K71" i="6" s="1"/>
  <c r="L71" i="6" s="1"/>
  <c r="M71" i="6" s="1"/>
  <c r="E62" i="6"/>
  <c r="K61" i="6"/>
  <c r="E61" i="6"/>
  <c r="E60" i="6"/>
  <c r="K59" i="6"/>
  <c r="E59" i="6"/>
  <c r="E58" i="6"/>
  <c r="K57" i="6"/>
  <c r="E57" i="6"/>
  <c r="E56" i="6"/>
  <c r="E49" i="6"/>
  <c r="K48" i="6"/>
  <c r="B229" i="6" s="1"/>
  <c r="C229" i="6" s="1"/>
  <c r="D229" i="6" s="1"/>
  <c r="E229" i="6" s="1"/>
  <c r="F229" i="6" s="1"/>
  <c r="H48" i="6"/>
  <c r="B209" i="6" s="1"/>
  <c r="C209" i="6" s="1"/>
  <c r="D209" i="6" s="1"/>
  <c r="E209" i="6" s="1"/>
  <c r="F209" i="6" s="1"/>
  <c r="B48" i="6"/>
  <c r="B170" i="6" s="1"/>
  <c r="C170" i="6" s="1"/>
  <c r="D170" i="6" s="1"/>
  <c r="E170" i="6" s="1"/>
  <c r="F170" i="6" s="1"/>
  <c r="K47" i="6"/>
  <c r="B228" i="6" s="1"/>
  <c r="H47" i="6"/>
  <c r="B208" i="6" s="1"/>
  <c r="E47" i="6"/>
  <c r="B188" i="6" s="1"/>
  <c r="B47" i="6"/>
  <c r="B169" i="6" s="1"/>
  <c r="K41" i="6"/>
  <c r="N40" i="6"/>
  <c r="K40" i="6"/>
  <c r="K39" i="6"/>
  <c r="E39" i="6"/>
  <c r="N38" i="6"/>
  <c r="K37" i="6"/>
  <c r="K36" i="6"/>
  <c r="B36" i="6"/>
  <c r="N35" i="6"/>
  <c r="K35" i="6"/>
  <c r="K33" i="6"/>
  <c r="K34" i="6" s="1"/>
  <c r="K32" i="6"/>
  <c r="K28" i="6"/>
  <c r="E28" i="6"/>
  <c r="N27" i="6"/>
  <c r="N28" i="6" s="1"/>
  <c r="K27" i="6"/>
  <c r="H27" i="6"/>
  <c r="H28" i="6" s="1"/>
  <c r="E27" i="6"/>
  <c r="B90" i="6" s="1"/>
  <c r="C90" i="6" s="1"/>
  <c r="D90" i="6" s="1"/>
  <c r="E90" i="6" s="1"/>
  <c r="F90" i="6" s="1"/>
  <c r="N26" i="6"/>
  <c r="B149" i="6" s="1"/>
  <c r="C149" i="6" s="1"/>
  <c r="D149" i="6" s="1"/>
  <c r="E149" i="6" s="1"/>
  <c r="F149" i="6" s="1"/>
  <c r="K26" i="6"/>
  <c r="H26" i="6"/>
  <c r="B109" i="6" s="1"/>
  <c r="E26" i="6"/>
  <c r="B89" i="6" s="1"/>
  <c r="C89" i="6" s="1"/>
  <c r="D89" i="6" s="1"/>
  <c r="E89" i="6" s="1"/>
  <c r="F89" i="6" s="1"/>
  <c r="B26" i="6"/>
  <c r="B39" i="6" s="1"/>
  <c r="M25" i="6"/>
  <c r="J25" i="6"/>
  <c r="G25" i="6"/>
  <c r="F50" i="9" l="1"/>
  <c r="F5" i="9"/>
  <c r="F8" i="9" s="1"/>
  <c r="F16" i="9" s="1"/>
  <c r="F26" i="9" s="1"/>
  <c r="E16" i="8"/>
  <c r="L18" i="8"/>
  <c r="K18" i="8"/>
  <c r="R18" i="8"/>
  <c r="J18" i="8"/>
  <c r="Q18" i="8"/>
  <c r="I18" i="8"/>
  <c r="P18" i="8"/>
  <c r="H18" i="8"/>
  <c r="F18" i="8"/>
  <c r="F26" i="8" s="1"/>
  <c r="O18" i="8"/>
  <c r="E18" i="8"/>
  <c r="M18" i="8"/>
  <c r="G18" i="8"/>
  <c r="G26" i="8" s="1"/>
  <c r="N18" i="8"/>
  <c r="H5" i="8"/>
  <c r="H8" i="8" s="1"/>
  <c r="H16" i="8" s="1"/>
  <c r="H26" i="8" s="1"/>
  <c r="H50" i="8"/>
  <c r="D26" i="8"/>
  <c r="N32" i="6"/>
  <c r="N33" i="6"/>
  <c r="N34" i="6" s="1"/>
  <c r="G89" i="6"/>
  <c r="I89" i="6" s="1"/>
  <c r="K89" i="6" s="1"/>
  <c r="H89" i="6"/>
  <c r="J89" i="6" s="1"/>
  <c r="L89" i="6" s="1"/>
  <c r="M89" i="6" s="1"/>
  <c r="H118" i="6"/>
  <c r="J118" i="6" s="1"/>
  <c r="L118" i="6" s="1"/>
  <c r="G118" i="6"/>
  <c r="I118" i="6" s="1"/>
  <c r="K118" i="6" s="1"/>
  <c r="H99" i="6"/>
  <c r="J99" i="6" s="1"/>
  <c r="L99" i="6" s="1"/>
  <c r="G99" i="6"/>
  <c r="I99" i="6" s="1"/>
  <c r="K99" i="6" s="1"/>
  <c r="M99" i="6" s="1"/>
  <c r="H130" i="6"/>
  <c r="J130" i="6" s="1"/>
  <c r="L130" i="6" s="1"/>
  <c r="M130" i="6" s="1"/>
  <c r="G130" i="6"/>
  <c r="I130" i="6" s="1"/>
  <c r="K130" i="6" s="1"/>
  <c r="H96" i="6"/>
  <c r="J96" i="6" s="1"/>
  <c r="L96" i="6" s="1"/>
  <c r="G96" i="6"/>
  <c r="I96" i="6" s="1"/>
  <c r="K96" i="6" s="1"/>
  <c r="H93" i="6"/>
  <c r="J93" i="6" s="1"/>
  <c r="L93" i="6" s="1"/>
  <c r="G93" i="6"/>
  <c r="I93" i="6" s="1"/>
  <c r="K93" i="6" s="1"/>
  <c r="M93" i="6" s="1"/>
  <c r="H97" i="6"/>
  <c r="J97" i="6" s="1"/>
  <c r="L97" i="6" s="1"/>
  <c r="G97" i="6"/>
  <c r="I97" i="6" s="1"/>
  <c r="K97" i="6" s="1"/>
  <c r="H102" i="6"/>
  <c r="J102" i="6" s="1"/>
  <c r="L102" i="6" s="1"/>
  <c r="G102" i="6"/>
  <c r="I102" i="6" s="1"/>
  <c r="K102" i="6" s="1"/>
  <c r="M102" i="6" s="1"/>
  <c r="H123" i="6"/>
  <c r="J123" i="6" s="1"/>
  <c r="L123" i="6" s="1"/>
  <c r="G123" i="6"/>
  <c r="I123" i="6" s="1"/>
  <c r="K123" i="6" s="1"/>
  <c r="M123" i="6" s="1"/>
  <c r="G138" i="6"/>
  <c r="I138" i="6" s="1"/>
  <c r="K138" i="6" s="1"/>
  <c r="H138" i="6"/>
  <c r="J138" i="6" s="1"/>
  <c r="L138" i="6" s="1"/>
  <c r="H90" i="6"/>
  <c r="J90" i="6" s="1"/>
  <c r="L90" i="6" s="1"/>
  <c r="M90" i="6" s="1"/>
  <c r="G90" i="6"/>
  <c r="I90" i="6" s="1"/>
  <c r="K90" i="6" s="1"/>
  <c r="H32" i="6"/>
  <c r="H42" i="6" s="1"/>
  <c r="H43" i="6" s="1"/>
  <c r="H33" i="6"/>
  <c r="H34" i="6" s="1"/>
  <c r="H104" i="6"/>
  <c r="J104" i="6" s="1"/>
  <c r="L104" i="6" s="1"/>
  <c r="G104" i="6"/>
  <c r="I104" i="6" s="1"/>
  <c r="K104" i="6" s="1"/>
  <c r="M104" i="6" s="1"/>
  <c r="G242" i="6"/>
  <c r="I242" i="6" s="1"/>
  <c r="K242" i="6" s="1"/>
  <c r="M242" i="6" s="1"/>
  <c r="H242" i="6"/>
  <c r="J242" i="6" s="1"/>
  <c r="L242" i="6" s="1"/>
  <c r="B139" i="6"/>
  <c r="C139" i="6" s="1"/>
  <c r="D139" i="6" s="1"/>
  <c r="E139" i="6" s="1"/>
  <c r="F139" i="6" s="1"/>
  <c r="B141" i="6"/>
  <c r="C141" i="6" s="1"/>
  <c r="D141" i="6" s="1"/>
  <c r="E141" i="6" s="1"/>
  <c r="F141" i="6" s="1"/>
  <c r="B140" i="6"/>
  <c r="C140" i="6" s="1"/>
  <c r="D140" i="6" s="1"/>
  <c r="E140" i="6" s="1"/>
  <c r="F140" i="6" s="1"/>
  <c r="B142" i="6"/>
  <c r="C142" i="6" s="1"/>
  <c r="D142" i="6" s="1"/>
  <c r="E142" i="6" s="1"/>
  <c r="F142" i="6" s="1"/>
  <c r="B129" i="6"/>
  <c r="E36" i="6"/>
  <c r="N37" i="6"/>
  <c r="H39" i="6"/>
  <c r="B41" i="6"/>
  <c r="C188" i="6"/>
  <c r="D188" i="6" s="1"/>
  <c r="E188" i="6" s="1"/>
  <c r="F188" i="6" s="1"/>
  <c r="B190" i="6"/>
  <c r="H49" i="6"/>
  <c r="H56" i="6"/>
  <c r="H58" i="6"/>
  <c r="H60" i="6"/>
  <c r="H62" i="6"/>
  <c r="H92" i="6"/>
  <c r="J92" i="6" s="1"/>
  <c r="L92" i="6" s="1"/>
  <c r="G113" i="6"/>
  <c r="I113" i="6" s="1"/>
  <c r="K113" i="6" s="1"/>
  <c r="M113" i="6" s="1"/>
  <c r="H162" i="6"/>
  <c r="J162" i="6" s="1"/>
  <c r="L162" i="6" s="1"/>
  <c r="G162" i="6"/>
  <c r="I162" i="6" s="1"/>
  <c r="K162" i="6" s="1"/>
  <c r="M162" i="6" s="1"/>
  <c r="H149" i="6"/>
  <c r="J149" i="6" s="1"/>
  <c r="L149" i="6" s="1"/>
  <c r="M149" i="6" s="1"/>
  <c r="G149" i="6"/>
  <c r="I149" i="6" s="1"/>
  <c r="K149" i="6" s="1"/>
  <c r="E33" i="6"/>
  <c r="E34" i="6" s="1"/>
  <c r="H36" i="6"/>
  <c r="B38" i="6"/>
  <c r="E41" i="6"/>
  <c r="B210" i="6"/>
  <c r="C208" i="6"/>
  <c r="D208" i="6" s="1"/>
  <c r="E208" i="6" s="1"/>
  <c r="F208" i="6" s="1"/>
  <c r="K49" i="6"/>
  <c r="K56" i="6"/>
  <c r="K58" i="6"/>
  <c r="K60" i="6"/>
  <c r="K62" i="6"/>
  <c r="H110" i="6"/>
  <c r="J110" i="6" s="1"/>
  <c r="L110" i="6" s="1"/>
  <c r="M110" i="6" s="1"/>
  <c r="G110" i="6"/>
  <c r="I110" i="6" s="1"/>
  <c r="K110" i="6" s="1"/>
  <c r="B151" i="6"/>
  <c r="C109" i="6"/>
  <c r="D109" i="6" s="1"/>
  <c r="E109" i="6" s="1"/>
  <c r="F109" i="6" s="1"/>
  <c r="B111" i="6"/>
  <c r="B35" i="6"/>
  <c r="E38" i="6"/>
  <c r="N39" i="6"/>
  <c r="H41" i="6"/>
  <c r="C228" i="6"/>
  <c r="D228" i="6" s="1"/>
  <c r="E228" i="6" s="1"/>
  <c r="F228" i="6" s="1"/>
  <c r="B230" i="6"/>
  <c r="B57" i="6"/>
  <c r="B59" i="6"/>
  <c r="B61" i="6"/>
  <c r="B70" i="6"/>
  <c r="H112" i="6"/>
  <c r="J112" i="6" s="1"/>
  <c r="L112" i="6" s="1"/>
  <c r="G112" i="6"/>
  <c r="I112" i="6" s="1"/>
  <c r="K112" i="6" s="1"/>
  <c r="M112" i="6" s="1"/>
  <c r="H120" i="6"/>
  <c r="J120" i="6" s="1"/>
  <c r="L120" i="6" s="1"/>
  <c r="G120" i="6"/>
  <c r="I120" i="6" s="1"/>
  <c r="K120" i="6" s="1"/>
  <c r="M120" i="6" s="1"/>
  <c r="G136" i="6"/>
  <c r="I136" i="6" s="1"/>
  <c r="K136" i="6" s="1"/>
  <c r="H136" i="6"/>
  <c r="J136" i="6" s="1"/>
  <c r="L136" i="6" s="1"/>
  <c r="G157" i="6"/>
  <c r="I157" i="6" s="1"/>
  <c r="K157" i="6" s="1"/>
  <c r="H157" i="6"/>
  <c r="J157" i="6" s="1"/>
  <c r="L157" i="6" s="1"/>
  <c r="E54" i="6"/>
  <c r="E55" i="6" s="1"/>
  <c r="E35" i="6"/>
  <c r="N36" i="6"/>
  <c r="H38" i="6"/>
  <c r="B40" i="6"/>
  <c r="G170" i="6"/>
  <c r="I170" i="6" s="1"/>
  <c r="K170" i="6" s="1"/>
  <c r="H170" i="6"/>
  <c r="J170" i="6" s="1"/>
  <c r="L170" i="6" s="1"/>
  <c r="M170" i="6" s="1"/>
  <c r="E53" i="6"/>
  <c r="E63" i="6" s="1"/>
  <c r="E64" i="6" s="1"/>
  <c r="G117" i="6"/>
  <c r="I117" i="6" s="1"/>
  <c r="K117" i="6" s="1"/>
  <c r="G122" i="6"/>
  <c r="I122" i="6" s="1"/>
  <c r="K122" i="6" s="1"/>
  <c r="M122" i="6" s="1"/>
  <c r="G160" i="6"/>
  <c r="I160" i="6" s="1"/>
  <c r="K160" i="6" s="1"/>
  <c r="M160" i="6" s="1"/>
  <c r="H219" i="6"/>
  <c r="J219" i="6" s="1"/>
  <c r="L219" i="6" s="1"/>
  <c r="G219" i="6"/>
  <c r="I219" i="6" s="1"/>
  <c r="K219" i="6" s="1"/>
  <c r="M219" i="6" s="1"/>
  <c r="E32" i="6"/>
  <c r="E42" i="6" s="1"/>
  <c r="E43" i="6" s="1"/>
  <c r="H35" i="6"/>
  <c r="B37" i="6"/>
  <c r="K38" i="6"/>
  <c r="K42" i="6" s="1"/>
  <c r="K43" i="6" s="1"/>
  <c r="E40" i="6"/>
  <c r="N41" i="6"/>
  <c r="H209" i="6"/>
  <c r="J209" i="6" s="1"/>
  <c r="L209" i="6" s="1"/>
  <c r="M209" i="6" s="1"/>
  <c r="G209" i="6"/>
  <c r="I209" i="6" s="1"/>
  <c r="K209" i="6" s="1"/>
  <c r="H57" i="6"/>
  <c r="H59" i="6"/>
  <c r="H61" i="6"/>
  <c r="B143" i="6"/>
  <c r="C143" i="6" s="1"/>
  <c r="D143" i="6" s="1"/>
  <c r="E143" i="6" s="1"/>
  <c r="F143" i="6" s="1"/>
  <c r="H152" i="6"/>
  <c r="J152" i="6" s="1"/>
  <c r="L152" i="6" s="1"/>
  <c r="G152" i="6"/>
  <c r="I152" i="6" s="1"/>
  <c r="K152" i="6" s="1"/>
  <c r="M152" i="6" s="1"/>
  <c r="G158" i="6"/>
  <c r="I158" i="6" s="1"/>
  <c r="K158" i="6" s="1"/>
  <c r="C169" i="6"/>
  <c r="D169" i="6" s="1"/>
  <c r="E169" i="6" s="1"/>
  <c r="F169" i="6" s="1"/>
  <c r="B171" i="6"/>
  <c r="H100" i="6"/>
  <c r="J100" i="6" s="1"/>
  <c r="L100" i="6" s="1"/>
  <c r="G100" i="6"/>
  <c r="I100" i="6" s="1"/>
  <c r="K100" i="6" s="1"/>
  <c r="M100" i="6" s="1"/>
  <c r="E37" i="6"/>
  <c r="H40" i="6"/>
  <c r="H229" i="6"/>
  <c r="J229" i="6" s="1"/>
  <c r="L229" i="6" s="1"/>
  <c r="M229" i="6" s="1"/>
  <c r="G229" i="6"/>
  <c r="I229" i="6" s="1"/>
  <c r="K229" i="6" s="1"/>
  <c r="H121" i="6"/>
  <c r="J121" i="6" s="1"/>
  <c r="L121" i="6" s="1"/>
  <c r="G121" i="6"/>
  <c r="I121" i="6" s="1"/>
  <c r="K121" i="6" s="1"/>
  <c r="M121" i="6" s="1"/>
  <c r="H137" i="6"/>
  <c r="J137" i="6" s="1"/>
  <c r="L137" i="6" s="1"/>
  <c r="G137" i="6"/>
  <c r="I137" i="6" s="1"/>
  <c r="K137" i="6" s="1"/>
  <c r="B144" i="6"/>
  <c r="C144" i="6" s="1"/>
  <c r="D144" i="6" s="1"/>
  <c r="E144" i="6" s="1"/>
  <c r="F144" i="6" s="1"/>
  <c r="H164" i="6"/>
  <c r="J164" i="6" s="1"/>
  <c r="L164" i="6" s="1"/>
  <c r="G164" i="6"/>
  <c r="I164" i="6" s="1"/>
  <c r="K164" i="6" s="1"/>
  <c r="M164" i="6" s="1"/>
  <c r="H195" i="6"/>
  <c r="J195" i="6" s="1"/>
  <c r="L195" i="6" s="1"/>
  <c r="G195" i="6"/>
  <c r="I195" i="6" s="1"/>
  <c r="K195" i="6" s="1"/>
  <c r="H200" i="6"/>
  <c r="J200" i="6" s="1"/>
  <c r="L200" i="6" s="1"/>
  <c r="G200" i="6"/>
  <c r="I200" i="6" s="1"/>
  <c r="K200" i="6" s="1"/>
  <c r="M200" i="6" s="1"/>
  <c r="H191" i="6"/>
  <c r="J191" i="6" s="1"/>
  <c r="L191" i="6" s="1"/>
  <c r="G191" i="6"/>
  <c r="I191" i="6" s="1"/>
  <c r="K191" i="6" s="1"/>
  <c r="M191" i="6" s="1"/>
  <c r="B91" i="6"/>
  <c r="M98" i="6"/>
  <c r="B28" i="6"/>
  <c r="H37" i="6"/>
  <c r="B49" i="6"/>
  <c r="B56" i="6"/>
  <c r="B58" i="6"/>
  <c r="B60" i="6"/>
  <c r="B62" i="6"/>
  <c r="H98" i="6"/>
  <c r="J98" i="6" s="1"/>
  <c r="L98" i="6" s="1"/>
  <c r="H103" i="6"/>
  <c r="J103" i="6" s="1"/>
  <c r="L103" i="6" s="1"/>
  <c r="G103" i="6"/>
  <c r="I103" i="6" s="1"/>
  <c r="K103" i="6" s="1"/>
  <c r="M103" i="6" s="1"/>
  <c r="G114" i="6"/>
  <c r="I114" i="6" s="1"/>
  <c r="K114" i="6" s="1"/>
  <c r="M114" i="6" s="1"/>
  <c r="H124" i="6"/>
  <c r="J124" i="6" s="1"/>
  <c r="L124" i="6" s="1"/>
  <c r="M158" i="6"/>
  <c r="G161" i="6"/>
  <c r="I161" i="6" s="1"/>
  <c r="K161" i="6" s="1"/>
  <c r="M161" i="6" s="1"/>
  <c r="H161" i="6"/>
  <c r="J161" i="6" s="1"/>
  <c r="L161" i="6" s="1"/>
  <c r="G181" i="6"/>
  <c r="I181" i="6" s="1"/>
  <c r="K181" i="6" s="1"/>
  <c r="M181" i="6" s="1"/>
  <c r="H181" i="6"/>
  <c r="J181" i="6" s="1"/>
  <c r="L181" i="6" s="1"/>
  <c r="H189" i="6"/>
  <c r="J189" i="6" s="1"/>
  <c r="L189" i="6" s="1"/>
  <c r="M189" i="6" s="1"/>
  <c r="G189" i="6"/>
  <c r="I189" i="6" s="1"/>
  <c r="K189" i="6" s="1"/>
  <c r="G182" i="6"/>
  <c r="I182" i="6" s="1"/>
  <c r="K182" i="6" s="1"/>
  <c r="M182" i="6" s="1"/>
  <c r="H182" i="6"/>
  <c r="J182" i="6" s="1"/>
  <c r="L182" i="6" s="1"/>
  <c r="H153" i="6"/>
  <c r="J153" i="6" s="1"/>
  <c r="L153" i="6" s="1"/>
  <c r="G153" i="6"/>
  <c r="I153" i="6" s="1"/>
  <c r="K153" i="6" s="1"/>
  <c r="M153" i="6" s="1"/>
  <c r="H172" i="6"/>
  <c r="J172" i="6" s="1"/>
  <c r="L172" i="6" s="1"/>
  <c r="G172" i="6"/>
  <c r="I172" i="6" s="1"/>
  <c r="K172" i="6" s="1"/>
  <c r="M172" i="6" s="1"/>
  <c r="H183" i="6"/>
  <c r="J183" i="6" s="1"/>
  <c r="L183" i="6" s="1"/>
  <c r="G183" i="6"/>
  <c r="I183" i="6" s="1"/>
  <c r="K183" i="6" s="1"/>
  <c r="M183" i="6" s="1"/>
  <c r="G192" i="6"/>
  <c r="I192" i="6" s="1"/>
  <c r="K192" i="6" s="1"/>
  <c r="M192" i="6" s="1"/>
  <c r="H192" i="6"/>
  <c r="J192" i="6" s="1"/>
  <c r="L192" i="6" s="1"/>
  <c r="H197" i="6"/>
  <c r="J197" i="6" s="1"/>
  <c r="L197" i="6" s="1"/>
  <c r="G197" i="6"/>
  <c r="I197" i="6" s="1"/>
  <c r="K197" i="6" s="1"/>
  <c r="H223" i="6"/>
  <c r="J223" i="6" s="1"/>
  <c r="L223" i="6" s="1"/>
  <c r="G223" i="6"/>
  <c r="I223" i="6" s="1"/>
  <c r="K223" i="6" s="1"/>
  <c r="M223" i="6" s="1"/>
  <c r="H159" i="6"/>
  <c r="J159" i="6" s="1"/>
  <c r="L159" i="6" s="1"/>
  <c r="G159" i="6"/>
  <c r="I159" i="6" s="1"/>
  <c r="K159" i="6" s="1"/>
  <c r="M159" i="6" s="1"/>
  <c r="H173" i="6"/>
  <c r="J173" i="6" s="1"/>
  <c r="L173" i="6" s="1"/>
  <c r="G173" i="6"/>
  <c r="I173" i="6" s="1"/>
  <c r="K173" i="6" s="1"/>
  <c r="M173" i="6" s="1"/>
  <c r="H178" i="6"/>
  <c r="J178" i="6" s="1"/>
  <c r="L178" i="6" s="1"/>
  <c r="G178" i="6"/>
  <c r="I178" i="6" s="1"/>
  <c r="K178" i="6" s="1"/>
  <c r="G198" i="6"/>
  <c r="I198" i="6" s="1"/>
  <c r="K198" i="6" s="1"/>
  <c r="M198" i="6" s="1"/>
  <c r="H198" i="6"/>
  <c r="J198" i="6" s="1"/>
  <c r="L198" i="6" s="1"/>
  <c r="H231" i="6"/>
  <c r="J231" i="6" s="1"/>
  <c r="L231" i="6" s="1"/>
  <c r="G231" i="6"/>
  <c r="I231" i="6" s="1"/>
  <c r="K231" i="6" s="1"/>
  <c r="M231" i="6" s="1"/>
  <c r="G235" i="6"/>
  <c r="I235" i="6" s="1"/>
  <c r="K235" i="6" s="1"/>
  <c r="H235" i="6"/>
  <c r="J235" i="6" s="1"/>
  <c r="L235" i="6" s="1"/>
  <c r="H150" i="6"/>
  <c r="J150" i="6" s="1"/>
  <c r="L150" i="6" s="1"/>
  <c r="M150" i="6" s="1"/>
  <c r="G156" i="6"/>
  <c r="I156" i="6" s="1"/>
  <c r="K156" i="6" s="1"/>
  <c r="H163" i="6"/>
  <c r="J163" i="6" s="1"/>
  <c r="L163" i="6" s="1"/>
  <c r="H179" i="6"/>
  <c r="J179" i="6" s="1"/>
  <c r="L179" i="6" s="1"/>
  <c r="G179" i="6"/>
  <c r="I179" i="6" s="1"/>
  <c r="K179" i="6" s="1"/>
  <c r="M179" i="6" s="1"/>
  <c r="G199" i="6"/>
  <c r="I199" i="6" s="1"/>
  <c r="K199" i="6" s="1"/>
  <c r="M199" i="6" s="1"/>
  <c r="H199" i="6"/>
  <c r="J199" i="6" s="1"/>
  <c r="L199" i="6" s="1"/>
  <c r="H239" i="6"/>
  <c r="J239" i="6" s="1"/>
  <c r="L239" i="6" s="1"/>
  <c r="G239" i="6"/>
  <c r="I239" i="6" s="1"/>
  <c r="K239" i="6" s="1"/>
  <c r="M239" i="6" s="1"/>
  <c r="H180" i="6"/>
  <c r="J180" i="6" s="1"/>
  <c r="L180" i="6" s="1"/>
  <c r="G180" i="6"/>
  <c r="I180" i="6" s="1"/>
  <c r="K180" i="6" s="1"/>
  <c r="M180" i="6" s="1"/>
  <c r="H240" i="6"/>
  <c r="J240" i="6" s="1"/>
  <c r="L240" i="6" s="1"/>
  <c r="G240" i="6"/>
  <c r="I240" i="6" s="1"/>
  <c r="K240" i="6" s="1"/>
  <c r="M240" i="6" s="1"/>
  <c r="H203" i="6"/>
  <c r="J203" i="6" s="1"/>
  <c r="L203" i="6" s="1"/>
  <c r="G203" i="6"/>
  <c r="I203" i="6" s="1"/>
  <c r="K203" i="6" s="1"/>
  <c r="M203" i="6" s="1"/>
  <c r="H236" i="6"/>
  <c r="J236" i="6" s="1"/>
  <c r="L236" i="6" s="1"/>
  <c r="G236" i="6"/>
  <c r="I236" i="6" s="1"/>
  <c r="K236" i="6" s="1"/>
  <c r="G216" i="6"/>
  <c r="I216" i="6" s="1"/>
  <c r="K216" i="6" s="1"/>
  <c r="H216" i="6"/>
  <c r="J216" i="6" s="1"/>
  <c r="L216" i="6" s="1"/>
  <c r="H221" i="6"/>
  <c r="J221" i="6" s="1"/>
  <c r="L221" i="6" s="1"/>
  <c r="G221" i="6"/>
  <c r="I221" i="6" s="1"/>
  <c r="K221" i="6" s="1"/>
  <c r="M221" i="6" s="1"/>
  <c r="H222" i="6"/>
  <c r="J222" i="6" s="1"/>
  <c r="L222" i="6" s="1"/>
  <c r="G222" i="6"/>
  <c r="I222" i="6" s="1"/>
  <c r="K222" i="6" s="1"/>
  <c r="M222" i="6" s="1"/>
  <c r="H211" i="6"/>
  <c r="J211" i="6" s="1"/>
  <c r="L211" i="6" s="1"/>
  <c r="G212" i="6"/>
  <c r="I212" i="6" s="1"/>
  <c r="K212" i="6" s="1"/>
  <c r="M212" i="6" s="1"/>
  <c r="H217" i="6"/>
  <c r="J217" i="6" s="1"/>
  <c r="L217" i="6" s="1"/>
  <c r="G218" i="6"/>
  <c r="I218" i="6" s="1"/>
  <c r="K218" i="6" s="1"/>
  <c r="M218" i="6" s="1"/>
  <c r="G233" i="6"/>
  <c r="I233" i="6" s="1"/>
  <c r="K233" i="6" s="1"/>
  <c r="M233" i="6" s="1"/>
  <c r="G193" i="6"/>
  <c r="I193" i="6" s="1"/>
  <c r="K193" i="6" s="1"/>
  <c r="M193" i="6" s="1"/>
  <c r="G196" i="6"/>
  <c r="I196" i="6" s="1"/>
  <c r="K196" i="6" s="1"/>
  <c r="G202" i="6"/>
  <c r="I202" i="6" s="1"/>
  <c r="K202" i="6" s="1"/>
  <c r="M202" i="6" s="1"/>
  <c r="G238" i="6"/>
  <c r="I238" i="6" s="1"/>
  <c r="K238" i="6" s="1"/>
  <c r="M238" i="6" s="1"/>
  <c r="G201" i="6"/>
  <c r="I201" i="6" s="1"/>
  <c r="K201" i="6" s="1"/>
  <c r="M201" i="6" s="1"/>
  <c r="G215" i="6"/>
  <c r="I215" i="6" s="1"/>
  <c r="K215" i="6" s="1"/>
  <c r="G237" i="6"/>
  <c r="I237" i="6" s="1"/>
  <c r="K237" i="6" s="1"/>
  <c r="G241" i="6"/>
  <c r="I241" i="6" s="1"/>
  <c r="K241" i="6" s="1"/>
  <c r="M241" i="6" s="1"/>
  <c r="G50" i="9" l="1"/>
  <c r="G5" i="9"/>
  <c r="G8" i="9" s="1"/>
  <c r="G16" i="9" s="1"/>
  <c r="G26" i="9" s="1"/>
  <c r="E26" i="8"/>
  <c r="I5" i="8"/>
  <c r="I8" i="8" s="1"/>
  <c r="I16" i="8" s="1"/>
  <c r="I26" i="8" s="1"/>
  <c r="I50" i="8"/>
  <c r="G143" i="6"/>
  <c r="I143" i="6" s="1"/>
  <c r="K143" i="6" s="1"/>
  <c r="M143" i="6" s="1"/>
  <c r="H143" i="6"/>
  <c r="J143" i="6" s="1"/>
  <c r="L143" i="6" s="1"/>
  <c r="H63" i="6"/>
  <c r="H64" i="6" s="1"/>
  <c r="H53" i="6"/>
  <c r="H54" i="6"/>
  <c r="H55" i="6" s="1"/>
  <c r="C129" i="6"/>
  <c r="D129" i="6" s="1"/>
  <c r="E129" i="6" s="1"/>
  <c r="F129" i="6" s="1"/>
  <c r="B131" i="6"/>
  <c r="B72" i="6"/>
  <c r="C70" i="6"/>
  <c r="D70" i="6" s="1"/>
  <c r="E70" i="6" s="1"/>
  <c r="F70" i="6" s="1"/>
  <c r="G70" i="6" s="1"/>
  <c r="H70" i="6" s="1"/>
  <c r="I70" i="6" s="1"/>
  <c r="J70" i="6" s="1"/>
  <c r="K70" i="6" s="1"/>
  <c r="L70" i="6" s="1"/>
  <c r="M70" i="6" s="1"/>
  <c r="B224" i="6"/>
  <c r="C210" i="6"/>
  <c r="B204" i="6"/>
  <c r="C190" i="6"/>
  <c r="G142" i="6"/>
  <c r="I142" i="6" s="1"/>
  <c r="K142" i="6" s="1"/>
  <c r="M142" i="6" s="1"/>
  <c r="H142" i="6"/>
  <c r="J142" i="6" s="1"/>
  <c r="L142" i="6" s="1"/>
  <c r="B54" i="6"/>
  <c r="B55" i="6" s="1"/>
  <c r="B53" i="6"/>
  <c r="B63" i="6" s="1"/>
  <c r="B64" i="6" s="1"/>
  <c r="H188" i="6"/>
  <c r="J188" i="6" s="1"/>
  <c r="L188" i="6" s="1"/>
  <c r="M188" i="6" s="1"/>
  <c r="G188" i="6"/>
  <c r="I188" i="6" s="1"/>
  <c r="K188" i="6" s="1"/>
  <c r="G140" i="6"/>
  <c r="I140" i="6" s="1"/>
  <c r="K140" i="6" s="1"/>
  <c r="M140" i="6" s="1"/>
  <c r="H140" i="6"/>
  <c r="J140" i="6" s="1"/>
  <c r="L140" i="6" s="1"/>
  <c r="B185" i="6"/>
  <c r="C171" i="6"/>
  <c r="M197" i="6"/>
  <c r="G141" i="6"/>
  <c r="I141" i="6" s="1"/>
  <c r="K141" i="6" s="1"/>
  <c r="M141" i="6" s="1"/>
  <c r="H141" i="6"/>
  <c r="J141" i="6" s="1"/>
  <c r="L141" i="6" s="1"/>
  <c r="B32" i="6"/>
  <c r="B33" i="6"/>
  <c r="B34" i="6" s="1"/>
  <c r="H169" i="6"/>
  <c r="J169" i="6" s="1"/>
  <c r="L169" i="6" s="1"/>
  <c r="M169" i="6" s="1"/>
  <c r="G169" i="6"/>
  <c r="H139" i="6"/>
  <c r="J139" i="6" s="1"/>
  <c r="L139" i="6" s="1"/>
  <c r="G139" i="6"/>
  <c r="I139" i="6" s="1"/>
  <c r="K139" i="6" s="1"/>
  <c r="M139" i="6" s="1"/>
  <c r="B244" i="6"/>
  <c r="C230" i="6"/>
  <c r="B125" i="6"/>
  <c r="C111" i="6"/>
  <c r="N42" i="6"/>
  <c r="N43" i="6" s="1"/>
  <c r="B105" i="6"/>
  <c r="C91" i="6"/>
  <c r="H109" i="6"/>
  <c r="J109" i="6" s="1"/>
  <c r="L109" i="6" s="1"/>
  <c r="M109" i="6" s="1"/>
  <c r="G109" i="6"/>
  <c r="I109" i="6" s="1"/>
  <c r="K109" i="6" s="1"/>
  <c r="K63" i="6"/>
  <c r="K64" i="6" s="1"/>
  <c r="K53" i="6"/>
  <c r="K54" i="6"/>
  <c r="K55" i="6" s="1"/>
  <c r="G144" i="6"/>
  <c r="I144" i="6" s="1"/>
  <c r="K144" i="6" s="1"/>
  <c r="M144" i="6" s="1"/>
  <c r="H144" i="6"/>
  <c r="J144" i="6" s="1"/>
  <c r="L144" i="6" s="1"/>
  <c r="H228" i="6"/>
  <c r="J228" i="6" s="1"/>
  <c r="L228" i="6" s="1"/>
  <c r="M228" i="6" s="1"/>
  <c r="G228" i="6"/>
  <c r="B165" i="6"/>
  <c r="C151" i="6"/>
  <c r="G208" i="6"/>
  <c r="H208" i="6"/>
  <c r="J208" i="6" s="1"/>
  <c r="L208" i="6" s="1"/>
  <c r="M208" i="6" s="1"/>
  <c r="H50" i="9" l="1"/>
  <c r="H5" i="9"/>
  <c r="H8" i="9" s="1"/>
  <c r="H16" i="9" s="1"/>
  <c r="H26" i="9" s="1"/>
  <c r="J5" i="8"/>
  <c r="J8" i="8" s="1"/>
  <c r="J16" i="8" s="1"/>
  <c r="J26" i="8" s="1"/>
  <c r="J50" i="8"/>
  <c r="B145" i="6"/>
  <c r="C131" i="6"/>
  <c r="G129" i="6"/>
  <c r="I129" i="6" s="1"/>
  <c r="K129" i="6" s="1"/>
  <c r="H129" i="6"/>
  <c r="J129" i="6" s="1"/>
  <c r="L129" i="6" s="1"/>
  <c r="M129" i="6" s="1"/>
  <c r="I208" i="6"/>
  <c r="K208" i="6" s="1"/>
  <c r="M217" i="6" s="1"/>
  <c r="D91" i="6"/>
  <c r="C105" i="6"/>
  <c r="I169" i="6"/>
  <c r="K169" i="6" s="1"/>
  <c r="D171" i="6"/>
  <c r="C185" i="6"/>
  <c r="C224" i="6"/>
  <c r="D210" i="6"/>
  <c r="C244" i="6"/>
  <c r="D230" i="6"/>
  <c r="C165" i="6"/>
  <c r="D151" i="6"/>
  <c r="B42" i="6"/>
  <c r="B43" i="6" s="1"/>
  <c r="C204" i="6"/>
  <c r="D190" i="6"/>
  <c r="B86" i="6"/>
  <c r="C72" i="6"/>
  <c r="I228" i="6"/>
  <c r="K228" i="6" s="1"/>
  <c r="M237" i="6"/>
  <c r="C125" i="6"/>
  <c r="D111" i="6"/>
  <c r="M118" i="6"/>
  <c r="M79" i="6"/>
  <c r="I50" i="9" l="1"/>
  <c r="I5" i="9"/>
  <c r="I8" i="9" s="1"/>
  <c r="I16" i="9" s="1"/>
  <c r="I26" i="9" s="1"/>
  <c r="K50" i="8"/>
  <c r="K5" i="8"/>
  <c r="K8" i="8" s="1"/>
  <c r="K16" i="8" s="1"/>
  <c r="K26" i="8" s="1"/>
  <c r="C86" i="6"/>
  <c r="D72" i="6"/>
  <c r="D224" i="6"/>
  <c r="E210" i="6"/>
  <c r="M138" i="6"/>
  <c r="E111" i="6"/>
  <c r="D125" i="6"/>
  <c r="D204" i="6"/>
  <c r="E190" i="6"/>
  <c r="E171" i="6"/>
  <c r="D185" i="6"/>
  <c r="D105" i="6"/>
  <c r="E91" i="6"/>
  <c r="C145" i="6"/>
  <c r="D131" i="6"/>
  <c r="D165" i="6"/>
  <c r="E151" i="6"/>
  <c r="M178" i="6"/>
  <c r="D244" i="6"/>
  <c r="E230" i="6"/>
  <c r="J5" i="9" l="1"/>
  <c r="J8" i="9" s="1"/>
  <c r="J16" i="9" s="1"/>
  <c r="J26" i="9" s="1"/>
  <c r="J50" i="9"/>
  <c r="L50" i="8"/>
  <c r="L5" i="8"/>
  <c r="L8" i="8" s="1"/>
  <c r="L16" i="8" s="1"/>
  <c r="L26" i="8" s="1"/>
  <c r="E244" i="6"/>
  <c r="F230" i="6"/>
  <c r="E165" i="6"/>
  <c r="F151" i="6"/>
  <c r="E72" i="6"/>
  <c r="D86" i="6"/>
  <c r="E224" i="6"/>
  <c r="F210" i="6"/>
  <c r="E185" i="6"/>
  <c r="F171" i="6"/>
  <c r="F111" i="6"/>
  <c r="E125" i="6"/>
  <c r="D145" i="6"/>
  <c r="E131" i="6"/>
  <c r="E105" i="6"/>
  <c r="F91" i="6"/>
  <c r="E204" i="6"/>
  <c r="F190" i="6"/>
  <c r="K5" i="9" l="1"/>
  <c r="K8" i="9" s="1"/>
  <c r="K16" i="9" s="1"/>
  <c r="K26" i="9" s="1"/>
  <c r="K50" i="9"/>
  <c r="M50" i="8"/>
  <c r="M5" i="8"/>
  <c r="M8" i="8" s="1"/>
  <c r="M16" i="8" s="1"/>
  <c r="M26" i="8" s="1"/>
  <c r="G171" i="6"/>
  <c r="F185" i="6"/>
  <c r="H171" i="6"/>
  <c r="E145" i="6"/>
  <c r="F131" i="6"/>
  <c r="F165" i="6"/>
  <c r="G151" i="6"/>
  <c r="H151" i="6"/>
  <c r="G155" i="6"/>
  <c r="M155" i="6" s="1"/>
  <c r="F224" i="6"/>
  <c r="G210" i="6"/>
  <c r="G214" i="6" s="1"/>
  <c r="M214" i="6" s="1"/>
  <c r="H210" i="6"/>
  <c r="E86" i="6"/>
  <c r="F72" i="6"/>
  <c r="F105" i="6"/>
  <c r="G91" i="6"/>
  <c r="H91" i="6"/>
  <c r="H230" i="6"/>
  <c r="G230" i="6"/>
  <c r="F244" i="6"/>
  <c r="H190" i="6"/>
  <c r="F204" i="6"/>
  <c r="G190" i="6"/>
  <c r="H111" i="6"/>
  <c r="G111" i="6"/>
  <c r="F125" i="6"/>
  <c r="G115" i="6"/>
  <c r="M115" i="6" s="1"/>
  <c r="L5" i="9" l="1"/>
  <c r="L8" i="9" s="1"/>
  <c r="L16" i="9" s="1"/>
  <c r="L26" i="9" s="1"/>
  <c r="L50" i="9"/>
  <c r="N50" i="8"/>
  <c r="N5" i="8"/>
  <c r="N8" i="8" s="1"/>
  <c r="N16" i="8" s="1"/>
  <c r="N26" i="8" s="1"/>
  <c r="H165" i="6"/>
  <c r="J151" i="6"/>
  <c r="I111" i="6"/>
  <c r="G125" i="6"/>
  <c r="I230" i="6"/>
  <c r="F86" i="6"/>
  <c r="G72" i="6"/>
  <c r="G76" i="6" s="1"/>
  <c r="M76" i="6" s="1"/>
  <c r="I151" i="6"/>
  <c r="G165" i="6"/>
  <c r="J171" i="6"/>
  <c r="H185" i="6"/>
  <c r="G204" i="6"/>
  <c r="I190" i="6"/>
  <c r="J111" i="6"/>
  <c r="H125" i="6"/>
  <c r="H244" i="6"/>
  <c r="J230" i="6"/>
  <c r="I210" i="6"/>
  <c r="G224" i="6"/>
  <c r="H204" i="6"/>
  <c r="J190" i="6"/>
  <c r="G194" i="6"/>
  <c r="M194" i="6" s="1"/>
  <c r="I171" i="6"/>
  <c r="G175" i="6"/>
  <c r="M175" i="6" s="1"/>
  <c r="J91" i="6"/>
  <c r="H105" i="6"/>
  <c r="J210" i="6"/>
  <c r="H224" i="6"/>
  <c r="G234" i="6"/>
  <c r="M234" i="6" s="1"/>
  <c r="I91" i="6"/>
  <c r="G105" i="6"/>
  <c r="G95" i="6"/>
  <c r="M95" i="6" s="1"/>
  <c r="G131" i="6"/>
  <c r="H131" i="6"/>
  <c r="F145" i="6"/>
  <c r="M5" i="9" l="1"/>
  <c r="M8" i="9" s="1"/>
  <c r="M16" i="9" s="1"/>
  <c r="M26" i="9" s="1"/>
  <c r="M50" i="9"/>
  <c r="O5" i="8"/>
  <c r="O8" i="8" s="1"/>
  <c r="O16" i="8" s="1"/>
  <c r="O26" i="8" s="1"/>
  <c r="O50" i="8"/>
  <c r="J185" i="6"/>
  <c r="L171" i="6"/>
  <c r="G244" i="6"/>
  <c r="K171" i="6"/>
  <c r="K185" i="6" s="1"/>
  <c r="I185" i="6"/>
  <c r="L230" i="6"/>
  <c r="J244" i="6"/>
  <c r="K230" i="6"/>
  <c r="I244" i="6"/>
  <c r="I224" i="6"/>
  <c r="K210" i="6"/>
  <c r="K224" i="6" s="1"/>
  <c r="I105" i="6"/>
  <c r="K91" i="6"/>
  <c r="G185" i="6"/>
  <c r="J131" i="6"/>
  <c r="H145" i="6"/>
  <c r="J224" i="6"/>
  <c r="L210" i="6"/>
  <c r="K151" i="6"/>
  <c r="K165" i="6" s="1"/>
  <c r="I165" i="6"/>
  <c r="K111" i="6"/>
  <c r="K125" i="6" s="1"/>
  <c r="I125" i="6"/>
  <c r="G145" i="6"/>
  <c r="I131" i="6"/>
  <c r="G135" i="6"/>
  <c r="M135" i="6" s="1"/>
  <c r="L190" i="6"/>
  <c r="J204" i="6"/>
  <c r="L111" i="6"/>
  <c r="J125" i="6"/>
  <c r="J165" i="6"/>
  <c r="L151" i="6"/>
  <c r="L91" i="6"/>
  <c r="J105" i="6"/>
  <c r="I204" i="6"/>
  <c r="K190" i="6"/>
  <c r="G86" i="6"/>
  <c r="H72" i="6"/>
  <c r="N50" i="9" l="1"/>
  <c r="N5" i="9"/>
  <c r="N8" i="9" s="1"/>
  <c r="N16" i="9" s="1"/>
  <c r="N26" i="9" s="1"/>
  <c r="P5" i="8"/>
  <c r="P8" i="8" s="1"/>
  <c r="P16" i="8" s="1"/>
  <c r="P26" i="8" s="1"/>
  <c r="P50" i="8"/>
  <c r="K204" i="6"/>
  <c r="L224" i="6"/>
  <c r="M210" i="6"/>
  <c r="K244" i="6"/>
  <c r="L165" i="6"/>
  <c r="M151" i="6"/>
  <c r="I72" i="6"/>
  <c r="H86" i="6"/>
  <c r="K105" i="6"/>
  <c r="L204" i="6"/>
  <c r="M190" i="6"/>
  <c r="M195" i="6" s="1"/>
  <c r="M196" i="6" s="1"/>
  <c r="M91" i="6"/>
  <c r="L105" i="6"/>
  <c r="I145" i="6"/>
  <c r="K131" i="6"/>
  <c r="K145" i="6" s="1"/>
  <c r="L131" i="6"/>
  <c r="J145" i="6"/>
  <c r="L244" i="6"/>
  <c r="M230" i="6"/>
  <c r="M235" i="6" s="1"/>
  <c r="M236" i="6" s="1"/>
  <c r="L125" i="6"/>
  <c r="M111" i="6"/>
  <c r="M171" i="6"/>
  <c r="M176" i="6" s="1"/>
  <c r="M177" i="6" s="1"/>
  <c r="L185" i="6"/>
  <c r="O50" i="9" l="1"/>
  <c r="O5" i="9"/>
  <c r="O8" i="9" s="1"/>
  <c r="O16" i="9" s="1"/>
  <c r="O26" i="9" s="1"/>
  <c r="Q5" i="8"/>
  <c r="Q8" i="8" s="1"/>
  <c r="Q16" i="8" s="1"/>
  <c r="Q26" i="8" s="1"/>
  <c r="Q50" i="8"/>
  <c r="R5" i="8" s="1"/>
  <c r="R8" i="8" s="1"/>
  <c r="R16" i="8" s="1"/>
  <c r="R26" i="8" s="1"/>
  <c r="M156" i="6"/>
  <c r="M157" i="6" s="1"/>
  <c r="M96" i="6"/>
  <c r="M97" i="6" s="1"/>
  <c r="M215" i="6"/>
  <c r="M216" i="6" s="1"/>
  <c r="M244" i="6"/>
  <c r="N244" i="6" s="1"/>
  <c r="M131" i="6"/>
  <c r="L145" i="6"/>
  <c r="M185" i="6"/>
  <c r="N185" i="6" s="1"/>
  <c r="M204" i="6"/>
  <c r="N204" i="6" s="1"/>
  <c r="M125" i="6"/>
  <c r="N125" i="6" s="1"/>
  <c r="M116" i="6"/>
  <c r="M117" i="6" s="1"/>
  <c r="J72" i="6"/>
  <c r="I86" i="6"/>
  <c r="P50" i="9" l="1"/>
  <c r="P5" i="9"/>
  <c r="P8" i="9" s="1"/>
  <c r="P16" i="9" s="1"/>
  <c r="P26" i="9" s="1"/>
  <c r="G29" i="8"/>
  <c r="J29" i="8"/>
  <c r="H31" i="8"/>
  <c r="I29" i="8"/>
  <c r="F31" i="8"/>
  <c r="F29" i="8"/>
  <c r="H29" i="8"/>
  <c r="G31" i="8"/>
  <c r="I31" i="8"/>
  <c r="J31" i="8"/>
  <c r="M136" i="6"/>
  <c r="M137" i="6" s="1"/>
  <c r="M224" i="6"/>
  <c r="N224" i="6" s="1"/>
  <c r="K72" i="6"/>
  <c r="J86" i="6"/>
  <c r="M165" i="6"/>
  <c r="N165" i="6" s="1"/>
  <c r="M105" i="6"/>
  <c r="N105" i="6" s="1"/>
  <c r="Q50" i="9" l="1"/>
  <c r="R5" i="9" s="1"/>
  <c r="R8" i="9" s="1"/>
  <c r="R16" i="9" s="1"/>
  <c r="R26" i="9" s="1"/>
  <c r="Q5" i="9"/>
  <c r="Q8" i="9" s="1"/>
  <c r="Q16" i="9" s="1"/>
  <c r="Q26" i="9" s="1"/>
  <c r="K86" i="6"/>
  <c r="L72" i="6"/>
  <c r="M145" i="6"/>
  <c r="N145" i="6" s="1"/>
  <c r="I29" i="9" l="1"/>
  <c r="G29" i="9"/>
  <c r="G31" i="9"/>
  <c r="J31" i="9"/>
  <c r="H29" i="9"/>
  <c r="H31" i="9"/>
  <c r="J29" i="9"/>
  <c r="I31" i="9"/>
  <c r="F29" i="9"/>
  <c r="F31" i="9"/>
  <c r="M72" i="6"/>
  <c r="L86" i="6"/>
  <c r="M77" i="6" l="1"/>
  <c r="M78" i="6" s="1"/>
  <c r="M86" i="6" l="1"/>
  <c r="N86" i="6" s="1"/>
  <c r="B249" i="6" s="1"/>
  <c r="C50" i="1" l="1"/>
  <c r="D5" i="1" s="1"/>
  <c r="C33" i="1"/>
  <c r="D13" i="1" l="1"/>
  <c r="E13" i="1"/>
  <c r="C21" i="1"/>
  <c r="E5" i="1" l="1"/>
  <c r="E50" i="1"/>
  <c r="F13" i="1"/>
  <c r="F50" i="1" l="1"/>
  <c r="F5" i="1"/>
  <c r="C8" i="1"/>
  <c r="G50" i="1" l="1"/>
  <c r="G5" i="1"/>
  <c r="H50" i="1" l="1"/>
  <c r="H5" i="1"/>
  <c r="C26" i="1"/>
  <c r="D8" i="1"/>
  <c r="I5" i="1" l="1"/>
  <c r="I50" i="1"/>
  <c r="D16" i="1"/>
  <c r="D26" i="1" s="1"/>
  <c r="E8" i="1"/>
  <c r="J50" i="1" l="1"/>
  <c r="J5" i="1"/>
  <c r="F8" i="1"/>
  <c r="E16" i="1"/>
  <c r="E26" i="1" s="1"/>
  <c r="K5" i="1" l="1"/>
  <c r="K50" i="1"/>
  <c r="L13" i="1"/>
  <c r="G8" i="1"/>
  <c r="F16" i="1"/>
  <c r="F26" i="1" s="1"/>
  <c r="L50" i="1" l="1"/>
  <c r="L5" i="1"/>
  <c r="L8" i="1" s="1"/>
  <c r="L16" i="1" s="1"/>
  <c r="L26" i="1" s="1"/>
  <c r="M13" i="1"/>
  <c r="H8" i="1"/>
  <c r="M50" i="1" l="1"/>
  <c r="M5" i="1"/>
  <c r="M8" i="1" s="1"/>
  <c r="M16" i="1" s="1"/>
  <c r="M26" i="1" s="1"/>
  <c r="N13" i="1"/>
  <c r="I8" i="1"/>
  <c r="N50" i="1" l="1"/>
  <c r="N5" i="1"/>
  <c r="N8" i="1" s="1"/>
  <c r="N16" i="1" s="1"/>
  <c r="N26" i="1" s="1"/>
  <c r="O13" i="1"/>
  <c r="J8" i="1"/>
  <c r="O50" i="1" l="1"/>
  <c r="O5" i="1"/>
  <c r="O8" i="1" s="1"/>
  <c r="O16" i="1" s="1"/>
  <c r="O26" i="1" s="1"/>
  <c r="P13" i="1"/>
  <c r="K8" i="1"/>
  <c r="P5" i="1" l="1"/>
  <c r="P8" i="1" s="1"/>
  <c r="P16" i="1" s="1"/>
  <c r="P26" i="1" s="1"/>
  <c r="P50" i="1"/>
  <c r="R13" i="1"/>
  <c r="Q13" i="1"/>
  <c r="Q50" i="1" l="1"/>
  <c r="R5" i="1" s="1"/>
  <c r="R8" i="1" s="1"/>
  <c r="R16" i="1" s="1"/>
  <c r="R26" i="1" s="1"/>
  <c r="Q5" i="1"/>
  <c r="Q8" i="1" s="1"/>
  <c r="Q16" i="1" s="1"/>
  <c r="Q26" i="1" s="1"/>
  <c r="G13" i="1" l="1"/>
  <c r="G16" i="1"/>
  <c r="G26" i="1" s="1"/>
  <c r="H13" i="1"/>
  <c r="H16" i="1"/>
  <c r="H26" i="1" s="1"/>
  <c r="I13" i="1"/>
  <c r="I16" i="1"/>
  <c r="I26" i="1" s="1"/>
  <c r="J13" i="1"/>
  <c r="J16" i="1" s="1"/>
  <c r="J26" i="1" s="1"/>
  <c r="K13" i="1"/>
  <c r="K16" i="1"/>
  <c r="K26" i="1" s="1"/>
  <c r="G29" i="1" l="1"/>
  <c r="I29" i="1"/>
  <c r="F29" i="1"/>
  <c r="H29" i="1"/>
  <c r="J29" i="1"/>
  <c r="G31" i="1"/>
  <c r="I31" i="1"/>
  <c r="H31" i="1"/>
  <c r="F31" i="1"/>
  <c r="J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Estudiantes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A partir del periodo !- hasta el final de proyecto
</t>
        </r>
      </text>
    </comment>
    <comment ref="B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inversiones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Estudiantes</author>
  </authors>
  <commentList>
    <comment ref="B3" authorId="0" shapeId="0" xr:uid="{050F6466-9A5F-4073-A1A6-CED797014C75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A partir del periodo !- hasta el final de proyecto
</t>
        </r>
      </text>
    </comment>
    <comment ref="B4" authorId="0" shapeId="0" xr:uid="{AED588DA-1FFE-45BB-9887-3A282D0BDCD4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inversiones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Estudiantes</author>
  </authors>
  <commentList>
    <comment ref="B3" authorId="0" shapeId="0" xr:uid="{6495E091-46E1-4122-9619-AFDB9A6F4572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A partir del periodo !- hasta el final de proyecto
</t>
        </r>
      </text>
    </comment>
    <comment ref="B4" authorId="0" shapeId="0" xr:uid="{D0654650-8A14-43E7-AD7A-53C4909D8BF6}">
      <text>
        <r>
          <rPr>
            <b/>
            <sz val="9"/>
            <color indexed="81"/>
            <rFont val="Tahoma"/>
            <family val="2"/>
          </rPr>
          <t>Estudiantes:</t>
        </r>
        <r>
          <rPr>
            <sz val="9"/>
            <color indexed="81"/>
            <rFont val="Tahoma"/>
            <family val="2"/>
          </rPr>
          <t xml:space="preserve">
inversiones</t>
        </r>
      </text>
    </comment>
  </commentList>
</comments>
</file>

<file path=xl/sharedStrings.xml><?xml version="1.0" encoding="utf-8"?>
<sst xmlns="http://schemas.openxmlformats.org/spreadsheetml/2006/main" count="986" uniqueCount="227">
  <si>
    <t>+</t>
  </si>
  <si>
    <t>INGRESOS FINANCIEROS</t>
  </si>
  <si>
    <t>-</t>
  </si>
  <si>
    <t xml:space="preserve">COSTOS DE OPERACIÓN </t>
  </si>
  <si>
    <t>INTERESES SOBRE CRÉDITOS RECIBIDOS POR EL PROYECTO</t>
  </si>
  <si>
    <t>DEPRECIACIÓN</t>
  </si>
  <si>
    <t>GANANCIAS NETAS GRAVABLES</t>
  </si>
  <si>
    <t>IMPUESTOS DIRECTOS</t>
  </si>
  <si>
    <t>VALORES DE SALVAMENTO GRAVABLES ( POR VENTA DE ACTIVOS)</t>
  </si>
  <si>
    <t>IMPUESTO A LA UTILIDAD POR VENTA DE ACTIVOS</t>
  </si>
  <si>
    <t>COSTOS DE OPERACIÓN NO DEDUCIBLES</t>
  </si>
  <si>
    <t>VALOR EN LIBROS DE ACTIVOS VENDIDOS ( INGRESO NO GRAVABLE)</t>
  </si>
  <si>
    <t>GANANCIAS NETAS</t>
  </si>
  <si>
    <t>VALOR DE SALVAMENTO (ACTIVOS NO VENDIDOS)</t>
  </si>
  <si>
    <t>INVERSIONES FINANCIERAS</t>
  </si>
  <si>
    <t>COSTOS DE INVERSIÓN</t>
  </si>
  <si>
    <t>INGRESOS POR EMISIONES DE BONOS O ACCIONES DEL PROYECTO</t>
  </si>
  <si>
    <t>DIVIDENDOS PAGADOS</t>
  </si>
  <si>
    <t>CRÉDITOS RECIBIDOS</t>
  </si>
  <si>
    <t>AMORTIZACIONES DE CRÉDITOS Y PRÉSTAMOS</t>
  </si>
  <si>
    <t>FLUJO DE FONDOS NETO</t>
  </si>
  <si>
    <t>TIR</t>
  </si>
  <si>
    <t>Total</t>
  </si>
  <si>
    <t>Valor</t>
  </si>
  <si>
    <t>Inversión</t>
  </si>
  <si>
    <t>Inversion Total</t>
  </si>
  <si>
    <t>VPN 10%</t>
  </si>
  <si>
    <t>Deduciones de renta</t>
  </si>
  <si>
    <t>INGRESOS NO GRAVABLES // AHORRO ENERGETICO</t>
  </si>
  <si>
    <t>Ingresos establecidos para el proyecto</t>
  </si>
  <si>
    <t>Reduccion de energía (primer año)</t>
  </si>
  <si>
    <t>años</t>
  </si>
  <si>
    <t>Valor de depreciacion</t>
  </si>
  <si>
    <t>COP</t>
  </si>
  <si>
    <t>Unidad</t>
  </si>
  <si>
    <t>Depreciación</t>
  </si>
  <si>
    <t>Duración del proyecto</t>
  </si>
  <si>
    <t>Ahorro energetico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</si>
  <si>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</si>
  <si>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</si>
  <si>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</si>
  <si>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</si>
  <si>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</si>
  <si>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</si>
  <si>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</si>
  <si>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</si>
  <si>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</si>
  <si>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</si>
  <si>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</si>
  <si>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</si>
  <si>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</si>
  <si>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</si>
  <si>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</si>
  <si>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Costos totales (con crecmiento 6%)</t>
  </si>
  <si>
    <t>PROYECTO SOLAR EN DATACENTERT DE TIVIT</t>
  </si>
  <si>
    <t>Anexo A</t>
  </si>
  <si>
    <t>Anexo B</t>
  </si>
  <si>
    <t>Anexo C</t>
  </si>
  <si>
    <t>Nomina</t>
  </si>
  <si>
    <t>Rol</t>
  </si>
  <si>
    <t>Salario</t>
  </si>
  <si>
    <t>Gerente</t>
  </si>
  <si>
    <t>Asistente Administrativo</t>
  </si>
  <si>
    <t>Ingeniero de mediciones</t>
  </si>
  <si>
    <t>Coordinador Diurno</t>
  </si>
  <si>
    <t>Coordinador Nocturno</t>
  </si>
  <si>
    <t>Técnico Diurno</t>
  </si>
  <si>
    <t>Técnico Nocturno</t>
  </si>
  <si>
    <t>Tecnico Extra</t>
  </si>
  <si>
    <t>Asistente de Técnico</t>
  </si>
  <si>
    <t>Consideraciones</t>
  </si>
  <si>
    <t>Responsabilidad del Empleador</t>
  </si>
  <si>
    <t>Empleado</t>
  </si>
  <si>
    <t>Beneficios</t>
  </si>
  <si>
    <t>Plazo</t>
  </si>
  <si>
    <t>Salud (Hijos//Padres)</t>
  </si>
  <si>
    <t>Prima</t>
  </si>
  <si>
    <t>Cada 6 meses de trabajo</t>
  </si>
  <si>
    <t>Pensión (Vejez)</t>
  </si>
  <si>
    <t>Cesantias</t>
  </si>
  <si>
    <t>12 Meses de trabajo</t>
  </si>
  <si>
    <t>ARL (Tipo 1)</t>
  </si>
  <si>
    <t>Intereses de Cesantias</t>
  </si>
  <si>
    <t>% de las censatias</t>
  </si>
  <si>
    <t>* SENA</t>
  </si>
  <si>
    <t>Vacaciones</t>
  </si>
  <si>
    <t>15 días x un año</t>
  </si>
  <si>
    <t>* ICBF</t>
  </si>
  <si>
    <t>* Caja de Compensación</t>
  </si>
  <si>
    <t xml:space="preserve">Auxilo del transporte </t>
  </si>
  <si>
    <t>* Parafiscales</t>
  </si>
  <si>
    <t>Valores Empleador</t>
  </si>
  <si>
    <t>Asistente Admin</t>
  </si>
  <si>
    <t>Salario 2019</t>
  </si>
  <si>
    <t>Auxilio T</t>
  </si>
  <si>
    <t>Total de Devengado</t>
  </si>
  <si>
    <t>Horas Extras</t>
  </si>
  <si>
    <t>Comisiones</t>
  </si>
  <si>
    <t>Viaticos</t>
  </si>
  <si>
    <t>Intereses</t>
  </si>
  <si>
    <t>ARL (Accidentes Laborales)</t>
  </si>
  <si>
    <t>Dinero del Empleador para pagar al empleado</t>
  </si>
  <si>
    <t>Tecnico Diurno</t>
  </si>
  <si>
    <t>Tecnico Nocturno</t>
  </si>
  <si>
    <t>Asistente de Tecnico</t>
  </si>
  <si>
    <t>Nomina Gerente</t>
  </si>
  <si>
    <t>Total Salario Anual</t>
  </si>
  <si>
    <t>Nomina Asistente Administrativo</t>
  </si>
  <si>
    <t>Nomina Ingeniero de Mediciones</t>
  </si>
  <si>
    <t>Nomina Coordinador Diurno</t>
  </si>
  <si>
    <t>Nomina Coordinador Nocturno</t>
  </si>
  <si>
    <t>Nomina Tecnico Diurno</t>
  </si>
  <si>
    <t>Nomina Tecnico Nocturno</t>
  </si>
  <si>
    <t>Nomina Tecnico Extra</t>
  </si>
  <si>
    <t>Total de Salarios 2019</t>
  </si>
  <si>
    <t>Incremento GASTOS ADMIN</t>
  </si>
  <si>
    <t>Gastos  &amp; CIF 2019</t>
  </si>
  <si>
    <t>Periodo</t>
  </si>
  <si>
    <t>Año</t>
  </si>
  <si>
    <t>Arriendos</t>
  </si>
  <si>
    <t>Mensual</t>
  </si>
  <si>
    <t>Servicios</t>
  </si>
  <si>
    <t>CIF 2019</t>
  </si>
  <si>
    <t>Total Salario Anual X 2 Trabajadores</t>
  </si>
  <si>
    <t>Herramientas</t>
  </si>
  <si>
    <t xml:space="preserve">Herramienta </t>
  </si>
  <si>
    <t>Cantidad</t>
  </si>
  <si>
    <t>Renovación</t>
  </si>
  <si>
    <t>Valor de Herramienta</t>
  </si>
  <si>
    <t>Valor Anual</t>
  </si>
  <si>
    <t>Resma de Papel</t>
  </si>
  <si>
    <t>SI</t>
  </si>
  <si>
    <t>Lápices</t>
  </si>
  <si>
    <t>Hojas Borradores</t>
  </si>
  <si>
    <t>Borradores</t>
  </si>
  <si>
    <t>Caja de esferos</t>
  </si>
  <si>
    <t>Calculadora</t>
  </si>
  <si>
    <t>Portatil</t>
  </si>
  <si>
    <t>No</t>
  </si>
  <si>
    <t>Impresora Multifuncional</t>
  </si>
  <si>
    <t>Costos Indirectos</t>
  </si>
  <si>
    <t>COSTO DEL SISTEMA FOTOVOLTAICO</t>
  </si>
  <si>
    <t>Concepto</t>
  </si>
  <si>
    <t>Valor total</t>
  </si>
  <si>
    <t>Equipos Principales</t>
  </si>
  <si>
    <t>Equipos Adicionales</t>
  </si>
  <si>
    <t>Instalación y Adecuación</t>
  </si>
  <si>
    <t>Costos de Inversión</t>
  </si>
  <si>
    <t>VALOR DE MANTENIMIENTO</t>
  </si>
  <si>
    <t xml:space="preserve">Periocidad </t>
  </si>
  <si>
    <t>Mantenimiento Mensual</t>
  </si>
  <si>
    <t>1 mes</t>
  </si>
  <si>
    <t>Mantenimiento Anual</t>
  </si>
  <si>
    <t>12 meses</t>
  </si>
  <si>
    <t>Costos de operación</t>
  </si>
  <si>
    <t>SALARIOS NOMINA</t>
  </si>
  <si>
    <t>Salario Base</t>
  </si>
  <si>
    <t>Cantidad de personas</t>
  </si>
  <si>
    <t>Salario Anual + Prestaciones</t>
  </si>
  <si>
    <t>Ingniero de mediciones</t>
  </si>
  <si>
    <t>Gastos Administrativos</t>
  </si>
  <si>
    <t>ARRENDAMIENTO DE OFICINA</t>
  </si>
  <si>
    <t>Recinto</t>
  </si>
  <si>
    <t>Valor Mensual</t>
  </si>
  <si>
    <t>Canon de Arrendamiento</t>
  </si>
  <si>
    <t>Oficina (Capacidad 10 personas)</t>
  </si>
  <si>
    <t>EQUIPOS</t>
  </si>
  <si>
    <t>Nombre del Equipo</t>
  </si>
  <si>
    <t>Valor Unitario (USD)</t>
  </si>
  <si>
    <t>Valor Total (COP)</t>
  </si>
  <si>
    <t>Panel Solar</t>
  </si>
  <si>
    <t>TOPSUN TS-S450 MONOCRISTALINO</t>
  </si>
  <si>
    <t>Batería</t>
  </si>
  <si>
    <t>ABSOLYTE GP 1-100G99 FLAT PLATE</t>
  </si>
  <si>
    <t>Regulador</t>
  </si>
  <si>
    <t>STECA TAROM 440-48 PWM</t>
  </si>
  <si>
    <t>Inversor</t>
  </si>
  <si>
    <t>VICTRON MULTIPLUS 48V/3000W/35-16</t>
  </si>
  <si>
    <t>EQUIPOS ADICIONALES</t>
  </si>
  <si>
    <t>Nombre del Equipo/Descripción</t>
  </si>
  <si>
    <t>Valor Unitario (COP)/Unidad</t>
  </si>
  <si>
    <t>Dimensiones</t>
  </si>
  <si>
    <t>CABLE SOLAR XTREM H07RN-F</t>
  </si>
  <si>
    <t>40000 cm x 4cm x 3cm</t>
  </si>
  <si>
    <t>SOPORTE ALUMINIO ALURACK T6</t>
  </si>
  <si>
    <t>6cm x 8 cm x 72 cm</t>
  </si>
  <si>
    <t>CONECTOR MC4</t>
  </si>
  <si>
    <t>4mm2 (AWG12)</t>
  </si>
  <si>
    <t>EQUIPOS DE MEDICIONES</t>
  </si>
  <si>
    <t>Valor Inicial (COP)</t>
  </si>
  <si>
    <t>MEDIDOR DE TEMPERATURA FLUKE VT04</t>
  </si>
  <si>
    <t>REGISTRADOR DE CALIDAD ELECTRICA FLUKE 1745</t>
  </si>
  <si>
    <t>Multimetro Industrial FLUKE 87V</t>
  </si>
  <si>
    <t>CONSOLIDADO COSTOS Y GASTOS</t>
  </si>
  <si>
    <t>Costo de Inversión</t>
  </si>
  <si>
    <t>Valor Anual (COP)</t>
  </si>
  <si>
    <t>NA</t>
  </si>
  <si>
    <t>Valor de inversion Inicial</t>
  </si>
  <si>
    <t>Costo de Mantenimiento</t>
  </si>
  <si>
    <t>Costo de Arrendamiento</t>
  </si>
  <si>
    <t>Costo de Equipos de medicion</t>
  </si>
  <si>
    <t>Costos directos de la operación</t>
  </si>
  <si>
    <t>Se omite en el siguiente año el valor de los equipos informaticos, y este valor se incrementara un 6% de forma constante</t>
  </si>
  <si>
    <t>Herramientas de oficina</t>
  </si>
  <si>
    <t>El valor se incrementara 6% (Inflación) de forma constante para los años siguientes</t>
  </si>
  <si>
    <t>Valor de Costos y Gastos para el primer año</t>
  </si>
  <si>
    <t>Aplica solo una vez para al adquisición de los equipos</t>
  </si>
  <si>
    <t xml:space="preserve">Reduccion de energía </t>
  </si>
  <si>
    <t>COSTOS &amp; GASTOS</t>
  </si>
  <si>
    <t>VPN 20%</t>
  </si>
  <si>
    <t>VPN 30%</t>
  </si>
  <si>
    <t>VPN 40%</t>
  </si>
  <si>
    <t>VPN 50%</t>
  </si>
  <si>
    <t>Equipos</t>
  </si>
  <si>
    <t>INGRESOS DE OPERACIÓN</t>
  </si>
  <si>
    <t xml:space="preserve">Ingresos </t>
  </si>
  <si>
    <t>Depreciación 15 años</t>
  </si>
  <si>
    <t>Depreciación según ley 1715</t>
  </si>
  <si>
    <t>D</t>
  </si>
  <si>
    <t>Total de Depreación</t>
  </si>
  <si>
    <t>Costos</t>
  </si>
  <si>
    <t>Valor de Salvamento</t>
  </si>
  <si>
    <t>MAQUINARIA SOLAR</t>
  </si>
  <si>
    <t>Costos primer año</t>
  </si>
  <si>
    <t>Costos segundo año</t>
  </si>
  <si>
    <t>Diferencia</t>
  </si>
  <si>
    <t>Deduciones de renta (5 años)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</si>
</sst>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&quot;XDR&quot;* #,##0.00_-;\-&quot;XDR&quot;* #,##0.00_-;_-&quot;XDR&quot;* &quot;-&quot;??_-;_-@_-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&quot;$&quot;#,##0"/>
    <numFmt numFmtId="168" formatCode="_(&quot;$&quot;\ * #,##0_);_(&quot;$&quot;\ * \(#,##0\);_(&quot;$&quot;\ * &quot;-&quot;??_);_(@_)"/>
    <numFmt numFmtId="169" formatCode="_-[$$-409]* #,##0_ ;_-[$$-409]* \-#,##0\ ;_-[$$-409]* &quot;-&quot;??_ ;_-@_ "/>
    <numFmt numFmtId="170" formatCode="_-[$$-409]* #,##0.00_ ;_-[$$-409]* \-#,##0.00\ ;_-[$$-409]* &quot;-&quot;??_ ;_-@_ "/>
    <numFmt numFmtId="171" formatCode="_-[$$-240A]* #,##0.00_-;\-[$$-240A]* #,##0.00_-;_-[$$-240A]* &quot;-&quot;??_-;_-@_-"/>
    <numFmt numFmtId="172" formatCode="_-[$$-2C0A]* #,##0.00_-;\-[$$-2C0A]* #,##0.00_-;_-[$$-2C0A]* &quot;-&quot;??_-;_-@_-"/>
    <numFmt numFmtId="173" formatCode="0.0%"/>
    <numFmt numFmtId="174" formatCode="_-[$$-409]* #,##0.0_ ;_-[$$-409]* \-#,##0.0\ ;_-[$$-409]* &quot;-&quot;??_ ;_-@_ "/>
    <numFmt numFmtId="175" formatCode="_-[$$-409]* #,##0.0_ ;_-[$$-409]* \-#,##0.0\ ;_-[$$-409]* &quot;-&quot;?_ ;_-@_ "/>
    <numFmt numFmtId="176" formatCode="_-[$$-2C0A]\ * #,##0.0_-;\-[$$-2C0A]\ * #,##0.0_-;_-[$$-2C0A]\ * &quot;-&quot;??_-;_-@_-"/>
    <numFmt numFmtId="177" formatCode="_-[$$-2C0A]\ * #,##0.00_-;\-[$$-2C0A]\ * #,##0.00_-;_-[$$-2C0A]\ 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1"/>
      <name val="Times New Roman"/>
      <family val="1"/>
    </font>
    <font>
      <b/>
      <i/>
      <sz val="10"/>
      <color theme="1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FFFF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333333"/>
      <name val="Times New Roman"/>
      <family val="1"/>
    </font>
    <font>
      <sz val="11"/>
      <color theme="0"/>
      <name val="Times New Roman"/>
      <family val="1"/>
    </font>
    <font>
      <sz val="8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3">
    <xf numFmtId="0" fontId="0" fillId="0" borderId="0" xfId="0"/>
    <xf numFmtId="167" fontId="0" fillId="0" borderId="0" xfId="0" applyNumberFormat="1"/>
    <xf numFmtId="3" fontId="0" fillId="0" borderId="0" xfId="0" applyNumberFormat="1"/>
    <xf numFmtId="167" fontId="0" fillId="0" borderId="5" xfId="0" applyNumberFormat="1" applyBorder="1"/>
    <xf numFmtId="0" fontId="0" fillId="0" borderId="5" xfId="0" applyBorder="1"/>
    <xf numFmtId="3" fontId="0" fillId="0" borderId="5" xfId="0" applyNumberFormat="1" applyBorder="1"/>
    <xf numFmtId="0" fontId="0" fillId="0" borderId="6" xfId="0" applyBorder="1"/>
    <xf numFmtId="0" fontId="0" fillId="0" borderId="3" xfId="0" applyBorder="1"/>
    <xf numFmtId="0" fontId="4" fillId="0" borderId="5" xfId="0" applyFont="1" applyBorder="1"/>
    <xf numFmtId="167" fontId="4" fillId="0" borderId="5" xfId="0" applyNumberFormat="1" applyFont="1" applyBorder="1"/>
    <xf numFmtId="3" fontId="4" fillId="0" borderId="2" xfId="0" applyNumberFormat="1" applyFont="1" applyBorder="1"/>
    <xf numFmtId="167" fontId="4" fillId="0" borderId="2" xfId="0" applyNumberFormat="1" applyFont="1" applyBorder="1"/>
    <xf numFmtId="0" fontId="5" fillId="0" borderId="2" xfId="0" applyFont="1" applyBorder="1"/>
    <xf numFmtId="0" fontId="4" fillId="0" borderId="0" xfId="0" applyFont="1"/>
    <xf numFmtId="0" fontId="4" fillId="0" borderId="3" xfId="0" applyFont="1" applyBorder="1"/>
    <xf numFmtId="3" fontId="4" fillId="0" borderId="4" xfId="1" applyNumberFormat="1" applyFont="1" applyBorder="1"/>
    <xf numFmtId="0" fontId="4" fillId="0" borderId="4" xfId="0" applyFont="1" applyFill="1" applyBorder="1"/>
    <xf numFmtId="168" fontId="4" fillId="0" borderId="1" xfId="1" applyNumberFormat="1" applyFont="1" applyBorder="1"/>
    <xf numFmtId="169" fontId="4" fillId="0" borderId="1" xfId="0" applyNumberFormat="1" applyFont="1" applyFill="1" applyBorder="1"/>
    <xf numFmtId="170" fontId="4" fillId="0" borderId="1" xfId="0" applyNumberFormat="1" applyFont="1" applyFill="1" applyBorder="1"/>
    <xf numFmtId="167" fontId="4" fillId="0" borderId="1" xfId="1" applyNumberFormat="1" applyFont="1" applyBorder="1"/>
    <xf numFmtId="167" fontId="4" fillId="0" borderId="1" xfId="0" applyNumberFormat="1" applyFont="1" applyFill="1" applyBorder="1"/>
    <xf numFmtId="168" fontId="4" fillId="0" borderId="7" xfId="1" applyNumberFormat="1" applyFont="1" applyBorder="1"/>
    <xf numFmtId="170" fontId="4" fillId="0" borderId="7" xfId="0" applyNumberFormat="1" applyFont="1" applyFill="1" applyBorder="1"/>
    <xf numFmtId="3" fontId="4" fillId="0" borderId="8" xfId="1" applyNumberFormat="1" applyFont="1" applyBorder="1"/>
    <xf numFmtId="3" fontId="4" fillId="0" borderId="8" xfId="2" applyNumberFormat="1" applyFont="1" applyFill="1" applyBorder="1"/>
    <xf numFmtId="168" fontId="4" fillId="0" borderId="0" xfId="1" applyNumberFormat="1" applyFont="1" applyBorder="1"/>
    <xf numFmtId="0" fontId="4" fillId="0" borderId="0" xfId="0" applyFont="1" applyFill="1" applyBorder="1"/>
    <xf numFmtId="167" fontId="4" fillId="0" borderId="8" xfId="1" applyNumberFormat="1" applyFont="1" applyBorder="1"/>
    <xf numFmtId="167" fontId="4" fillId="0" borderId="8" xfId="0" applyNumberFormat="1" applyFont="1" applyFill="1" applyBorder="1"/>
    <xf numFmtId="168" fontId="4" fillId="0" borderId="9" xfId="1" applyNumberFormat="1" applyFont="1" applyBorder="1"/>
    <xf numFmtId="170" fontId="4" fillId="0" borderId="9" xfId="0" applyNumberFormat="1" applyFont="1" applyFill="1" applyBorder="1"/>
    <xf numFmtId="168" fontId="4" fillId="0" borderId="8" xfId="1" applyNumberFormat="1" applyFont="1" applyBorder="1"/>
    <xf numFmtId="170" fontId="4" fillId="0" borderId="8" xfId="0" applyNumberFormat="1" applyFont="1" applyFill="1" applyBorder="1"/>
    <xf numFmtId="167" fontId="7" fillId="0" borderId="0" xfId="0" applyNumberFormat="1" applyFont="1"/>
    <xf numFmtId="0" fontId="7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Border="1"/>
    <xf numFmtId="167" fontId="4" fillId="0" borderId="0" xfId="0" applyNumberFormat="1" applyFont="1" applyAlignment="1">
      <alignment horizontal="center"/>
    </xf>
    <xf numFmtId="0" fontId="4" fillId="0" borderId="10" xfId="0" applyFont="1" applyBorder="1" applyAlignment="1">
      <alignment horizontal="center"/>
    </xf>
    <xf numFmtId="167" fontId="4" fillId="0" borderId="0" xfId="0" applyNumberFormat="1" applyFont="1"/>
    <xf numFmtId="167" fontId="8" fillId="2" borderId="1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169" fontId="4" fillId="0" borderId="11" xfId="0" applyNumberFormat="1" applyFont="1" applyFill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9" fontId="4" fillId="0" borderId="12" xfId="0" applyNumberFormat="1" applyFont="1" applyBorder="1" applyAlignment="1">
      <alignment horizontal="center"/>
    </xf>
    <xf numFmtId="167" fontId="8" fillId="2" borderId="7" xfId="0" applyNumberFormat="1" applyFont="1" applyFill="1" applyBorder="1" applyAlignment="1">
      <alignment horizontal="center"/>
    </xf>
    <xf numFmtId="167" fontId="4" fillId="0" borderId="0" xfId="0" applyNumberFormat="1" applyFont="1" applyBorder="1" applyAlignment="1">
      <alignment horizontal="center"/>
    </xf>
    <xf numFmtId="167" fontId="4" fillId="0" borderId="1" xfId="0" applyNumberFormat="1" applyFont="1" applyFill="1" applyBorder="1" applyAlignment="1">
      <alignment horizontal="center"/>
    </xf>
    <xf numFmtId="171" fontId="4" fillId="0" borderId="1" xfId="6" applyNumberFormat="1" applyFon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/>
    <xf numFmtId="172" fontId="13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/>
    <xf numFmtId="172" fontId="13" fillId="0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/>
    </xf>
    <xf numFmtId="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73" fontId="0" fillId="0" borderId="1" xfId="6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74" fontId="0" fillId="0" borderId="1" xfId="0" applyNumberFormat="1" applyBorder="1"/>
    <xf numFmtId="0" fontId="14" fillId="0" borderId="14" xfId="0" applyFont="1" applyFill="1" applyBorder="1"/>
    <xf numFmtId="9" fontId="0" fillId="0" borderId="0" xfId="0" applyNumberFormat="1" applyBorder="1" applyAlignment="1">
      <alignment horizontal="center"/>
    </xf>
    <xf numFmtId="0" fontId="14" fillId="0" borderId="0" xfId="0" applyFont="1" applyFill="1" applyBorder="1"/>
    <xf numFmtId="0" fontId="10" fillId="0" borderId="0" xfId="0" applyFont="1" applyFill="1" applyBorder="1"/>
    <xf numFmtId="0" fontId="9" fillId="5" borderId="15" xfId="0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0" fontId="0" fillId="0" borderId="15" xfId="0" applyBorder="1"/>
    <xf numFmtId="174" fontId="11" fillId="5" borderId="1" xfId="0" applyNumberFormat="1" applyFont="1" applyFill="1" applyBorder="1"/>
    <xf numFmtId="175" fontId="0" fillId="0" borderId="0" xfId="0" applyNumberFormat="1"/>
    <xf numFmtId="170" fontId="0" fillId="0" borderId="1" xfId="0" applyNumberFormat="1" applyBorder="1"/>
    <xf numFmtId="0" fontId="0" fillId="6" borderId="15" xfId="0" applyFill="1" applyBorder="1"/>
    <xf numFmtId="0" fontId="0" fillId="7" borderId="15" xfId="0" applyFill="1" applyBorder="1"/>
    <xf numFmtId="176" fontId="0" fillId="0" borderId="1" xfId="0" applyNumberFormat="1" applyBorder="1"/>
    <xf numFmtId="0" fontId="0" fillId="8" borderId="15" xfId="0" applyFill="1" applyBorder="1"/>
    <xf numFmtId="0" fontId="0" fillId="9" borderId="15" xfId="0" applyFill="1" applyBorder="1"/>
    <xf numFmtId="0" fontId="0" fillId="0" borderId="15" xfId="0" applyFill="1" applyBorder="1"/>
    <xf numFmtId="177" fontId="0" fillId="0" borderId="1" xfId="0" applyNumberFormat="1" applyBorder="1"/>
    <xf numFmtId="0" fontId="0" fillId="9" borderId="16" xfId="0" applyFill="1" applyBorder="1"/>
    <xf numFmtId="170" fontId="0" fillId="0" borderId="17" xfId="0" applyNumberFormat="1" applyBorder="1"/>
    <xf numFmtId="0" fontId="15" fillId="5" borderId="1" xfId="0" applyFont="1" applyFill="1" applyBorder="1"/>
    <xf numFmtId="0" fontId="16" fillId="5" borderId="1" xfId="0" applyFont="1" applyFill="1" applyBorder="1"/>
    <xf numFmtId="0" fontId="0" fillId="6" borderId="1" xfId="0" applyFill="1" applyBorder="1"/>
    <xf numFmtId="0" fontId="0" fillId="8" borderId="1" xfId="0" applyFill="1" applyBorder="1"/>
    <xf numFmtId="174" fontId="0" fillId="0" borderId="14" xfId="0" applyNumberFormat="1" applyFill="1" applyBorder="1"/>
    <xf numFmtId="0" fontId="0" fillId="9" borderId="1" xfId="0" applyFill="1" applyBorder="1"/>
    <xf numFmtId="0" fontId="11" fillId="5" borderId="1" xfId="0" applyFont="1" applyFill="1" applyBorder="1"/>
    <xf numFmtId="174" fontId="0" fillId="0" borderId="0" xfId="0" applyNumberFormat="1" applyBorder="1"/>
    <xf numFmtId="0" fontId="0" fillId="9" borderId="0" xfId="0" applyFill="1" applyBorder="1"/>
    <xf numFmtId="177" fontId="0" fillId="0" borderId="1" xfId="0" applyNumberFormat="1" applyFill="1" applyBorder="1"/>
    <xf numFmtId="0" fontId="0" fillId="10" borderId="1" xfId="0" applyFill="1" applyBorder="1"/>
    <xf numFmtId="0" fontId="0" fillId="10" borderId="0" xfId="0" applyFill="1" applyBorder="1"/>
    <xf numFmtId="177" fontId="0" fillId="0" borderId="0" xfId="0" applyNumberFormat="1" applyFill="1" applyBorder="1"/>
    <xf numFmtId="0" fontId="0" fillId="0" borderId="14" xfId="0" applyFill="1" applyBorder="1"/>
    <xf numFmtId="174" fontId="0" fillId="0" borderId="1" xfId="0" applyNumberFormat="1" applyFill="1" applyBorder="1"/>
    <xf numFmtId="0" fontId="13" fillId="0" borderId="1" xfId="0" applyFont="1" applyBorder="1" applyAlignment="1">
      <alignment horizontal="center"/>
    </xf>
    <xf numFmtId="171" fontId="13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2" fontId="22" fillId="0" borderId="1" xfId="0" applyNumberFormat="1" applyFont="1" applyFill="1" applyBorder="1" applyAlignment="1">
      <alignment horizontal="center" vertical="center" wrapText="1"/>
    </xf>
    <xf numFmtId="0" fontId="0" fillId="13" borderId="0" xfId="0" applyFill="1"/>
    <xf numFmtId="0" fontId="19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Fill="1" applyBorder="1"/>
    <xf numFmtId="0" fontId="0" fillId="14" borderId="0" xfId="0" applyFill="1"/>
    <xf numFmtId="0" fontId="0" fillId="11" borderId="3" xfId="0" applyFill="1" applyBorder="1" applyAlignment="1">
      <alignment horizontal="center"/>
    </xf>
    <xf numFmtId="0" fontId="0" fillId="0" borderId="4" xfId="0" applyBorder="1"/>
    <xf numFmtId="0" fontId="0" fillId="0" borderId="18" xfId="0" applyBorder="1"/>
    <xf numFmtId="0" fontId="13" fillId="0" borderId="15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171" fontId="13" fillId="0" borderId="20" xfId="0" applyNumberFormat="1" applyFont="1" applyBorder="1" applyAlignment="1">
      <alignment horizontal="center"/>
    </xf>
    <xf numFmtId="0" fontId="0" fillId="0" borderId="0" xfId="0" applyBorder="1"/>
    <xf numFmtId="0" fontId="0" fillId="0" borderId="19" xfId="0" applyBorder="1"/>
    <xf numFmtId="0" fontId="13" fillId="14" borderId="5" xfId="0" applyFont="1" applyFill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171" fontId="13" fillId="0" borderId="17" xfId="0" applyNumberFormat="1" applyFont="1" applyBorder="1" applyAlignment="1">
      <alignment horizontal="center"/>
    </xf>
    <xf numFmtId="171" fontId="13" fillId="0" borderId="21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72" fontId="24" fillId="0" borderId="1" xfId="0" applyNumberFormat="1" applyFont="1" applyBorder="1" applyAlignment="1">
      <alignment horizontal="center" vertical="center" wrapText="1"/>
    </xf>
    <xf numFmtId="171" fontId="13" fillId="0" borderId="1" xfId="0" applyNumberFormat="1" applyFont="1" applyBorder="1"/>
    <xf numFmtId="171" fontId="19" fillId="0" borderId="1" xfId="0" applyNumberFormat="1" applyFont="1" applyBorder="1"/>
    <xf numFmtId="0" fontId="25" fillId="0" borderId="1" xfId="0" applyFont="1" applyBorder="1" applyAlignment="1">
      <alignment horizontal="center"/>
    </xf>
    <xf numFmtId="171" fontId="19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172" fontId="13" fillId="0" borderId="1" xfId="0" applyNumberFormat="1" applyFont="1" applyBorder="1" applyAlignment="1">
      <alignment horizontal="center" vertical="center"/>
    </xf>
    <xf numFmtId="171" fontId="13" fillId="0" borderId="1" xfId="0" applyNumberFormat="1" applyFont="1" applyBorder="1" applyAlignment="1">
      <alignment horizontal="center" vertical="center"/>
    </xf>
    <xf numFmtId="172" fontId="0" fillId="0" borderId="0" xfId="0" applyNumberFormat="1"/>
    <xf numFmtId="171" fontId="0" fillId="0" borderId="0" xfId="0" applyNumberFormat="1"/>
    <xf numFmtId="0" fontId="19" fillId="0" borderId="25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172" fontId="13" fillId="0" borderId="1" xfId="0" applyNumberFormat="1" applyFont="1" applyBorder="1"/>
    <xf numFmtId="171" fontId="19" fillId="0" borderId="17" xfId="0" applyNumberFormat="1" applyFont="1" applyBorder="1"/>
    <xf numFmtId="0" fontId="26" fillId="5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/>
    </xf>
    <xf numFmtId="0" fontId="12" fillId="3" borderId="0" xfId="0" applyFont="1" applyFill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8" fillId="5" borderId="13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 wrapText="1"/>
    </xf>
    <xf numFmtId="0" fontId="17" fillId="5" borderId="0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0" fontId="20" fillId="12" borderId="13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7">
    <cellStyle name="Currency [0] 2" xfId="4" xr:uid="{00000000-0005-0000-0000-000000000000}"/>
    <cellStyle name="Currency 2" xfId="3" xr:uid="{00000000-0005-0000-0000-000001000000}"/>
    <cellStyle name="Moneda" xfId="1" builtinId="4"/>
    <cellStyle name="Moneda [0]" xfId="2" builtinId="7"/>
    <cellStyle name="Moneda 2" xfId="5" xr:uid="{00000000-0005-0000-0000-000004000000}"/>
    <cellStyle name="Normal" xfId="0" builtinId="0"/>
    <cellStyle name="Porcentaje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051D9-4E3D-4953-9B0F-5B531DDE82CF}">
  <dimension ref="A2:O256"/>
  <sheetViews>
    <sheetView topLeftCell="D211" zoomScale="70" zoomScaleNormal="70" workbookViewId="0">
      <selection activeCell="O244" sqref="O244"/>
    </sheetView>
  </sheetViews>
  <sheetFormatPr baseColWidth="10" defaultColWidth="11.5703125" defaultRowHeight="15" x14ac:dyDescent="0.25"/>
  <cols>
    <col min="1" max="1" width="41.7109375" customWidth="1"/>
    <col min="2" max="2" width="31.140625" customWidth="1"/>
    <col min="3" max="3" width="27.7109375" customWidth="1"/>
    <col min="4" max="4" width="40.28515625" customWidth="1"/>
    <col min="5" max="5" width="25" customWidth="1"/>
    <col min="6" max="6" width="23.5703125" customWidth="1"/>
    <col min="7" max="7" width="23.7109375" customWidth="1"/>
    <col min="8" max="11" width="20.5703125" bestFit="1" customWidth="1"/>
    <col min="12" max="12" width="22.140625" customWidth="1"/>
    <col min="13" max="13" width="20" customWidth="1"/>
    <col min="14" max="14" width="23.42578125" bestFit="1" customWidth="1"/>
    <col min="15" max="15" width="34.140625" customWidth="1"/>
    <col min="16" max="16" width="19.85546875" bestFit="1" customWidth="1"/>
    <col min="17" max="17" width="19.42578125" bestFit="1" customWidth="1"/>
  </cols>
  <sheetData>
    <row r="2" spans="1:6" ht="23.45" customHeight="1" x14ac:dyDescent="0.25">
      <c r="A2" s="154" t="s">
        <v>58</v>
      </c>
      <c r="B2" s="154"/>
    </row>
    <row r="3" spans="1:6" ht="23.45" customHeight="1" x14ac:dyDescent="0.25">
      <c r="A3" s="155"/>
      <c r="B3" s="155"/>
    </row>
    <row r="4" spans="1:6" x14ac:dyDescent="0.25">
      <c r="A4" s="54" t="s">
        <v>59</v>
      </c>
      <c r="B4" s="54" t="s">
        <v>60</v>
      </c>
    </row>
    <row r="5" spans="1:6" x14ac:dyDescent="0.25">
      <c r="A5" s="55" t="s">
        <v>61</v>
      </c>
      <c r="B5" s="56">
        <v>4000000</v>
      </c>
    </row>
    <row r="6" spans="1:6" x14ac:dyDescent="0.25">
      <c r="A6" s="55" t="s">
        <v>62</v>
      </c>
      <c r="B6" s="56">
        <v>1200000</v>
      </c>
    </row>
    <row r="7" spans="1:6" x14ac:dyDescent="0.25">
      <c r="A7" s="55" t="s">
        <v>63</v>
      </c>
      <c r="B7" s="56">
        <v>3000000</v>
      </c>
    </row>
    <row r="8" spans="1:6" x14ac:dyDescent="0.25">
      <c r="A8" s="55" t="s">
        <v>64</v>
      </c>
      <c r="B8" s="56">
        <v>2500000</v>
      </c>
    </row>
    <row r="9" spans="1:6" x14ac:dyDescent="0.25">
      <c r="A9" s="57" t="s">
        <v>65</v>
      </c>
      <c r="B9" s="58">
        <v>3100000</v>
      </c>
    </row>
    <row r="10" spans="1:6" x14ac:dyDescent="0.25">
      <c r="A10" s="57" t="s">
        <v>66</v>
      </c>
      <c r="B10" s="58">
        <v>1500000</v>
      </c>
    </row>
    <row r="11" spans="1:6" x14ac:dyDescent="0.25">
      <c r="A11" s="57" t="s">
        <v>67</v>
      </c>
      <c r="B11" s="58">
        <v>2100000</v>
      </c>
    </row>
    <row r="12" spans="1:6" x14ac:dyDescent="0.25">
      <c r="A12" s="57" t="s">
        <v>68</v>
      </c>
      <c r="B12" s="58">
        <v>900000</v>
      </c>
    </row>
    <row r="13" spans="1:6" x14ac:dyDescent="0.25">
      <c r="A13" s="57" t="s">
        <v>69</v>
      </c>
      <c r="B13" s="58">
        <v>1100000</v>
      </c>
    </row>
    <row r="14" spans="1:6" x14ac:dyDescent="0.25">
      <c r="A14" s="57"/>
      <c r="B14" s="58"/>
    </row>
    <row r="15" spans="1:6" x14ac:dyDescent="0.25">
      <c r="A15" s="59" t="s">
        <v>70</v>
      </c>
      <c r="B15" s="60" t="s">
        <v>71</v>
      </c>
      <c r="C15" s="59" t="s">
        <v>72</v>
      </c>
      <c r="D15" s="59" t="s">
        <v>73</v>
      </c>
      <c r="E15" s="59" t="s">
        <v>74</v>
      </c>
      <c r="F15" s="59" t="s">
        <v>23</v>
      </c>
    </row>
    <row r="16" spans="1:6" x14ac:dyDescent="0.25">
      <c r="A16" s="55" t="s">
        <v>75</v>
      </c>
      <c r="B16" s="61">
        <v>8.5000000000000006E-2</v>
      </c>
      <c r="C16" s="62">
        <v>0.04</v>
      </c>
      <c r="D16" s="63" t="s">
        <v>76</v>
      </c>
      <c r="E16" s="64" t="s">
        <v>77</v>
      </c>
      <c r="F16" s="65">
        <v>8.3333333333333343E-2</v>
      </c>
    </row>
    <row r="17" spans="1:14" x14ac:dyDescent="0.25">
      <c r="A17" s="55" t="s">
        <v>78</v>
      </c>
      <c r="B17" s="61">
        <v>0.12</v>
      </c>
      <c r="C17" s="62">
        <v>0.04</v>
      </c>
      <c r="D17" s="63" t="s">
        <v>79</v>
      </c>
      <c r="E17" s="64" t="s">
        <v>80</v>
      </c>
      <c r="F17" s="65">
        <v>8.3333333333333343E-2</v>
      </c>
    </row>
    <row r="18" spans="1:14" x14ac:dyDescent="0.25">
      <c r="A18" s="55" t="s">
        <v>81</v>
      </c>
      <c r="B18" s="66">
        <v>5.2199999999999998E-3</v>
      </c>
      <c r="C18" s="55"/>
      <c r="D18" s="63" t="s">
        <v>82</v>
      </c>
      <c r="E18" s="64" t="s">
        <v>83</v>
      </c>
      <c r="F18" s="61">
        <v>0.12</v>
      </c>
    </row>
    <row r="19" spans="1:14" x14ac:dyDescent="0.25">
      <c r="A19" s="57" t="s">
        <v>84</v>
      </c>
      <c r="B19" s="61">
        <v>0.02</v>
      </c>
      <c r="C19" s="55"/>
      <c r="D19" s="63" t="s">
        <v>85</v>
      </c>
      <c r="E19" s="64" t="s">
        <v>86</v>
      </c>
      <c r="F19" s="66">
        <v>4.1700000000000001E-2</v>
      </c>
    </row>
    <row r="20" spans="1:14" x14ac:dyDescent="0.25">
      <c r="A20" s="57" t="s">
        <v>87</v>
      </c>
      <c r="B20" s="61">
        <v>0.03</v>
      </c>
      <c r="C20" s="55"/>
      <c r="D20" s="67"/>
      <c r="E20" s="68"/>
      <c r="F20" s="63"/>
    </row>
    <row r="21" spans="1:14" x14ac:dyDescent="0.25">
      <c r="A21" s="57" t="s">
        <v>88</v>
      </c>
      <c r="B21" s="61">
        <v>0.04</v>
      </c>
      <c r="C21" s="55"/>
      <c r="E21" s="67" t="s">
        <v>89</v>
      </c>
      <c r="F21" s="69">
        <v>97032</v>
      </c>
    </row>
    <row r="22" spans="1:14" x14ac:dyDescent="0.25">
      <c r="A22" s="70" t="s">
        <v>90</v>
      </c>
      <c r="B22" s="71"/>
    </row>
    <row r="23" spans="1:14" x14ac:dyDescent="0.25">
      <c r="A23" s="72"/>
      <c r="B23" s="71"/>
    </row>
    <row r="24" spans="1:14" x14ac:dyDescent="0.25">
      <c r="A24" s="73"/>
    </row>
    <row r="25" spans="1:14" x14ac:dyDescent="0.25">
      <c r="A25" s="74" t="s">
        <v>61</v>
      </c>
      <c r="B25" s="75" t="s">
        <v>91</v>
      </c>
      <c r="D25" s="74" t="s">
        <v>92</v>
      </c>
      <c r="E25" s="75" t="s">
        <v>91</v>
      </c>
      <c r="G25" s="74" t="str">
        <f>+A7</f>
        <v>Ingeniero de mediciones</v>
      </c>
      <c r="H25" s="75" t="s">
        <v>91</v>
      </c>
      <c r="J25" s="74" t="str">
        <f>+A8</f>
        <v>Coordinador Diurno</v>
      </c>
      <c r="K25" s="75" t="s">
        <v>91</v>
      </c>
      <c r="M25" s="74" t="str">
        <f>+A9</f>
        <v>Coordinador Nocturno</v>
      </c>
      <c r="N25" s="75" t="s">
        <v>91</v>
      </c>
    </row>
    <row r="26" spans="1:14" x14ac:dyDescent="0.25">
      <c r="A26" s="76" t="s">
        <v>93</v>
      </c>
      <c r="B26" s="77">
        <f>+B5</f>
        <v>4000000</v>
      </c>
      <c r="D26" s="76" t="s">
        <v>93</v>
      </c>
      <c r="E26" s="77">
        <f>+B6</f>
        <v>1200000</v>
      </c>
      <c r="G26" s="76" t="s">
        <v>93</v>
      </c>
      <c r="H26" s="77">
        <f>+B7</f>
        <v>3000000</v>
      </c>
      <c r="J26" s="76" t="s">
        <v>93</v>
      </c>
      <c r="K26" s="77">
        <f>+B8</f>
        <v>2500000</v>
      </c>
      <c r="M26" s="76" t="s">
        <v>93</v>
      </c>
      <c r="N26" s="77">
        <f>+B9</f>
        <v>3100000</v>
      </c>
    </row>
    <row r="27" spans="1:14" x14ac:dyDescent="0.25">
      <c r="A27" s="76" t="s">
        <v>94</v>
      </c>
      <c r="B27" s="78"/>
      <c r="D27" s="76" t="s">
        <v>94</v>
      </c>
      <c r="E27" s="78">
        <f>+F21</f>
        <v>97032</v>
      </c>
      <c r="G27" s="76" t="s">
        <v>94</v>
      </c>
      <c r="H27" s="78">
        <f>+I21</f>
        <v>0</v>
      </c>
      <c r="J27" s="76" t="s">
        <v>94</v>
      </c>
      <c r="K27" s="78">
        <f>+L21</f>
        <v>0</v>
      </c>
      <c r="M27" s="76" t="s">
        <v>94</v>
      </c>
      <c r="N27" s="78">
        <f>+O21</f>
        <v>0</v>
      </c>
    </row>
    <row r="28" spans="1:14" x14ac:dyDescent="0.25">
      <c r="A28" s="76" t="s">
        <v>95</v>
      </c>
      <c r="B28" s="79">
        <f>+B27+B26</f>
        <v>4000000</v>
      </c>
      <c r="D28" s="76" t="s">
        <v>95</v>
      </c>
      <c r="E28" s="79">
        <f>+E27+E26</f>
        <v>1297032</v>
      </c>
      <c r="G28" s="76" t="s">
        <v>95</v>
      </c>
      <c r="H28" s="79">
        <f>+H27+H26</f>
        <v>3000000</v>
      </c>
      <c r="J28" s="76" t="s">
        <v>95</v>
      </c>
      <c r="K28" s="79">
        <f>+K27+K26</f>
        <v>2500000</v>
      </c>
      <c r="M28" s="76" t="s">
        <v>95</v>
      </c>
      <c r="N28" s="79">
        <f>+N27+N26</f>
        <v>3100000</v>
      </c>
    </row>
    <row r="29" spans="1:14" x14ac:dyDescent="0.25">
      <c r="A29" s="80" t="s">
        <v>96</v>
      </c>
      <c r="B29" s="69"/>
      <c r="D29" s="80" t="s">
        <v>96</v>
      </c>
      <c r="E29" s="69"/>
      <c r="G29" s="80" t="s">
        <v>96</v>
      </c>
      <c r="H29" s="69"/>
      <c r="J29" s="80" t="s">
        <v>96</v>
      </c>
      <c r="K29" s="69"/>
      <c r="M29" s="80" t="s">
        <v>96</v>
      </c>
      <c r="N29" s="69"/>
    </row>
    <row r="30" spans="1:14" x14ac:dyDescent="0.25">
      <c r="A30" s="80" t="s">
        <v>97</v>
      </c>
      <c r="B30" s="69"/>
      <c r="D30" s="80" t="s">
        <v>97</v>
      </c>
      <c r="E30" s="69"/>
      <c r="G30" s="80" t="s">
        <v>97</v>
      </c>
      <c r="H30" s="69"/>
      <c r="J30" s="80" t="s">
        <v>97</v>
      </c>
      <c r="K30" s="69"/>
      <c r="M30" s="80" t="s">
        <v>97</v>
      </c>
      <c r="N30" s="69"/>
    </row>
    <row r="31" spans="1:14" x14ac:dyDescent="0.25">
      <c r="A31" s="80" t="s">
        <v>98</v>
      </c>
      <c r="B31" s="69"/>
      <c r="D31" s="80" t="s">
        <v>98</v>
      </c>
      <c r="E31" s="69"/>
      <c r="G31" s="80" t="s">
        <v>98</v>
      </c>
      <c r="H31" s="69"/>
      <c r="J31" s="80" t="s">
        <v>98</v>
      </c>
      <c r="K31" s="69"/>
      <c r="M31" s="80" t="s">
        <v>98</v>
      </c>
      <c r="N31" s="69"/>
    </row>
    <row r="32" spans="1:14" x14ac:dyDescent="0.25">
      <c r="A32" s="81" t="s">
        <v>76</v>
      </c>
      <c r="B32" s="82">
        <f>+$F$16*B28</f>
        <v>333333.33333333337</v>
      </c>
      <c r="D32" s="81" t="s">
        <v>76</v>
      </c>
      <c r="E32" s="82">
        <f>+$F$16*E28</f>
        <v>108086.00000000001</v>
      </c>
      <c r="G32" s="81" t="s">
        <v>76</v>
      </c>
      <c r="H32" s="82">
        <f>+$F$16*$H$28</f>
        <v>250000.00000000003</v>
      </c>
      <c r="J32" s="81" t="s">
        <v>76</v>
      </c>
      <c r="K32" s="82">
        <f>+$F$16*$K$28</f>
        <v>208333.33333333334</v>
      </c>
      <c r="M32" s="81" t="s">
        <v>76</v>
      </c>
      <c r="N32" s="82">
        <f>+$F$16*$N$28</f>
        <v>258333.33333333337</v>
      </c>
    </row>
    <row r="33" spans="1:14" x14ac:dyDescent="0.25">
      <c r="A33" s="81" t="s">
        <v>79</v>
      </c>
      <c r="B33" s="69">
        <f>+B28*F16</f>
        <v>333333.33333333337</v>
      </c>
      <c r="D33" s="81" t="s">
        <v>79</v>
      </c>
      <c r="E33" s="69">
        <f>+E28*F17</f>
        <v>108086.00000000001</v>
      </c>
      <c r="G33" s="81" t="s">
        <v>79</v>
      </c>
      <c r="H33" s="69">
        <f>+H28*$F$17</f>
        <v>250000.00000000003</v>
      </c>
      <c r="J33" s="81" t="s">
        <v>79</v>
      </c>
      <c r="K33" s="69">
        <f>+K28*$F$17</f>
        <v>208333.33333333334</v>
      </c>
      <c r="M33" s="81" t="s">
        <v>79</v>
      </c>
      <c r="N33" s="69">
        <f>+N28*$F$17</f>
        <v>258333.33333333337</v>
      </c>
    </row>
    <row r="34" spans="1:14" x14ac:dyDescent="0.25">
      <c r="A34" s="81" t="s">
        <v>99</v>
      </c>
      <c r="B34" s="69">
        <f>+B33*F18</f>
        <v>40000</v>
      </c>
      <c r="D34" s="81" t="s">
        <v>99</v>
      </c>
      <c r="E34" s="69">
        <f>+E33*F18</f>
        <v>12970.320000000002</v>
      </c>
      <c r="G34" s="81" t="s">
        <v>99</v>
      </c>
      <c r="H34" s="69">
        <f>+H33*$F$18</f>
        <v>30000.000000000004</v>
      </c>
      <c r="J34" s="81" t="s">
        <v>99</v>
      </c>
      <c r="K34" s="69">
        <f>+K33*$F$18</f>
        <v>25000</v>
      </c>
      <c r="M34" s="81" t="s">
        <v>99</v>
      </c>
      <c r="N34" s="69">
        <f>+N33*$F$18</f>
        <v>31000.000000000004</v>
      </c>
    </row>
    <row r="35" spans="1:14" x14ac:dyDescent="0.25">
      <c r="A35" s="83" t="s">
        <v>85</v>
      </c>
      <c r="B35" s="69">
        <f>+F19*B26</f>
        <v>166800</v>
      </c>
      <c r="D35" s="83" t="s">
        <v>85</v>
      </c>
      <c r="E35" s="69">
        <f>+F19*E26</f>
        <v>50040</v>
      </c>
      <c r="G35" s="83" t="s">
        <v>85</v>
      </c>
      <c r="H35" s="69">
        <f>+F19*$H$26</f>
        <v>125100</v>
      </c>
      <c r="J35" s="83" t="s">
        <v>85</v>
      </c>
      <c r="K35" s="69">
        <f>+F19*$K$28</f>
        <v>104250</v>
      </c>
      <c r="M35" s="83" t="s">
        <v>85</v>
      </c>
      <c r="N35" s="69">
        <f>+F19*$K$28</f>
        <v>104250</v>
      </c>
    </row>
    <row r="36" spans="1:14" x14ac:dyDescent="0.25">
      <c r="A36" s="84" t="s">
        <v>75</v>
      </c>
      <c r="B36" s="69">
        <f t="shared" ref="B36:B41" si="0">+$B$26*B16</f>
        <v>340000</v>
      </c>
      <c r="D36" s="84" t="s">
        <v>75</v>
      </c>
      <c r="E36" s="69">
        <f>+$E$26*$B$16</f>
        <v>102000.00000000001</v>
      </c>
      <c r="G36" s="84" t="s">
        <v>75</v>
      </c>
      <c r="H36" s="69">
        <f>+$H$26*$B$16</f>
        <v>255000.00000000003</v>
      </c>
      <c r="J36" s="84" t="s">
        <v>75</v>
      </c>
      <c r="K36" s="69">
        <f>+$K$26*$B$16</f>
        <v>212500.00000000003</v>
      </c>
      <c r="M36" s="84" t="s">
        <v>75</v>
      </c>
      <c r="N36" s="69">
        <f>+$N$26*$B$16</f>
        <v>263500</v>
      </c>
    </row>
    <row r="37" spans="1:14" x14ac:dyDescent="0.25">
      <c r="A37" s="84" t="s">
        <v>78</v>
      </c>
      <c r="B37" s="69">
        <f t="shared" si="0"/>
        <v>480000</v>
      </c>
      <c r="D37" s="84" t="s">
        <v>78</v>
      </c>
      <c r="E37" s="69">
        <f>+$E$26*$B$17</f>
        <v>144000</v>
      </c>
      <c r="G37" s="84" t="s">
        <v>78</v>
      </c>
      <c r="H37" s="69">
        <f>+$H$26*$B$17</f>
        <v>360000</v>
      </c>
      <c r="J37" s="84" t="s">
        <v>78</v>
      </c>
      <c r="K37" s="69">
        <f>+$K$26*$B$17</f>
        <v>300000</v>
      </c>
      <c r="M37" s="84" t="s">
        <v>78</v>
      </c>
      <c r="N37" s="69">
        <f>+$N$26*$B$17</f>
        <v>372000</v>
      </c>
    </row>
    <row r="38" spans="1:14" x14ac:dyDescent="0.25">
      <c r="A38" s="84" t="s">
        <v>100</v>
      </c>
      <c r="B38" s="69">
        <f t="shared" si="0"/>
        <v>20880</v>
      </c>
      <c r="D38" s="84" t="s">
        <v>100</v>
      </c>
      <c r="E38" s="69">
        <f>+$E$26*B18</f>
        <v>6264</v>
      </c>
      <c r="G38" s="84" t="s">
        <v>100</v>
      </c>
      <c r="H38" s="69">
        <f>+$H$26*$F$18</f>
        <v>360000</v>
      </c>
      <c r="J38" s="84" t="s">
        <v>100</v>
      </c>
      <c r="K38" s="69">
        <f>+$K$26*$F$18</f>
        <v>300000</v>
      </c>
      <c r="M38" s="84" t="s">
        <v>100</v>
      </c>
      <c r="N38" s="69">
        <f>+$N$26*$F$18</f>
        <v>372000</v>
      </c>
    </row>
    <row r="39" spans="1:14" x14ac:dyDescent="0.25">
      <c r="A39" s="84" t="s">
        <v>84</v>
      </c>
      <c r="B39" s="69">
        <f t="shared" si="0"/>
        <v>80000</v>
      </c>
      <c r="D39" s="84" t="s">
        <v>84</v>
      </c>
      <c r="E39" s="69">
        <f>+$E$26*$B$19</f>
        <v>24000</v>
      </c>
      <c r="G39" s="84" t="s">
        <v>84</v>
      </c>
      <c r="H39" s="69">
        <f>+$H$26*$B$19</f>
        <v>60000</v>
      </c>
      <c r="J39" s="84" t="s">
        <v>84</v>
      </c>
      <c r="K39" s="69">
        <f>+$K$26*$B$19</f>
        <v>50000</v>
      </c>
      <c r="M39" s="84" t="s">
        <v>84</v>
      </c>
      <c r="N39" s="69">
        <f>+$N$26*$B$19</f>
        <v>62000</v>
      </c>
    </row>
    <row r="40" spans="1:14" x14ac:dyDescent="0.25">
      <c r="A40" s="84" t="s">
        <v>87</v>
      </c>
      <c r="B40" s="69">
        <f t="shared" si="0"/>
        <v>120000</v>
      </c>
      <c r="D40" s="84" t="s">
        <v>87</v>
      </c>
      <c r="E40" s="69">
        <f>+$E$26*$B$20</f>
        <v>36000</v>
      </c>
      <c r="G40" s="84" t="s">
        <v>87</v>
      </c>
      <c r="H40" s="69">
        <f>+$H$26*$B$20</f>
        <v>90000</v>
      </c>
      <c r="J40" s="84" t="s">
        <v>87</v>
      </c>
      <c r="K40" s="69">
        <f>+$K$26*$B$20</f>
        <v>75000</v>
      </c>
      <c r="M40" s="84" t="s">
        <v>87</v>
      </c>
      <c r="N40" s="69">
        <f>+$N$26*$B$20</f>
        <v>93000</v>
      </c>
    </row>
    <row r="41" spans="1:14" x14ac:dyDescent="0.25">
      <c r="A41" s="84" t="s">
        <v>88</v>
      </c>
      <c r="B41" s="69">
        <f t="shared" si="0"/>
        <v>160000</v>
      </c>
      <c r="D41" s="84" t="s">
        <v>88</v>
      </c>
      <c r="E41" s="69">
        <f>+$E$26*B21</f>
        <v>48000</v>
      </c>
      <c r="G41" s="84" t="s">
        <v>88</v>
      </c>
      <c r="H41" s="69" t="e">
        <f>+$H$26*#REF!</f>
        <v>#REF!</v>
      </c>
      <c r="J41" s="84" t="s">
        <v>88</v>
      </c>
      <c r="K41" s="69">
        <f>+$K$26*$B$21</f>
        <v>100000</v>
      </c>
      <c r="M41" s="84" t="s">
        <v>88</v>
      </c>
      <c r="N41" s="69">
        <f>+$N$26*$B$21</f>
        <v>124000</v>
      </c>
    </row>
    <row r="42" spans="1:14" x14ac:dyDescent="0.25">
      <c r="A42" s="85" t="s">
        <v>22</v>
      </c>
      <c r="B42" s="86">
        <f>+B28+B32+B33+B34+B35+B36+B37+B38+B39+B40+B41</f>
        <v>6074346.666666666</v>
      </c>
      <c r="D42" s="85" t="s">
        <v>22</v>
      </c>
      <c r="E42" s="86">
        <f>+E28+E32+E33+E34+E35+E36+E37+E38+E39+E40+E41</f>
        <v>1936478.32</v>
      </c>
      <c r="G42" s="85" t="s">
        <v>22</v>
      </c>
      <c r="H42" s="86" t="e">
        <f>+H28+H32+H33+H34+H35+H36+H37+H38+H39+H40+H41</f>
        <v>#REF!</v>
      </c>
      <c r="J42" s="85" t="s">
        <v>22</v>
      </c>
      <c r="K42" s="86">
        <f>+K28+K32+K33+K34+K35+K36+K37+K38+K39+K40+K41</f>
        <v>4083416.666666667</v>
      </c>
      <c r="M42" s="85" t="s">
        <v>22</v>
      </c>
      <c r="N42" s="86">
        <f>+N28+N32+N33+N34+N35+N36+N37+N38+N39+N40+N41</f>
        <v>5038416.666666667</v>
      </c>
    </row>
    <row r="43" spans="1:14" ht="15.75" thickBot="1" x14ac:dyDescent="0.3">
      <c r="A43" s="87" t="s">
        <v>101</v>
      </c>
      <c r="B43" s="88">
        <f>+B42-B32-B33-B34-B35</f>
        <v>5200880</v>
      </c>
      <c r="D43" s="87" t="s">
        <v>101</v>
      </c>
      <c r="E43" s="88">
        <f>+E42-E32-E33-E34-E35</f>
        <v>1657296</v>
      </c>
      <c r="G43" s="87" t="s">
        <v>101</v>
      </c>
      <c r="H43" s="88" t="e">
        <f>+H42-H32-H33-H34-H35</f>
        <v>#REF!</v>
      </c>
      <c r="J43" s="87" t="s">
        <v>101</v>
      </c>
      <c r="K43" s="88">
        <f>+K42-K32-K33-K34-K35</f>
        <v>3537500</v>
      </c>
      <c r="M43" s="87" t="s">
        <v>101</v>
      </c>
      <c r="N43" s="88">
        <f>+N42-N32-N33-N34-N35</f>
        <v>4386500.0000000009</v>
      </c>
    </row>
    <row r="46" spans="1:14" x14ac:dyDescent="0.25">
      <c r="A46" s="74" t="s">
        <v>102</v>
      </c>
      <c r="B46" s="75" t="s">
        <v>91</v>
      </c>
      <c r="D46" s="74" t="s">
        <v>103</v>
      </c>
      <c r="E46" s="75" t="s">
        <v>91</v>
      </c>
      <c r="G46" s="74" t="s">
        <v>68</v>
      </c>
      <c r="H46" s="75" t="s">
        <v>91</v>
      </c>
      <c r="J46" s="74" t="s">
        <v>104</v>
      </c>
      <c r="K46" s="75" t="s">
        <v>91</v>
      </c>
    </row>
    <row r="47" spans="1:14" x14ac:dyDescent="0.25">
      <c r="A47" s="76" t="s">
        <v>93</v>
      </c>
      <c r="B47" s="77">
        <f>+B10</f>
        <v>1500000</v>
      </c>
      <c r="D47" s="76" t="s">
        <v>93</v>
      </c>
      <c r="E47" s="77">
        <f>+B11</f>
        <v>2100000</v>
      </c>
      <c r="G47" s="76" t="s">
        <v>93</v>
      </c>
      <c r="H47" s="77">
        <f>+B12</f>
        <v>900000</v>
      </c>
      <c r="J47" s="76" t="s">
        <v>93</v>
      </c>
      <c r="K47" s="77">
        <f>+B13</f>
        <v>1100000</v>
      </c>
    </row>
    <row r="48" spans="1:14" x14ac:dyDescent="0.25">
      <c r="A48" s="76" t="s">
        <v>94</v>
      </c>
      <c r="B48" s="78">
        <f>+F21</f>
        <v>97032</v>
      </c>
      <c r="D48" s="76" t="s">
        <v>94</v>
      </c>
      <c r="E48" s="78"/>
      <c r="G48" s="76" t="s">
        <v>94</v>
      </c>
      <c r="H48" s="78">
        <f>+F21</f>
        <v>97032</v>
      </c>
      <c r="J48" s="76" t="s">
        <v>94</v>
      </c>
      <c r="K48" s="78">
        <f>+F21</f>
        <v>97032</v>
      </c>
    </row>
    <row r="49" spans="1:11" x14ac:dyDescent="0.25">
      <c r="A49" s="76" t="s">
        <v>95</v>
      </c>
      <c r="B49" s="79">
        <f>+B48+B47</f>
        <v>1597032</v>
      </c>
      <c r="D49" s="76" t="s">
        <v>95</v>
      </c>
      <c r="E49" s="79">
        <f>+E48+E47</f>
        <v>2100000</v>
      </c>
      <c r="G49" s="76" t="s">
        <v>95</v>
      </c>
      <c r="H49" s="79">
        <f>+H48+H47</f>
        <v>997032</v>
      </c>
      <c r="J49" s="76" t="s">
        <v>95</v>
      </c>
      <c r="K49" s="79">
        <f>+K48+K47</f>
        <v>1197032</v>
      </c>
    </row>
    <row r="50" spans="1:11" x14ac:dyDescent="0.25">
      <c r="A50" s="80" t="s">
        <v>96</v>
      </c>
      <c r="B50" s="69"/>
      <c r="D50" s="80" t="s">
        <v>96</v>
      </c>
      <c r="E50" s="69"/>
      <c r="G50" s="80" t="s">
        <v>96</v>
      </c>
      <c r="H50" s="69"/>
      <c r="J50" s="80" t="s">
        <v>96</v>
      </c>
      <c r="K50" s="69"/>
    </row>
    <row r="51" spans="1:11" x14ac:dyDescent="0.25">
      <c r="A51" s="80" t="s">
        <v>97</v>
      </c>
      <c r="B51" s="69"/>
      <c r="D51" s="80" t="s">
        <v>97</v>
      </c>
      <c r="E51" s="69"/>
      <c r="G51" s="80" t="s">
        <v>97</v>
      </c>
      <c r="H51" s="69"/>
      <c r="J51" s="80" t="s">
        <v>97</v>
      </c>
      <c r="K51" s="69"/>
    </row>
    <row r="52" spans="1:11" x14ac:dyDescent="0.25">
      <c r="A52" s="80" t="s">
        <v>98</v>
      </c>
      <c r="B52" s="69"/>
      <c r="D52" s="80" t="s">
        <v>98</v>
      </c>
      <c r="E52" s="69"/>
      <c r="G52" s="80" t="s">
        <v>98</v>
      </c>
      <c r="H52" s="69"/>
      <c r="J52" s="80" t="s">
        <v>98</v>
      </c>
      <c r="K52" s="69"/>
    </row>
    <row r="53" spans="1:11" x14ac:dyDescent="0.25">
      <c r="A53" s="81" t="s">
        <v>76</v>
      </c>
      <c r="B53" s="82">
        <f>+$F$16*B49</f>
        <v>133086.00000000003</v>
      </c>
      <c r="D53" s="81" t="s">
        <v>76</v>
      </c>
      <c r="E53" s="82">
        <f>+$F$16*E49</f>
        <v>175000.00000000003</v>
      </c>
      <c r="G53" s="81" t="s">
        <v>76</v>
      </c>
      <c r="H53" s="82">
        <f>+$F$16*H49</f>
        <v>83086.000000000015</v>
      </c>
      <c r="J53" s="81" t="s">
        <v>76</v>
      </c>
      <c r="K53" s="82">
        <f>+$F$16*K49</f>
        <v>99752.666666666672</v>
      </c>
    </row>
    <row r="54" spans="1:11" x14ac:dyDescent="0.25">
      <c r="A54" s="81" t="s">
        <v>79</v>
      </c>
      <c r="B54" s="69">
        <f>+B49*F17</f>
        <v>133086.00000000003</v>
      </c>
      <c r="D54" s="81" t="s">
        <v>79</v>
      </c>
      <c r="E54" s="69">
        <f>+E49*F17</f>
        <v>175000.00000000003</v>
      </c>
      <c r="G54" s="81" t="s">
        <v>79</v>
      </c>
      <c r="H54" s="69">
        <f>+H49*F17</f>
        <v>83086.000000000015</v>
      </c>
      <c r="J54" s="81" t="s">
        <v>79</v>
      </c>
      <c r="K54" s="69">
        <f>+K49*F17</f>
        <v>99752.666666666672</v>
      </c>
    </row>
    <row r="55" spans="1:11" x14ac:dyDescent="0.25">
      <c r="A55" s="81" t="s">
        <v>99</v>
      </c>
      <c r="B55" s="69">
        <f>+B54*F18</f>
        <v>15970.320000000003</v>
      </c>
      <c r="D55" s="81" t="s">
        <v>99</v>
      </c>
      <c r="E55" s="69">
        <f>+E54*F18</f>
        <v>21000.000000000004</v>
      </c>
      <c r="G55" s="81" t="s">
        <v>99</v>
      </c>
      <c r="H55" s="69">
        <f>+H54*F18</f>
        <v>9970.3200000000015</v>
      </c>
      <c r="J55" s="81" t="s">
        <v>99</v>
      </c>
      <c r="K55" s="69">
        <f>+K54*F18</f>
        <v>11970.32</v>
      </c>
    </row>
    <row r="56" spans="1:11" x14ac:dyDescent="0.25">
      <c r="A56" s="83" t="s">
        <v>85</v>
      </c>
      <c r="B56" s="69">
        <f>+F19*B47</f>
        <v>62550</v>
      </c>
      <c r="D56" s="83" t="s">
        <v>85</v>
      </c>
      <c r="E56" s="69">
        <f>+F19*E47</f>
        <v>87570</v>
      </c>
      <c r="G56" s="83" t="s">
        <v>85</v>
      </c>
      <c r="H56" s="69">
        <f>+F19*H47</f>
        <v>37530</v>
      </c>
      <c r="J56" s="83" t="s">
        <v>85</v>
      </c>
      <c r="K56" s="69">
        <f>+F19*K47</f>
        <v>45870</v>
      </c>
    </row>
    <row r="57" spans="1:11" x14ac:dyDescent="0.25">
      <c r="A57" s="84" t="s">
        <v>75</v>
      </c>
      <c r="B57" s="69">
        <f>+$B$47*B16</f>
        <v>127500.00000000001</v>
      </c>
      <c r="D57" s="84" t="s">
        <v>75</v>
      </c>
      <c r="E57" s="69">
        <f>+$E$47*B16</f>
        <v>178500</v>
      </c>
      <c r="G57" s="84" t="s">
        <v>75</v>
      </c>
      <c r="H57" s="69">
        <f>+$H$47*B16</f>
        <v>76500</v>
      </c>
      <c r="J57" s="84" t="s">
        <v>75</v>
      </c>
      <c r="K57" s="69">
        <f>+$K$47*B16</f>
        <v>93500</v>
      </c>
    </row>
    <row r="58" spans="1:11" x14ac:dyDescent="0.25">
      <c r="A58" s="84" t="s">
        <v>78</v>
      </c>
      <c r="B58" s="69">
        <f>+$B$47*B17</f>
        <v>180000</v>
      </c>
      <c r="D58" s="84" t="s">
        <v>78</v>
      </c>
      <c r="E58" s="69">
        <f t="shared" ref="E58:E62" si="1">+$E$47*B17</f>
        <v>252000</v>
      </c>
      <c r="G58" s="84" t="s">
        <v>78</v>
      </c>
      <c r="H58" s="69">
        <f t="shared" ref="H58:H62" si="2">+$H$47*B17</f>
        <v>108000</v>
      </c>
      <c r="J58" s="84" t="s">
        <v>78</v>
      </c>
      <c r="K58" s="69">
        <f t="shared" ref="K58:K62" si="3">+$K$47*B17</f>
        <v>132000</v>
      </c>
    </row>
    <row r="59" spans="1:11" x14ac:dyDescent="0.25">
      <c r="A59" s="84" t="s">
        <v>100</v>
      </c>
      <c r="B59" s="69">
        <f t="shared" ref="B59:B61" si="4">+$B$47*B18</f>
        <v>7830</v>
      </c>
      <c r="D59" s="84" t="s">
        <v>100</v>
      </c>
      <c r="E59" s="69">
        <f t="shared" si="1"/>
        <v>10962</v>
      </c>
      <c r="G59" s="84" t="s">
        <v>100</v>
      </c>
      <c r="H59" s="69">
        <f>+$H$47*B18</f>
        <v>4698</v>
      </c>
      <c r="J59" s="84" t="s">
        <v>100</v>
      </c>
      <c r="K59" s="69">
        <f>+$K$47*B18</f>
        <v>5742</v>
      </c>
    </row>
    <row r="60" spans="1:11" x14ac:dyDescent="0.25">
      <c r="A60" s="84" t="s">
        <v>84</v>
      </c>
      <c r="B60" s="69">
        <f t="shared" si="4"/>
        <v>30000</v>
      </c>
      <c r="D60" s="84" t="s">
        <v>84</v>
      </c>
      <c r="E60" s="69">
        <f t="shared" si="1"/>
        <v>42000</v>
      </c>
      <c r="G60" s="84" t="s">
        <v>84</v>
      </c>
      <c r="H60" s="69">
        <f t="shared" si="2"/>
        <v>18000</v>
      </c>
      <c r="J60" s="84" t="s">
        <v>84</v>
      </c>
      <c r="K60" s="69">
        <f t="shared" si="3"/>
        <v>22000</v>
      </c>
    </row>
    <row r="61" spans="1:11" x14ac:dyDescent="0.25">
      <c r="A61" s="84" t="s">
        <v>87</v>
      </c>
      <c r="B61" s="69">
        <f t="shared" si="4"/>
        <v>45000</v>
      </c>
      <c r="D61" s="84" t="s">
        <v>87</v>
      </c>
      <c r="E61" s="69">
        <f>+$E$47*B20</f>
        <v>63000</v>
      </c>
      <c r="G61" s="84" t="s">
        <v>87</v>
      </c>
      <c r="H61" s="69">
        <f t="shared" si="2"/>
        <v>27000</v>
      </c>
      <c r="J61" s="84" t="s">
        <v>87</v>
      </c>
      <c r="K61" s="69">
        <f t="shared" si="3"/>
        <v>33000</v>
      </c>
    </row>
    <row r="62" spans="1:11" x14ac:dyDescent="0.25">
      <c r="A62" s="84" t="s">
        <v>88</v>
      </c>
      <c r="B62" s="69">
        <f>+$B$47*B21</f>
        <v>60000</v>
      </c>
      <c r="D62" s="84" t="s">
        <v>88</v>
      </c>
      <c r="E62" s="69">
        <f t="shared" si="1"/>
        <v>84000</v>
      </c>
      <c r="G62" s="84" t="s">
        <v>88</v>
      </c>
      <c r="H62" s="69">
        <f t="shared" si="2"/>
        <v>36000</v>
      </c>
      <c r="J62" s="84" t="s">
        <v>88</v>
      </c>
      <c r="K62" s="69">
        <f t="shared" si="3"/>
        <v>44000</v>
      </c>
    </row>
    <row r="63" spans="1:11" x14ac:dyDescent="0.25">
      <c r="A63" s="85" t="s">
        <v>22</v>
      </c>
      <c r="B63" s="86">
        <f>+B49+B53+B54+B55+B56+B57+B58+B59+B60+B61+B62</f>
        <v>2392054.3200000003</v>
      </c>
      <c r="D63" s="85" t="s">
        <v>22</v>
      </c>
      <c r="E63" s="86">
        <f>+E49+E53+E54+E55+E56+E57+E58+E59+E60+E61+E62</f>
        <v>3189032</v>
      </c>
      <c r="G63" s="85" t="s">
        <v>22</v>
      </c>
      <c r="H63" s="86">
        <f>+H49+H53+H54+H55+H56+H57+H58+H59+H60+H61+H62</f>
        <v>1480902.32</v>
      </c>
      <c r="J63" s="85" t="s">
        <v>22</v>
      </c>
      <c r="K63" s="86">
        <f>+K49+K53+K54+K55+K56+K57+K58+K59+K60+K61+K62</f>
        <v>1784619.6533333336</v>
      </c>
    </row>
    <row r="64" spans="1:11" ht="15.75" thickBot="1" x14ac:dyDescent="0.3">
      <c r="A64" s="87" t="s">
        <v>101</v>
      </c>
      <c r="B64" s="88">
        <f>+B63-B53-B54-B55-B56</f>
        <v>2047362.0000000005</v>
      </c>
      <c r="D64" s="87" t="s">
        <v>101</v>
      </c>
      <c r="E64" s="88">
        <f>+E63-E53-E54-E55-E56</f>
        <v>2730462</v>
      </c>
      <c r="G64" s="87" t="s">
        <v>101</v>
      </c>
      <c r="H64" s="88">
        <f>+H63-H53-H54-H55-H56</f>
        <v>1267230</v>
      </c>
      <c r="J64" s="87" t="s">
        <v>101</v>
      </c>
      <c r="K64" s="88">
        <f>+K63-K53-K54-K55-K56</f>
        <v>1527274</v>
      </c>
    </row>
    <row r="69" spans="1:13" x14ac:dyDescent="0.25">
      <c r="A69" s="89" t="s">
        <v>105</v>
      </c>
      <c r="B69" s="90">
        <v>1</v>
      </c>
      <c r="C69" s="90">
        <v>2</v>
      </c>
      <c r="D69" s="90">
        <v>3</v>
      </c>
      <c r="E69" s="90">
        <v>4</v>
      </c>
      <c r="F69" s="90">
        <v>5</v>
      </c>
      <c r="G69" s="90">
        <v>6</v>
      </c>
      <c r="H69" s="90">
        <v>7</v>
      </c>
      <c r="I69" s="90">
        <v>8</v>
      </c>
      <c r="J69" s="90">
        <v>9</v>
      </c>
      <c r="K69" s="90">
        <v>10</v>
      </c>
      <c r="L69" s="90">
        <v>11</v>
      </c>
      <c r="M69" s="90">
        <v>12</v>
      </c>
    </row>
    <row r="70" spans="1:13" x14ac:dyDescent="0.25">
      <c r="A70" s="55" t="s">
        <v>60</v>
      </c>
      <c r="B70" s="69">
        <f>+B26</f>
        <v>4000000</v>
      </c>
      <c r="C70" s="69">
        <f t="shared" ref="C70:M85" si="5">B70</f>
        <v>4000000</v>
      </c>
      <c r="D70" s="69">
        <f t="shared" si="5"/>
        <v>4000000</v>
      </c>
      <c r="E70" s="69">
        <f t="shared" si="5"/>
        <v>4000000</v>
      </c>
      <c r="F70" s="69">
        <f t="shared" si="5"/>
        <v>4000000</v>
      </c>
      <c r="G70" s="69">
        <f t="shared" si="5"/>
        <v>4000000</v>
      </c>
      <c r="H70" s="69">
        <f t="shared" si="5"/>
        <v>4000000</v>
      </c>
      <c r="I70" s="69">
        <f t="shared" si="5"/>
        <v>4000000</v>
      </c>
      <c r="J70" s="69">
        <f t="shared" si="5"/>
        <v>4000000</v>
      </c>
      <c r="K70" s="69">
        <f t="shared" si="5"/>
        <v>4000000</v>
      </c>
      <c r="L70" s="69">
        <f t="shared" si="5"/>
        <v>4000000</v>
      </c>
      <c r="M70" s="69">
        <f t="shared" si="5"/>
        <v>4000000</v>
      </c>
    </row>
    <row r="71" spans="1:13" x14ac:dyDescent="0.25">
      <c r="A71" s="55" t="s">
        <v>94</v>
      </c>
      <c r="B71" s="69">
        <f>+B27</f>
        <v>0</v>
      </c>
      <c r="C71" s="69">
        <f t="shared" si="5"/>
        <v>0</v>
      </c>
      <c r="D71" s="69">
        <f t="shared" si="5"/>
        <v>0</v>
      </c>
      <c r="E71" s="69">
        <f t="shared" si="5"/>
        <v>0</v>
      </c>
      <c r="F71" s="69">
        <f t="shared" si="5"/>
        <v>0</v>
      </c>
      <c r="G71" s="69">
        <f t="shared" si="5"/>
        <v>0</v>
      </c>
      <c r="H71" s="69">
        <f t="shared" si="5"/>
        <v>0</v>
      </c>
      <c r="I71" s="69">
        <f t="shared" si="5"/>
        <v>0</v>
      </c>
      <c r="J71" s="69">
        <f t="shared" si="5"/>
        <v>0</v>
      </c>
      <c r="K71" s="69">
        <f t="shared" si="5"/>
        <v>0</v>
      </c>
      <c r="L71" s="69">
        <f t="shared" si="5"/>
        <v>0</v>
      </c>
      <c r="M71" s="69">
        <f t="shared" si="5"/>
        <v>0</v>
      </c>
    </row>
    <row r="72" spans="1:13" x14ac:dyDescent="0.25">
      <c r="A72" s="55" t="s">
        <v>95</v>
      </c>
      <c r="B72" s="69">
        <f>+B70+B71</f>
        <v>4000000</v>
      </c>
      <c r="C72" s="69">
        <f t="shared" si="5"/>
        <v>4000000</v>
      </c>
      <c r="D72" s="69">
        <f t="shared" si="5"/>
        <v>4000000</v>
      </c>
      <c r="E72" s="69">
        <f t="shared" si="5"/>
        <v>4000000</v>
      </c>
      <c r="F72" s="69">
        <f t="shared" si="5"/>
        <v>4000000</v>
      </c>
      <c r="G72" s="69">
        <f t="shared" si="5"/>
        <v>4000000</v>
      </c>
      <c r="H72" s="69">
        <f t="shared" si="5"/>
        <v>4000000</v>
      </c>
      <c r="I72" s="69">
        <f t="shared" si="5"/>
        <v>4000000</v>
      </c>
      <c r="J72" s="69">
        <f t="shared" si="5"/>
        <v>4000000</v>
      </c>
      <c r="K72" s="69">
        <f t="shared" si="5"/>
        <v>4000000</v>
      </c>
      <c r="L72" s="69">
        <f t="shared" si="5"/>
        <v>4000000</v>
      </c>
      <c r="M72" s="69">
        <f t="shared" si="5"/>
        <v>4000000</v>
      </c>
    </row>
    <row r="73" spans="1:13" x14ac:dyDescent="0.25">
      <c r="A73" s="91" t="s">
        <v>96</v>
      </c>
      <c r="B73" s="69"/>
      <c r="C73" s="69">
        <f t="shared" si="5"/>
        <v>0</v>
      </c>
      <c r="D73" s="69">
        <f t="shared" si="5"/>
        <v>0</v>
      </c>
      <c r="E73" s="69">
        <f t="shared" si="5"/>
        <v>0</v>
      </c>
      <c r="F73" s="69">
        <f t="shared" si="5"/>
        <v>0</v>
      </c>
      <c r="G73" s="69">
        <f t="shared" si="5"/>
        <v>0</v>
      </c>
      <c r="H73" s="69">
        <f t="shared" si="5"/>
        <v>0</v>
      </c>
      <c r="I73" s="69">
        <f t="shared" si="5"/>
        <v>0</v>
      </c>
      <c r="J73" s="69">
        <f t="shared" si="5"/>
        <v>0</v>
      </c>
      <c r="K73" s="69">
        <f t="shared" si="5"/>
        <v>0</v>
      </c>
      <c r="L73" s="69">
        <f t="shared" si="5"/>
        <v>0</v>
      </c>
      <c r="M73" s="69">
        <f t="shared" si="5"/>
        <v>0</v>
      </c>
    </row>
    <row r="74" spans="1:13" x14ac:dyDescent="0.25">
      <c r="A74" s="91" t="s">
        <v>97</v>
      </c>
      <c r="B74" s="69"/>
      <c r="C74" s="69">
        <f t="shared" si="5"/>
        <v>0</v>
      </c>
      <c r="D74" s="69">
        <f t="shared" si="5"/>
        <v>0</v>
      </c>
      <c r="E74" s="69">
        <f t="shared" si="5"/>
        <v>0</v>
      </c>
      <c r="F74" s="69">
        <f t="shared" si="5"/>
        <v>0</v>
      </c>
      <c r="G74" s="69">
        <f t="shared" si="5"/>
        <v>0</v>
      </c>
      <c r="H74" s="69">
        <f t="shared" si="5"/>
        <v>0</v>
      </c>
      <c r="I74" s="69">
        <f t="shared" si="5"/>
        <v>0</v>
      </c>
      <c r="J74" s="69">
        <f t="shared" si="5"/>
        <v>0</v>
      </c>
      <c r="K74" s="69">
        <f t="shared" si="5"/>
        <v>0</v>
      </c>
      <c r="L74" s="69">
        <f t="shared" si="5"/>
        <v>0</v>
      </c>
      <c r="M74" s="69">
        <f t="shared" si="5"/>
        <v>0</v>
      </c>
    </row>
    <row r="75" spans="1:13" x14ac:dyDescent="0.25">
      <c r="A75" s="91" t="s">
        <v>98</v>
      </c>
      <c r="B75" s="69"/>
      <c r="C75" s="69">
        <f t="shared" si="5"/>
        <v>0</v>
      </c>
      <c r="D75" s="69">
        <f t="shared" si="5"/>
        <v>0</v>
      </c>
      <c r="E75" s="69">
        <f t="shared" si="5"/>
        <v>0</v>
      </c>
      <c r="F75" s="69">
        <f t="shared" si="5"/>
        <v>0</v>
      </c>
      <c r="G75" s="69">
        <f t="shared" si="5"/>
        <v>0</v>
      </c>
      <c r="H75" s="69">
        <f t="shared" si="5"/>
        <v>0</v>
      </c>
      <c r="I75" s="69">
        <f t="shared" si="5"/>
        <v>0</v>
      </c>
      <c r="J75" s="69">
        <f t="shared" si="5"/>
        <v>0</v>
      </c>
      <c r="K75" s="69">
        <f t="shared" si="5"/>
        <v>0</v>
      </c>
      <c r="L75" s="69">
        <f t="shared" si="5"/>
        <v>0</v>
      </c>
      <c r="M75" s="69">
        <f t="shared" si="5"/>
        <v>0</v>
      </c>
    </row>
    <row r="76" spans="1:13" x14ac:dyDescent="0.25">
      <c r="A76" s="92" t="s">
        <v>76</v>
      </c>
      <c r="B76" s="69"/>
      <c r="C76" s="69">
        <f t="shared" si="5"/>
        <v>0</v>
      </c>
      <c r="D76" s="69">
        <f t="shared" si="5"/>
        <v>0</v>
      </c>
      <c r="E76" s="69">
        <f t="shared" si="5"/>
        <v>0</v>
      </c>
      <c r="F76" s="69">
        <f t="shared" si="5"/>
        <v>0</v>
      </c>
      <c r="G76" s="69">
        <f>+(B72+C72+D72+E72+F72+G72)*F16</f>
        <v>2000000.0000000002</v>
      </c>
      <c r="H76" s="69"/>
      <c r="I76" s="69">
        <v>0</v>
      </c>
      <c r="J76" s="69">
        <v>0</v>
      </c>
      <c r="K76" s="69">
        <v>0</v>
      </c>
      <c r="L76" s="69">
        <v>0</v>
      </c>
      <c r="M76" s="69">
        <f>+G76</f>
        <v>2000000.0000000002</v>
      </c>
    </row>
    <row r="77" spans="1:13" x14ac:dyDescent="0.25">
      <c r="A77" s="92" t="s">
        <v>79</v>
      </c>
      <c r="B77" s="69"/>
      <c r="C77" s="69">
        <f t="shared" si="5"/>
        <v>0</v>
      </c>
      <c r="D77" s="69">
        <f t="shared" si="5"/>
        <v>0</v>
      </c>
      <c r="E77" s="69">
        <f t="shared" si="5"/>
        <v>0</v>
      </c>
      <c r="F77" s="69">
        <f t="shared" si="5"/>
        <v>0</v>
      </c>
      <c r="G77" s="69">
        <f t="shared" si="5"/>
        <v>0</v>
      </c>
      <c r="H77" s="69">
        <f t="shared" si="5"/>
        <v>0</v>
      </c>
      <c r="I77" s="69">
        <f t="shared" si="5"/>
        <v>0</v>
      </c>
      <c r="J77" s="69">
        <f t="shared" si="5"/>
        <v>0</v>
      </c>
      <c r="K77" s="69">
        <f t="shared" si="5"/>
        <v>0</v>
      </c>
      <c r="L77" s="69">
        <f t="shared" si="5"/>
        <v>0</v>
      </c>
      <c r="M77" s="93">
        <f>SUM(B72:M72)*$F$17</f>
        <v>4000000.0000000005</v>
      </c>
    </row>
    <row r="78" spans="1:13" x14ac:dyDescent="0.25">
      <c r="A78" s="92" t="s">
        <v>99</v>
      </c>
      <c r="B78" s="69"/>
      <c r="C78" s="69">
        <f t="shared" si="5"/>
        <v>0</v>
      </c>
      <c r="D78" s="69">
        <f t="shared" si="5"/>
        <v>0</v>
      </c>
      <c r="E78" s="69">
        <f t="shared" si="5"/>
        <v>0</v>
      </c>
      <c r="F78" s="69">
        <f t="shared" si="5"/>
        <v>0</v>
      </c>
      <c r="G78" s="69">
        <f t="shared" si="5"/>
        <v>0</v>
      </c>
      <c r="H78" s="69">
        <f t="shared" si="5"/>
        <v>0</v>
      </c>
      <c r="I78" s="69">
        <f t="shared" si="5"/>
        <v>0</v>
      </c>
      <c r="J78" s="69">
        <f t="shared" si="5"/>
        <v>0</v>
      </c>
      <c r="K78" s="69">
        <f t="shared" si="5"/>
        <v>0</v>
      </c>
      <c r="L78" s="69">
        <f t="shared" si="5"/>
        <v>0</v>
      </c>
      <c r="M78" s="93">
        <f>+M77*$F$18</f>
        <v>480000.00000000006</v>
      </c>
    </row>
    <row r="79" spans="1:13" x14ac:dyDescent="0.25">
      <c r="A79" s="92" t="s">
        <v>85</v>
      </c>
      <c r="B79" s="69"/>
      <c r="C79" s="69">
        <f t="shared" si="5"/>
        <v>0</v>
      </c>
      <c r="D79" s="69">
        <f t="shared" si="5"/>
        <v>0</v>
      </c>
      <c r="E79" s="69">
        <f t="shared" si="5"/>
        <v>0</v>
      </c>
      <c r="F79" s="69">
        <f t="shared" si="5"/>
        <v>0</v>
      </c>
      <c r="G79" s="69">
        <f t="shared" si="5"/>
        <v>0</v>
      </c>
      <c r="H79" s="69">
        <f t="shared" si="5"/>
        <v>0</v>
      </c>
      <c r="I79" s="69">
        <f t="shared" si="5"/>
        <v>0</v>
      </c>
      <c r="J79" s="69">
        <f t="shared" si="5"/>
        <v>0</v>
      </c>
      <c r="K79" s="69">
        <f t="shared" si="5"/>
        <v>0</v>
      </c>
      <c r="L79" s="69">
        <f t="shared" si="5"/>
        <v>0</v>
      </c>
      <c r="M79" s="69">
        <f>SUM(B70:M70)*$F$19</f>
        <v>2001600</v>
      </c>
    </row>
    <row r="80" spans="1:13" x14ac:dyDescent="0.25">
      <c r="A80" s="94" t="s">
        <v>75</v>
      </c>
      <c r="B80" s="69">
        <v>340000</v>
      </c>
      <c r="C80" s="69">
        <f>B80</f>
        <v>340000</v>
      </c>
      <c r="D80" s="69">
        <f t="shared" si="5"/>
        <v>340000</v>
      </c>
      <c r="E80" s="69">
        <f t="shared" si="5"/>
        <v>340000</v>
      </c>
      <c r="F80" s="69">
        <f t="shared" si="5"/>
        <v>340000</v>
      </c>
      <c r="G80" s="69">
        <f t="shared" si="5"/>
        <v>340000</v>
      </c>
      <c r="H80" s="69">
        <f t="shared" si="5"/>
        <v>340000</v>
      </c>
      <c r="I80" s="69">
        <f t="shared" si="5"/>
        <v>340000</v>
      </c>
      <c r="J80" s="69">
        <f t="shared" si="5"/>
        <v>340000</v>
      </c>
      <c r="K80" s="69">
        <f t="shared" si="5"/>
        <v>340000</v>
      </c>
      <c r="L80" s="69">
        <f t="shared" si="5"/>
        <v>340000</v>
      </c>
      <c r="M80" s="69">
        <f t="shared" si="5"/>
        <v>340000</v>
      </c>
    </row>
    <row r="81" spans="1:14" x14ac:dyDescent="0.25">
      <c r="A81" s="94" t="s">
        <v>78</v>
      </c>
      <c r="B81" s="69">
        <v>480000</v>
      </c>
      <c r="C81" s="69">
        <f t="shared" si="5"/>
        <v>480000</v>
      </c>
      <c r="D81" s="69">
        <f t="shared" si="5"/>
        <v>480000</v>
      </c>
      <c r="E81" s="69">
        <f t="shared" si="5"/>
        <v>480000</v>
      </c>
      <c r="F81" s="69">
        <f t="shared" si="5"/>
        <v>480000</v>
      </c>
      <c r="G81" s="69">
        <f t="shared" si="5"/>
        <v>480000</v>
      </c>
      <c r="H81" s="69">
        <f t="shared" si="5"/>
        <v>480000</v>
      </c>
      <c r="I81" s="69">
        <f t="shared" si="5"/>
        <v>480000</v>
      </c>
      <c r="J81" s="69">
        <f t="shared" si="5"/>
        <v>480000</v>
      </c>
      <c r="K81" s="69">
        <f t="shared" si="5"/>
        <v>480000</v>
      </c>
      <c r="L81" s="69">
        <f t="shared" si="5"/>
        <v>480000</v>
      </c>
      <c r="M81" s="69">
        <f t="shared" si="5"/>
        <v>480000</v>
      </c>
    </row>
    <row r="82" spans="1:14" x14ac:dyDescent="0.25">
      <c r="A82" s="94" t="s">
        <v>100</v>
      </c>
      <c r="B82" s="69">
        <v>20880</v>
      </c>
      <c r="C82" s="69">
        <f t="shared" si="5"/>
        <v>20880</v>
      </c>
      <c r="D82" s="69">
        <f>C82</f>
        <v>20880</v>
      </c>
      <c r="E82" s="69">
        <f t="shared" si="5"/>
        <v>20880</v>
      </c>
      <c r="F82" s="69">
        <f t="shared" si="5"/>
        <v>20880</v>
      </c>
      <c r="G82" s="69">
        <f t="shared" si="5"/>
        <v>20880</v>
      </c>
      <c r="H82" s="69">
        <f t="shared" si="5"/>
        <v>20880</v>
      </c>
      <c r="I82" s="69">
        <f t="shared" si="5"/>
        <v>20880</v>
      </c>
      <c r="J82" s="69">
        <f t="shared" si="5"/>
        <v>20880</v>
      </c>
      <c r="K82" s="69">
        <f t="shared" si="5"/>
        <v>20880</v>
      </c>
      <c r="L82" s="69">
        <f t="shared" si="5"/>
        <v>20880</v>
      </c>
      <c r="M82" s="69">
        <f t="shared" si="5"/>
        <v>20880</v>
      </c>
    </row>
    <row r="83" spans="1:14" x14ac:dyDescent="0.25">
      <c r="A83" s="94" t="s">
        <v>84</v>
      </c>
      <c r="B83" s="69">
        <v>80000</v>
      </c>
      <c r="C83" s="69">
        <f t="shared" si="5"/>
        <v>80000</v>
      </c>
      <c r="D83" s="69">
        <f t="shared" si="5"/>
        <v>80000</v>
      </c>
      <c r="E83" s="69">
        <f t="shared" si="5"/>
        <v>80000</v>
      </c>
      <c r="F83" s="69">
        <f t="shared" si="5"/>
        <v>80000</v>
      </c>
      <c r="G83" s="69">
        <f t="shared" si="5"/>
        <v>80000</v>
      </c>
      <c r="H83" s="69">
        <f t="shared" si="5"/>
        <v>80000</v>
      </c>
      <c r="I83" s="69">
        <f t="shared" si="5"/>
        <v>80000</v>
      </c>
      <c r="J83" s="69">
        <f t="shared" si="5"/>
        <v>80000</v>
      </c>
      <c r="K83" s="69">
        <f t="shared" si="5"/>
        <v>80000</v>
      </c>
      <c r="L83" s="69">
        <f t="shared" si="5"/>
        <v>80000</v>
      </c>
      <c r="M83" s="69">
        <f t="shared" si="5"/>
        <v>80000</v>
      </c>
    </row>
    <row r="84" spans="1:14" x14ac:dyDescent="0.25">
      <c r="A84" s="94" t="s">
        <v>87</v>
      </c>
      <c r="B84" s="69">
        <v>120000</v>
      </c>
      <c r="C84" s="69">
        <f t="shared" si="5"/>
        <v>120000</v>
      </c>
      <c r="D84" s="69">
        <f t="shared" si="5"/>
        <v>120000</v>
      </c>
      <c r="E84" s="69">
        <f t="shared" si="5"/>
        <v>120000</v>
      </c>
      <c r="F84" s="69">
        <f t="shared" si="5"/>
        <v>120000</v>
      </c>
      <c r="G84" s="69">
        <f t="shared" si="5"/>
        <v>120000</v>
      </c>
      <c r="H84" s="69">
        <f t="shared" si="5"/>
        <v>120000</v>
      </c>
      <c r="I84" s="69">
        <f t="shared" si="5"/>
        <v>120000</v>
      </c>
      <c r="J84" s="69">
        <f t="shared" si="5"/>
        <v>120000</v>
      </c>
      <c r="K84" s="69">
        <f t="shared" si="5"/>
        <v>120000</v>
      </c>
      <c r="L84" s="69">
        <f t="shared" si="5"/>
        <v>120000</v>
      </c>
      <c r="M84" s="69">
        <f t="shared" si="5"/>
        <v>120000</v>
      </c>
    </row>
    <row r="85" spans="1:14" x14ac:dyDescent="0.25">
      <c r="A85" s="94" t="s">
        <v>88</v>
      </c>
      <c r="B85" s="69">
        <v>160000</v>
      </c>
      <c r="C85" s="69">
        <f t="shared" si="5"/>
        <v>160000</v>
      </c>
      <c r="D85" s="69">
        <f t="shared" si="5"/>
        <v>160000</v>
      </c>
      <c r="E85" s="69">
        <f t="shared" si="5"/>
        <v>160000</v>
      </c>
      <c r="F85" s="69">
        <f t="shared" si="5"/>
        <v>160000</v>
      </c>
      <c r="G85" s="69">
        <f t="shared" si="5"/>
        <v>160000</v>
      </c>
      <c r="H85" s="69">
        <f t="shared" si="5"/>
        <v>160000</v>
      </c>
      <c r="I85" s="69">
        <f t="shared" si="5"/>
        <v>160000</v>
      </c>
      <c r="J85" s="69">
        <f t="shared" si="5"/>
        <v>160000</v>
      </c>
      <c r="K85" s="69">
        <f t="shared" si="5"/>
        <v>160000</v>
      </c>
      <c r="L85" s="69">
        <f t="shared" si="5"/>
        <v>160000</v>
      </c>
      <c r="M85" s="69">
        <f t="shared" si="5"/>
        <v>160000</v>
      </c>
      <c r="N85" s="89" t="s">
        <v>106</v>
      </c>
    </row>
    <row r="86" spans="1:14" x14ac:dyDescent="0.25">
      <c r="A86" s="94" t="s">
        <v>95</v>
      </c>
      <c r="B86" s="69">
        <f>SUM(B72:B85)</f>
        <v>5200880</v>
      </c>
      <c r="C86" s="69">
        <f t="shared" ref="C86:M86" si="6">SUM(C72:C85)</f>
        <v>5200880</v>
      </c>
      <c r="D86" s="69">
        <f t="shared" si="6"/>
        <v>5200880</v>
      </c>
      <c r="E86" s="69">
        <f t="shared" si="6"/>
        <v>5200880</v>
      </c>
      <c r="F86" s="69">
        <f t="shared" si="6"/>
        <v>5200880</v>
      </c>
      <c r="G86" s="69">
        <f t="shared" si="6"/>
        <v>7200880</v>
      </c>
      <c r="H86" s="69">
        <f t="shared" si="6"/>
        <v>5200880</v>
      </c>
      <c r="I86" s="69">
        <f t="shared" si="6"/>
        <v>5200880</v>
      </c>
      <c r="J86" s="69">
        <f t="shared" si="6"/>
        <v>5200880</v>
      </c>
      <c r="K86" s="69">
        <f t="shared" si="6"/>
        <v>5200880</v>
      </c>
      <c r="L86" s="69">
        <f t="shared" si="6"/>
        <v>5200880</v>
      </c>
      <c r="M86" s="69">
        <f t="shared" si="6"/>
        <v>13682480</v>
      </c>
      <c r="N86" s="69">
        <f>SUM(B86:M86)</f>
        <v>72892160</v>
      </c>
    </row>
    <row r="88" spans="1:14" x14ac:dyDescent="0.25">
      <c r="A88" s="89" t="s">
        <v>107</v>
      </c>
      <c r="B88" s="89">
        <v>1</v>
      </c>
      <c r="C88" s="95">
        <v>2</v>
      </c>
      <c r="D88" s="89">
        <v>3</v>
      </c>
      <c r="E88" s="95">
        <v>4</v>
      </c>
      <c r="F88" s="89">
        <v>5</v>
      </c>
      <c r="G88" s="95">
        <v>6</v>
      </c>
      <c r="H88" s="89">
        <v>7</v>
      </c>
      <c r="I88" s="95">
        <v>8</v>
      </c>
      <c r="J88" s="89">
        <v>9</v>
      </c>
      <c r="K88" s="95">
        <v>10</v>
      </c>
      <c r="L88" s="89">
        <v>11</v>
      </c>
      <c r="M88" s="89">
        <v>12</v>
      </c>
    </row>
    <row r="89" spans="1:14" x14ac:dyDescent="0.25">
      <c r="A89" s="55" t="s">
        <v>60</v>
      </c>
      <c r="B89" s="69">
        <f>+E26</f>
        <v>1200000</v>
      </c>
      <c r="C89" s="69">
        <f t="shared" ref="C89:G104" si="7">B89</f>
        <v>1200000</v>
      </c>
      <c r="D89" s="69">
        <f t="shared" si="7"/>
        <v>1200000</v>
      </c>
      <c r="E89" s="69">
        <f t="shared" si="7"/>
        <v>1200000</v>
      </c>
      <c r="F89" s="69">
        <f t="shared" si="7"/>
        <v>1200000</v>
      </c>
      <c r="G89" s="69">
        <f t="shared" si="7"/>
        <v>1200000</v>
      </c>
      <c r="H89" s="69">
        <f t="shared" ref="H89:M104" si="8">F89</f>
        <v>1200000</v>
      </c>
      <c r="I89" s="69">
        <f t="shared" si="8"/>
        <v>1200000</v>
      </c>
      <c r="J89" s="69">
        <f t="shared" si="8"/>
        <v>1200000</v>
      </c>
      <c r="K89" s="69">
        <f t="shared" si="8"/>
        <v>1200000</v>
      </c>
      <c r="L89" s="69">
        <f>J89</f>
        <v>1200000</v>
      </c>
      <c r="M89" s="69">
        <f>+L89</f>
        <v>1200000</v>
      </c>
    </row>
    <row r="90" spans="1:14" x14ac:dyDescent="0.25">
      <c r="A90" s="55" t="s">
        <v>94</v>
      </c>
      <c r="B90" s="69">
        <f>+E27</f>
        <v>97032</v>
      </c>
      <c r="C90" s="69">
        <f t="shared" si="7"/>
        <v>97032</v>
      </c>
      <c r="D90" s="69">
        <f t="shared" si="7"/>
        <v>97032</v>
      </c>
      <c r="E90" s="69">
        <f t="shared" si="7"/>
        <v>97032</v>
      </c>
      <c r="F90" s="69">
        <f t="shared" si="7"/>
        <v>97032</v>
      </c>
      <c r="G90" s="69">
        <f t="shared" si="7"/>
        <v>97032</v>
      </c>
      <c r="H90" s="69">
        <f t="shared" si="8"/>
        <v>97032</v>
      </c>
      <c r="I90" s="69">
        <f t="shared" si="8"/>
        <v>97032</v>
      </c>
      <c r="J90" s="69">
        <f t="shared" si="8"/>
        <v>97032</v>
      </c>
      <c r="K90" s="69">
        <f t="shared" si="8"/>
        <v>97032</v>
      </c>
      <c r="L90" s="69">
        <f t="shared" si="8"/>
        <v>97032</v>
      </c>
      <c r="M90" s="69">
        <f>+L90</f>
        <v>97032</v>
      </c>
    </row>
    <row r="91" spans="1:14" x14ac:dyDescent="0.25">
      <c r="A91" s="55" t="s">
        <v>95</v>
      </c>
      <c r="B91" s="69">
        <f>+B89+B90</f>
        <v>1297032</v>
      </c>
      <c r="C91" s="69">
        <f t="shared" si="7"/>
        <v>1297032</v>
      </c>
      <c r="D91" s="69">
        <f t="shared" si="7"/>
        <v>1297032</v>
      </c>
      <c r="E91" s="69">
        <f t="shared" si="7"/>
        <v>1297032</v>
      </c>
      <c r="F91" s="69">
        <f t="shared" si="7"/>
        <v>1297032</v>
      </c>
      <c r="G91" s="69">
        <f t="shared" si="7"/>
        <v>1297032</v>
      </c>
      <c r="H91" s="69">
        <f t="shared" si="8"/>
        <v>1297032</v>
      </c>
      <c r="I91" s="69">
        <f t="shared" si="8"/>
        <v>1297032</v>
      </c>
      <c r="J91" s="69">
        <f t="shared" si="8"/>
        <v>1297032</v>
      </c>
      <c r="K91" s="69">
        <f t="shared" si="8"/>
        <v>1297032</v>
      </c>
      <c r="L91" s="69">
        <f t="shared" si="8"/>
        <v>1297032</v>
      </c>
      <c r="M91" s="69">
        <f>+L91</f>
        <v>1297032</v>
      </c>
    </row>
    <row r="92" spans="1:14" x14ac:dyDescent="0.25">
      <c r="A92" s="91" t="s">
        <v>96</v>
      </c>
      <c r="B92" s="69"/>
      <c r="C92" s="69">
        <f t="shared" si="7"/>
        <v>0</v>
      </c>
      <c r="D92" s="69">
        <f t="shared" si="7"/>
        <v>0</v>
      </c>
      <c r="E92" s="69">
        <f t="shared" si="7"/>
        <v>0</v>
      </c>
      <c r="F92" s="69">
        <f t="shared" si="7"/>
        <v>0</v>
      </c>
      <c r="G92" s="69">
        <f t="shared" si="7"/>
        <v>0</v>
      </c>
      <c r="H92" s="69">
        <f t="shared" si="8"/>
        <v>0</v>
      </c>
      <c r="I92" s="69">
        <f t="shared" si="8"/>
        <v>0</v>
      </c>
      <c r="J92" s="69">
        <f t="shared" si="8"/>
        <v>0</v>
      </c>
      <c r="K92" s="69">
        <f t="shared" si="8"/>
        <v>0</v>
      </c>
      <c r="L92" s="69">
        <f t="shared" si="8"/>
        <v>0</v>
      </c>
      <c r="M92" s="69">
        <f t="shared" si="8"/>
        <v>0</v>
      </c>
    </row>
    <row r="93" spans="1:14" x14ac:dyDescent="0.25">
      <c r="A93" s="91" t="s">
        <v>97</v>
      </c>
      <c r="B93" s="69"/>
      <c r="C93" s="69">
        <f t="shared" si="7"/>
        <v>0</v>
      </c>
      <c r="D93" s="69">
        <f t="shared" si="7"/>
        <v>0</v>
      </c>
      <c r="E93" s="69">
        <f t="shared" si="7"/>
        <v>0</v>
      </c>
      <c r="F93" s="69">
        <f t="shared" si="7"/>
        <v>0</v>
      </c>
      <c r="G93" s="69">
        <f t="shared" si="7"/>
        <v>0</v>
      </c>
      <c r="H93" s="69">
        <f t="shared" si="8"/>
        <v>0</v>
      </c>
      <c r="I93" s="69">
        <f t="shared" si="8"/>
        <v>0</v>
      </c>
      <c r="J93" s="69">
        <f t="shared" si="8"/>
        <v>0</v>
      </c>
      <c r="K93" s="69">
        <f t="shared" si="8"/>
        <v>0</v>
      </c>
      <c r="L93" s="69">
        <f t="shared" si="8"/>
        <v>0</v>
      </c>
      <c r="M93" s="69">
        <f t="shared" si="8"/>
        <v>0</v>
      </c>
    </row>
    <row r="94" spans="1:14" x14ac:dyDescent="0.25">
      <c r="A94" s="91" t="s">
        <v>98</v>
      </c>
      <c r="B94" s="69"/>
      <c r="C94" s="69">
        <f t="shared" si="7"/>
        <v>0</v>
      </c>
      <c r="D94" s="69">
        <f t="shared" si="7"/>
        <v>0</v>
      </c>
      <c r="E94" s="69"/>
      <c r="F94" s="69">
        <f t="shared" si="7"/>
        <v>0</v>
      </c>
      <c r="G94" s="69">
        <f t="shared" si="7"/>
        <v>0</v>
      </c>
      <c r="H94" s="69">
        <f t="shared" si="8"/>
        <v>0</v>
      </c>
      <c r="I94" s="69">
        <f t="shared" si="8"/>
        <v>0</v>
      </c>
      <c r="J94" s="69">
        <f t="shared" si="8"/>
        <v>0</v>
      </c>
      <c r="K94" s="69">
        <f t="shared" si="8"/>
        <v>0</v>
      </c>
      <c r="L94" s="69">
        <f t="shared" si="8"/>
        <v>0</v>
      </c>
      <c r="M94" s="69">
        <f t="shared" si="8"/>
        <v>0</v>
      </c>
    </row>
    <row r="95" spans="1:14" x14ac:dyDescent="0.25">
      <c r="A95" s="92" t="s">
        <v>76</v>
      </c>
      <c r="B95" s="82"/>
      <c r="C95" s="82"/>
      <c r="D95" s="82"/>
      <c r="E95" s="82"/>
      <c r="F95" s="82"/>
      <c r="G95" s="82">
        <f>+(B91+C91+D91+E91+F91+G91)*F16</f>
        <v>648516.00000000012</v>
      </c>
      <c r="H95" s="69">
        <v>0</v>
      </c>
      <c r="I95" s="69">
        <v>0</v>
      </c>
      <c r="J95" s="69">
        <v>0</v>
      </c>
      <c r="K95" s="69">
        <v>0</v>
      </c>
      <c r="L95" s="69">
        <v>0</v>
      </c>
      <c r="M95" s="69">
        <f>+G95</f>
        <v>648516.00000000012</v>
      </c>
    </row>
    <row r="96" spans="1:14" x14ac:dyDescent="0.25">
      <c r="A96" s="92" t="s">
        <v>79</v>
      </c>
      <c r="B96" s="69"/>
      <c r="C96" s="69">
        <f t="shared" si="7"/>
        <v>0</v>
      </c>
      <c r="D96" s="69">
        <f t="shared" si="7"/>
        <v>0</v>
      </c>
      <c r="E96" s="69">
        <f t="shared" si="7"/>
        <v>0</v>
      </c>
      <c r="F96" s="69">
        <f t="shared" si="7"/>
        <v>0</v>
      </c>
      <c r="G96" s="69">
        <f t="shared" si="7"/>
        <v>0</v>
      </c>
      <c r="H96" s="69">
        <f t="shared" si="8"/>
        <v>0</v>
      </c>
      <c r="I96" s="69">
        <f t="shared" si="8"/>
        <v>0</v>
      </c>
      <c r="J96" s="69">
        <f t="shared" si="8"/>
        <v>0</v>
      </c>
      <c r="K96" s="69">
        <f t="shared" si="8"/>
        <v>0</v>
      </c>
      <c r="L96" s="69">
        <f t="shared" si="8"/>
        <v>0</v>
      </c>
      <c r="M96" s="69">
        <f>+SUM(B91:M91)*$F$17</f>
        <v>1297032.0000000002</v>
      </c>
    </row>
    <row r="97" spans="1:14" x14ac:dyDescent="0.25">
      <c r="A97" s="92" t="s">
        <v>99</v>
      </c>
      <c r="B97" s="69"/>
      <c r="C97" s="69">
        <f t="shared" si="7"/>
        <v>0</v>
      </c>
      <c r="D97" s="69">
        <f t="shared" si="7"/>
        <v>0</v>
      </c>
      <c r="E97" s="69">
        <f t="shared" si="7"/>
        <v>0</v>
      </c>
      <c r="F97" s="69">
        <f t="shared" si="7"/>
        <v>0</v>
      </c>
      <c r="G97" s="69">
        <f t="shared" si="7"/>
        <v>0</v>
      </c>
      <c r="H97" s="69">
        <f t="shared" si="8"/>
        <v>0</v>
      </c>
      <c r="I97" s="69">
        <f t="shared" si="8"/>
        <v>0</v>
      </c>
      <c r="J97" s="69">
        <f t="shared" si="8"/>
        <v>0</v>
      </c>
      <c r="K97" s="69">
        <f t="shared" si="8"/>
        <v>0</v>
      </c>
      <c r="L97" s="69">
        <f t="shared" si="8"/>
        <v>0</v>
      </c>
      <c r="M97" s="69">
        <f>+M96*$F$18</f>
        <v>155643.84000000003</v>
      </c>
    </row>
    <row r="98" spans="1:14" x14ac:dyDescent="0.25">
      <c r="A98" s="92" t="s">
        <v>85</v>
      </c>
      <c r="B98" s="69"/>
      <c r="C98" s="69">
        <f t="shared" si="7"/>
        <v>0</v>
      </c>
      <c r="D98" s="69">
        <f t="shared" si="7"/>
        <v>0</v>
      </c>
      <c r="E98" s="69">
        <f t="shared" si="7"/>
        <v>0</v>
      </c>
      <c r="F98" s="69">
        <f t="shared" si="7"/>
        <v>0</v>
      </c>
      <c r="G98" s="69">
        <f t="shared" si="7"/>
        <v>0</v>
      </c>
      <c r="H98" s="69">
        <f t="shared" si="8"/>
        <v>0</v>
      </c>
      <c r="I98" s="69">
        <f t="shared" si="8"/>
        <v>0</v>
      </c>
      <c r="J98" s="69">
        <f t="shared" si="8"/>
        <v>0</v>
      </c>
      <c r="K98" s="69">
        <f t="shared" si="8"/>
        <v>0</v>
      </c>
      <c r="L98" s="69">
        <f t="shared" si="8"/>
        <v>0</v>
      </c>
      <c r="M98" s="69">
        <f>+SUM(B89:M89)*$F$19</f>
        <v>600480</v>
      </c>
    </row>
    <row r="99" spans="1:14" x14ac:dyDescent="0.25">
      <c r="A99" s="94" t="s">
        <v>75</v>
      </c>
      <c r="B99" s="69">
        <v>102000.00000000001</v>
      </c>
      <c r="C99" s="69">
        <f t="shared" si="7"/>
        <v>102000.00000000001</v>
      </c>
      <c r="D99" s="69">
        <f t="shared" si="7"/>
        <v>102000.00000000001</v>
      </c>
      <c r="E99" s="69">
        <f t="shared" si="7"/>
        <v>102000.00000000001</v>
      </c>
      <c r="F99" s="69">
        <f t="shared" si="7"/>
        <v>102000.00000000001</v>
      </c>
      <c r="G99" s="69">
        <f t="shared" si="7"/>
        <v>102000.00000000001</v>
      </c>
      <c r="H99" s="69">
        <f t="shared" si="8"/>
        <v>102000.00000000001</v>
      </c>
      <c r="I99" s="69">
        <f t="shared" si="8"/>
        <v>102000.00000000001</v>
      </c>
      <c r="J99" s="69">
        <f t="shared" si="8"/>
        <v>102000.00000000001</v>
      </c>
      <c r="K99" s="69">
        <f t="shared" si="8"/>
        <v>102000.00000000001</v>
      </c>
      <c r="L99" s="69">
        <f t="shared" si="8"/>
        <v>102000.00000000001</v>
      </c>
      <c r="M99" s="69">
        <f t="shared" si="8"/>
        <v>102000.00000000001</v>
      </c>
    </row>
    <row r="100" spans="1:14" x14ac:dyDescent="0.25">
      <c r="A100" s="94" t="s">
        <v>78</v>
      </c>
      <c r="B100" s="69">
        <v>144000</v>
      </c>
      <c r="C100" s="69">
        <f t="shared" si="7"/>
        <v>144000</v>
      </c>
      <c r="D100" s="69">
        <f t="shared" si="7"/>
        <v>144000</v>
      </c>
      <c r="E100" s="69">
        <f t="shared" si="7"/>
        <v>144000</v>
      </c>
      <c r="F100" s="69">
        <f t="shared" si="7"/>
        <v>144000</v>
      </c>
      <c r="G100" s="69">
        <f t="shared" si="7"/>
        <v>144000</v>
      </c>
      <c r="H100" s="69">
        <f t="shared" si="8"/>
        <v>144000</v>
      </c>
      <c r="I100" s="69">
        <f t="shared" si="8"/>
        <v>144000</v>
      </c>
      <c r="J100" s="69">
        <f t="shared" si="8"/>
        <v>144000</v>
      </c>
      <c r="K100" s="69">
        <f t="shared" si="8"/>
        <v>144000</v>
      </c>
      <c r="L100" s="69">
        <f t="shared" si="8"/>
        <v>144000</v>
      </c>
      <c r="M100" s="69">
        <f t="shared" si="8"/>
        <v>144000</v>
      </c>
    </row>
    <row r="101" spans="1:14" x14ac:dyDescent="0.25">
      <c r="A101" s="94" t="s">
        <v>100</v>
      </c>
      <c r="B101" s="69">
        <v>6264</v>
      </c>
      <c r="C101" s="69">
        <f t="shared" si="7"/>
        <v>6264</v>
      </c>
      <c r="D101" s="69">
        <f t="shared" si="7"/>
        <v>6264</v>
      </c>
      <c r="E101" s="69">
        <f t="shared" si="7"/>
        <v>6264</v>
      </c>
      <c r="F101" s="69">
        <f t="shared" si="7"/>
        <v>6264</v>
      </c>
      <c r="G101" s="69">
        <f t="shared" si="7"/>
        <v>6264</v>
      </c>
      <c r="H101" s="69">
        <f t="shared" si="8"/>
        <v>6264</v>
      </c>
      <c r="I101" s="69">
        <f t="shared" si="8"/>
        <v>6264</v>
      </c>
      <c r="J101" s="69">
        <f t="shared" si="8"/>
        <v>6264</v>
      </c>
      <c r="K101" s="69">
        <f t="shared" si="8"/>
        <v>6264</v>
      </c>
      <c r="L101" s="69">
        <f t="shared" si="8"/>
        <v>6264</v>
      </c>
      <c r="M101" s="69">
        <f t="shared" si="8"/>
        <v>6264</v>
      </c>
    </row>
    <row r="102" spans="1:14" x14ac:dyDescent="0.25">
      <c r="A102" s="94" t="s">
        <v>84</v>
      </c>
      <c r="B102" s="69">
        <v>24000</v>
      </c>
      <c r="C102" s="69">
        <f t="shared" si="7"/>
        <v>24000</v>
      </c>
      <c r="D102" s="69">
        <f t="shared" si="7"/>
        <v>24000</v>
      </c>
      <c r="E102" s="69">
        <f t="shared" si="7"/>
        <v>24000</v>
      </c>
      <c r="F102" s="69">
        <f t="shared" si="7"/>
        <v>24000</v>
      </c>
      <c r="G102" s="69">
        <f t="shared" si="7"/>
        <v>24000</v>
      </c>
      <c r="H102" s="69">
        <f t="shared" si="8"/>
        <v>24000</v>
      </c>
      <c r="I102" s="69">
        <f t="shared" si="8"/>
        <v>24000</v>
      </c>
      <c r="J102" s="69">
        <f t="shared" si="8"/>
        <v>24000</v>
      </c>
      <c r="K102" s="69">
        <f t="shared" si="8"/>
        <v>24000</v>
      </c>
      <c r="L102" s="69">
        <f t="shared" si="8"/>
        <v>24000</v>
      </c>
      <c r="M102" s="69">
        <f t="shared" si="8"/>
        <v>24000</v>
      </c>
    </row>
    <row r="103" spans="1:14" x14ac:dyDescent="0.25">
      <c r="A103" s="94" t="s">
        <v>87</v>
      </c>
      <c r="B103" s="69">
        <v>36000</v>
      </c>
      <c r="C103" s="69">
        <f t="shared" si="7"/>
        <v>36000</v>
      </c>
      <c r="D103" s="69">
        <f t="shared" si="7"/>
        <v>36000</v>
      </c>
      <c r="E103" s="69">
        <f t="shared" si="7"/>
        <v>36000</v>
      </c>
      <c r="F103" s="69">
        <f t="shared" si="7"/>
        <v>36000</v>
      </c>
      <c r="G103" s="69">
        <f t="shared" si="7"/>
        <v>36000</v>
      </c>
      <c r="H103" s="69">
        <f t="shared" si="8"/>
        <v>36000</v>
      </c>
      <c r="I103" s="69">
        <f t="shared" si="8"/>
        <v>36000</v>
      </c>
      <c r="J103" s="69">
        <f t="shared" si="8"/>
        <v>36000</v>
      </c>
      <c r="K103" s="69">
        <f t="shared" si="8"/>
        <v>36000</v>
      </c>
      <c r="L103" s="69">
        <f t="shared" si="8"/>
        <v>36000</v>
      </c>
      <c r="M103" s="69">
        <f t="shared" si="8"/>
        <v>36000</v>
      </c>
    </row>
    <row r="104" spans="1:14" x14ac:dyDescent="0.25">
      <c r="A104" s="94" t="s">
        <v>88</v>
      </c>
      <c r="B104" s="69">
        <v>48000</v>
      </c>
      <c r="C104" s="69">
        <f t="shared" si="7"/>
        <v>48000</v>
      </c>
      <c r="D104" s="69">
        <f t="shared" si="7"/>
        <v>48000</v>
      </c>
      <c r="E104" s="69">
        <f t="shared" si="7"/>
        <v>48000</v>
      </c>
      <c r="F104" s="69">
        <f t="shared" si="7"/>
        <v>48000</v>
      </c>
      <c r="G104" s="69">
        <f t="shared" si="7"/>
        <v>48000</v>
      </c>
      <c r="H104" s="69">
        <f t="shared" si="8"/>
        <v>48000</v>
      </c>
      <c r="I104" s="69">
        <f t="shared" si="8"/>
        <v>48000</v>
      </c>
      <c r="J104" s="69">
        <f t="shared" si="8"/>
        <v>48000</v>
      </c>
      <c r="K104" s="69">
        <f t="shared" si="8"/>
        <v>48000</v>
      </c>
      <c r="L104" s="69">
        <f t="shared" si="8"/>
        <v>48000</v>
      </c>
      <c r="M104" s="69">
        <f t="shared" si="8"/>
        <v>48000</v>
      </c>
      <c r="N104" s="89" t="s">
        <v>106</v>
      </c>
    </row>
    <row r="105" spans="1:14" x14ac:dyDescent="0.25">
      <c r="A105" s="94" t="s">
        <v>95</v>
      </c>
      <c r="B105" s="69">
        <f>SUM(B91:B104)</f>
        <v>1657296</v>
      </c>
      <c r="C105" s="69">
        <f>SUM(C91:C104)</f>
        <v>1657296</v>
      </c>
      <c r="D105" s="69">
        <f t="shared" ref="D105:M105" si="9">SUM(D91:D104)</f>
        <v>1657296</v>
      </c>
      <c r="E105" s="69">
        <f t="shared" si="9"/>
        <v>1657296</v>
      </c>
      <c r="F105" s="69">
        <f t="shared" si="9"/>
        <v>1657296</v>
      </c>
      <c r="G105" s="69">
        <f t="shared" si="9"/>
        <v>2305812</v>
      </c>
      <c r="H105" s="69">
        <f t="shared" si="9"/>
        <v>1657296</v>
      </c>
      <c r="I105" s="69">
        <f t="shared" si="9"/>
        <v>1657296</v>
      </c>
      <c r="J105" s="69">
        <f t="shared" si="9"/>
        <v>1657296</v>
      </c>
      <c r="K105" s="69">
        <f t="shared" si="9"/>
        <v>1657296</v>
      </c>
      <c r="L105" s="69">
        <f t="shared" si="9"/>
        <v>1657296</v>
      </c>
      <c r="M105" s="69">
        <f t="shared" si="9"/>
        <v>4358967.84</v>
      </c>
      <c r="N105" s="69">
        <f>SUM(B105:M105)</f>
        <v>23237739.84</v>
      </c>
    </row>
    <row r="106" spans="1:14" x14ac:dyDescent="0.25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</row>
    <row r="107" spans="1:14" x14ac:dyDescent="0.25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</row>
    <row r="108" spans="1:14" x14ac:dyDescent="0.25">
      <c r="A108" s="89" t="s">
        <v>108</v>
      </c>
      <c r="B108" s="89">
        <v>1</v>
      </c>
      <c r="C108" s="95">
        <v>2</v>
      </c>
      <c r="D108" s="89">
        <v>3</v>
      </c>
      <c r="E108" s="95">
        <v>4</v>
      </c>
      <c r="F108" s="89">
        <v>5</v>
      </c>
      <c r="G108" s="95">
        <v>6</v>
      </c>
      <c r="H108" s="89">
        <v>7</v>
      </c>
      <c r="I108" s="95">
        <v>8</v>
      </c>
      <c r="J108" s="89">
        <v>9</v>
      </c>
      <c r="K108" s="95">
        <v>10</v>
      </c>
      <c r="L108" s="89">
        <v>11</v>
      </c>
      <c r="M108" s="89">
        <v>12</v>
      </c>
    </row>
    <row r="109" spans="1:14" x14ac:dyDescent="0.25">
      <c r="A109" s="55" t="s">
        <v>60</v>
      </c>
      <c r="B109" s="69">
        <f>+H26</f>
        <v>3000000</v>
      </c>
      <c r="C109" s="69">
        <f t="shared" ref="C109:G114" si="10">B109</f>
        <v>3000000</v>
      </c>
      <c r="D109" s="69">
        <f t="shared" si="10"/>
        <v>3000000</v>
      </c>
      <c r="E109" s="69">
        <f t="shared" si="10"/>
        <v>3000000</v>
      </c>
      <c r="F109" s="69">
        <f t="shared" si="10"/>
        <v>3000000</v>
      </c>
      <c r="G109" s="69">
        <f t="shared" si="10"/>
        <v>3000000</v>
      </c>
      <c r="H109" s="69">
        <f t="shared" ref="H109:M114" si="11">F109</f>
        <v>3000000</v>
      </c>
      <c r="I109" s="69">
        <f t="shared" si="11"/>
        <v>3000000</v>
      </c>
      <c r="J109" s="69">
        <f t="shared" si="11"/>
        <v>3000000</v>
      </c>
      <c r="K109" s="69">
        <f t="shared" si="11"/>
        <v>3000000</v>
      </c>
      <c r="L109" s="69">
        <f>J109</f>
        <v>3000000</v>
      </c>
      <c r="M109" s="69">
        <f>+L109</f>
        <v>3000000</v>
      </c>
    </row>
    <row r="110" spans="1:14" x14ac:dyDescent="0.25">
      <c r="A110" s="55" t="s">
        <v>94</v>
      </c>
      <c r="B110" s="69">
        <f>+E44</f>
        <v>0</v>
      </c>
      <c r="C110" s="69">
        <f t="shared" si="10"/>
        <v>0</v>
      </c>
      <c r="D110" s="69">
        <f t="shared" si="10"/>
        <v>0</v>
      </c>
      <c r="E110" s="69">
        <f t="shared" si="10"/>
        <v>0</v>
      </c>
      <c r="F110" s="69">
        <f t="shared" si="10"/>
        <v>0</v>
      </c>
      <c r="G110" s="69">
        <f t="shared" si="10"/>
        <v>0</v>
      </c>
      <c r="H110" s="69">
        <f t="shared" si="11"/>
        <v>0</v>
      </c>
      <c r="I110" s="69">
        <f t="shared" si="11"/>
        <v>0</v>
      </c>
      <c r="J110" s="69">
        <f t="shared" si="11"/>
        <v>0</v>
      </c>
      <c r="K110" s="69">
        <f t="shared" si="11"/>
        <v>0</v>
      </c>
      <c r="L110" s="69">
        <f t="shared" si="11"/>
        <v>0</v>
      </c>
      <c r="M110" s="69">
        <f>+L110</f>
        <v>0</v>
      </c>
    </row>
    <row r="111" spans="1:14" x14ac:dyDescent="0.25">
      <c r="A111" s="55" t="s">
        <v>95</v>
      </c>
      <c r="B111" s="69">
        <f>+B109+B110</f>
        <v>3000000</v>
      </c>
      <c r="C111" s="69">
        <f t="shared" si="10"/>
        <v>3000000</v>
      </c>
      <c r="D111" s="69">
        <f t="shared" si="10"/>
        <v>3000000</v>
      </c>
      <c r="E111" s="69">
        <f t="shared" si="10"/>
        <v>3000000</v>
      </c>
      <c r="F111" s="69">
        <f t="shared" si="10"/>
        <v>3000000</v>
      </c>
      <c r="G111" s="69">
        <f t="shared" si="10"/>
        <v>3000000</v>
      </c>
      <c r="H111" s="69">
        <f t="shared" si="11"/>
        <v>3000000</v>
      </c>
      <c r="I111" s="69">
        <f t="shared" si="11"/>
        <v>3000000</v>
      </c>
      <c r="J111" s="69">
        <f t="shared" si="11"/>
        <v>3000000</v>
      </c>
      <c r="K111" s="69">
        <f t="shared" si="11"/>
        <v>3000000</v>
      </c>
      <c r="L111" s="69">
        <f t="shared" si="11"/>
        <v>3000000</v>
      </c>
      <c r="M111" s="69">
        <f>+L111</f>
        <v>3000000</v>
      </c>
    </row>
    <row r="112" spans="1:14" x14ac:dyDescent="0.25">
      <c r="A112" s="91" t="s">
        <v>96</v>
      </c>
      <c r="B112" s="69"/>
      <c r="C112" s="69">
        <f t="shared" si="10"/>
        <v>0</v>
      </c>
      <c r="D112" s="69">
        <f t="shared" si="10"/>
        <v>0</v>
      </c>
      <c r="E112" s="69">
        <f t="shared" si="10"/>
        <v>0</v>
      </c>
      <c r="F112" s="69">
        <f t="shared" si="10"/>
        <v>0</v>
      </c>
      <c r="G112" s="69">
        <f t="shared" si="10"/>
        <v>0</v>
      </c>
      <c r="H112" s="69">
        <f t="shared" si="11"/>
        <v>0</v>
      </c>
      <c r="I112" s="69">
        <f t="shared" si="11"/>
        <v>0</v>
      </c>
      <c r="J112" s="69">
        <f t="shared" si="11"/>
        <v>0</v>
      </c>
      <c r="K112" s="69">
        <f t="shared" si="11"/>
        <v>0</v>
      </c>
      <c r="L112" s="69">
        <f t="shared" si="11"/>
        <v>0</v>
      </c>
      <c r="M112" s="69">
        <f t="shared" si="11"/>
        <v>0</v>
      </c>
    </row>
    <row r="113" spans="1:14" x14ac:dyDescent="0.25">
      <c r="A113" s="91" t="s">
        <v>97</v>
      </c>
      <c r="B113" s="69"/>
      <c r="C113" s="69">
        <f t="shared" si="10"/>
        <v>0</v>
      </c>
      <c r="D113" s="69">
        <f t="shared" si="10"/>
        <v>0</v>
      </c>
      <c r="E113" s="69">
        <f t="shared" si="10"/>
        <v>0</v>
      </c>
      <c r="F113" s="69">
        <f t="shared" si="10"/>
        <v>0</v>
      </c>
      <c r="G113" s="69">
        <f t="shared" si="10"/>
        <v>0</v>
      </c>
      <c r="H113" s="69">
        <f t="shared" si="11"/>
        <v>0</v>
      </c>
      <c r="I113" s="69">
        <f t="shared" si="11"/>
        <v>0</v>
      </c>
      <c r="J113" s="69">
        <f t="shared" si="11"/>
        <v>0</v>
      </c>
      <c r="K113" s="69">
        <f t="shared" si="11"/>
        <v>0</v>
      </c>
      <c r="L113" s="69">
        <f t="shared" si="11"/>
        <v>0</v>
      </c>
      <c r="M113" s="69">
        <f t="shared" si="11"/>
        <v>0</v>
      </c>
    </row>
    <row r="114" spans="1:14" x14ac:dyDescent="0.25">
      <c r="A114" s="91" t="s">
        <v>98</v>
      </c>
      <c r="B114" s="69"/>
      <c r="C114" s="69">
        <f t="shared" si="10"/>
        <v>0</v>
      </c>
      <c r="D114" s="69">
        <f t="shared" si="10"/>
        <v>0</v>
      </c>
      <c r="E114" s="69"/>
      <c r="F114" s="69">
        <f t="shared" si="10"/>
        <v>0</v>
      </c>
      <c r="G114" s="69">
        <f t="shared" si="10"/>
        <v>0</v>
      </c>
      <c r="H114" s="69">
        <f t="shared" si="11"/>
        <v>0</v>
      </c>
      <c r="I114" s="69">
        <f t="shared" si="11"/>
        <v>0</v>
      </c>
      <c r="J114" s="69">
        <f t="shared" si="11"/>
        <v>0</v>
      </c>
      <c r="K114" s="69">
        <f t="shared" si="11"/>
        <v>0</v>
      </c>
      <c r="L114" s="69">
        <f t="shared" si="11"/>
        <v>0</v>
      </c>
      <c r="M114" s="69">
        <f t="shared" si="11"/>
        <v>0</v>
      </c>
    </row>
    <row r="115" spans="1:14" x14ac:dyDescent="0.25">
      <c r="A115" s="92" t="s">
        <v>76</v>
      </c>
      <c r="B115" s="82"/>
      <c r="C115" s="82"/>
      <c r="D115" s="82"/>
      <c r="E115" s="82"/>
      <c r="F115" s="82"/>
      <c r="G115" s="82">
        <f>+(B111+C111+D111+E111+F111+G111)*F16</f>
        <v>1500000.0000000002</v>
      </c>
      <c r="H115" s="69">
        <v>0</v>
      </c>
      <c r="I115" s="69">
        <v>0</v>
      </c>
      <c r="J115" s="69">
        <v>0</v>
      </c>
      <c r="K115" s="69">
        <v>0</v>
      </c>
      <c r="L115" s="69">
        <v>0</v>
      </c>
      <c r="M115" s="69">
        <f>+G115</f>
        <v>1500000.0000000002</v>
      </c>
    </row>
    <row r="116" spans="1:14" x14ac:dyDescent="0.25">
      <c r="A116" s="92" t="s">
        <v>79</v>
      </c>
      <c r="B116" s="69"/>
      <c r="C116" s="69">
        <f t="shared" ref="C116:G124" si="12">B116</f>
        <v>0</v>
      </c>
      <c r="D116" s="69">
        <f t="shared" si="12"/>
        <v>0</v>
      </c>
      <c r="E116" s="69">
        <f t="shared" si="12"/>
        <v>0</v>
      </c>
      <c r="F116" s="69">
        <f t="shared" si="12"/>
        <v>0</v>
      </c>
      <c r="G116" s="69">
        <f t="shared" si="12"/>
        <v>0</v>
      </c>
      <c r="H116" s="69">
        <f t="shared" ref="H116:M124" si="13">F116</f>
        <v>0</v>
      </c>
      <c r="I116" s="69">
        <f t="shared" si="13"/>
        <v>0</v>
      </c>
      <c r="J116" s="69">
        <f t="shared" si="13"/>
        <v>0</v>
      </c>
      <c r="K116" s="69">
        <f t="shared" si="13"/>
        <v>0</v>
      </c>
      <c r="L116" s="69">
        <f t="shared" si="13"/>
        <v>0</v>
      </c>
      <c r="M116" s="69">
        <f>+SUM(B111:M111)*$F$17</f>
        <v>3000000.0000000005</v>
      </c>
    </row>
    <row r="117" spans="1:14" x14ac:dyDescent="0.25">
      <c r="A117" s="92" t="s">
        <v>99</v>
      </c>
      <c r="B117" s="69"/>
      <c r="C117" s="69">
        <f t="shared" si="12"/>
        <v>0</v>
      </c>
      <c r="D117" s="69">
        <f t="shared" si="12"/>
        <v>0</v>
      </c>
      <c r="E117" s="69">
        <f t="shared" si="12"/>
        <v>0</v>
      </c>
      <c r="F117" s="69">
        <f t="shared" si="12"/>
        <v>0</v>
      </c>
      <c r="G117" s="69">
        <f t="shared" si="12"/>
        <v>0</v>
      </c>
      <c r="H117" s="69">
        <f t="shared" si="13"/>
        <v>0</v>
      </c>
      <c r="I117" s="69">
        <f t="shared" si="13"/>
        <v>0</v>
      </c>
      <c r="J117" s="69">
        <f t="shared" si="13"/>
        <v>0</v>
      </c>
      <c r="K117" s="69">
        <f t="shared" si="13"/>
        <v>0</v>
      </c>
      <c r="L117" s="69">
        <f t="shared" si="13"/>
        <v>0</v>
      </c>
      <c r="M117" s="69">
        <f>+M116*$F$18</f>
        <v>360000.00000000006</v>
      </c>
    </row>
    <row r="118" spans="1:14" x14ac:dyDescent="0.25">
      <c r="A118" s="92" t="s">
        <v>85</v>
      </c>
      <c r="B118" s="69"/>
      <c r="C118" s="69">
        <f t="shared" si="12"/>
        <v>0</v>
      </c>
      <c r="D118" s="69">
        <f t="shared" si="12"/>
        <v>0</v>
      </c>
      <c r="E118" s="69">
        <f t="shared" si="12"/>
        <v>0</v>
      </c>
      <c r="F118" s="69">
        <f t="shared" si="12"/>
        <v>0</v>
      </c>
      <c r="G118" s="69">
        <f t="shared" si="12"/>
        <v>0</v>
      </c>
      <c r="H118" s="69">
        <f t="shared" si="13"/>
        <v>0</v>
      </c>
      <c r="I118" s="69">
        <f t="shared" si="13"/>
        <v>0</v>
      </c>
      <c r="J118" s="69">
        <f t="shared" si="13"/>
        <v>0</v>
      </c>
      <c r="K118" s="69">
        <f t="shared" si="13"/>
        <v>0</v>
      </c>
      <c r="L118" s="69">
        <f t="shared" si="13"/>
        <v>0</v>
      </c>
      <c r="M118" s="69">
        <f>+SUM(B109:M109)*$F$19</f>
        <v>1501200</v>
      </c>
    </row>
    <row r="119" spans="1:14" x14ac:dyDescent="0.25">
      <c r="A119" s="94" t="s">
        <v>75</v>
      </c>
      <c r="B119" s="69">
        <v>255000.00000000003</v>
      </c>
      <c r="C119" s="69">
        <f t="shared" si="12"/>
        <v>255000.00000000003</v>
      </c>
      <c r="D119" s="69">
        <f t="shared" si="12"/>
        <v>255000.00000000003</v>
      </c>
      <c r="E119" s="69">
        <f t="shared" si="12"/>
        <v>255000.00000000003</v>
      </c>
      <c r="F119" s="69">
        <f t="shared" si="12"/>
        <v>255000.00000000003</v>
      </c>
      <c r="G119" s="69">
        <f t="shared" si="12"/>
        <v>255000.00000000003</v>
      </c>
      <c r="H119" s="69">
        <f t="shared" si="13"/>
        <v>255000.00000000003</v>
      </c>
      <c r="I119" s="69">
        <f t="shared" si="13"/>
        <v>255000.00000000003</v>
      </c>
      <c r="J119" s="69">
        <f t="shared" si="13"/>
        <v>255000.00000000003</v>
      </c>
      <c r="K119" s="69">
        <f t="shared" si="13"/>
        <v>255000.00000000003</v>
      </c>
      <c r="L119" s="69">
        <f t="shared" si="13"/>
        <v>255000.00000000003</v>
      </c>
      <c r="M119" s="69">
        <f t="shared" si="13"/>
        <v>255000.00000000003</v>
      </c>
    </row>
    <row r="120" spans="1:14" x14ac:dyDescent="0.25">
      <c r="A120" s="94" t="s">
        <v>78</v>
      </c>
      <c r="B120" s="69">
        <v>360000</v>
      </c>
      <c r="C120" s="69">
        <f t="shared" si="12"/>
        <v>360000</v>
      </c>
      <c r="D120" s="69">
        <f t="shared" si="12"/>
        <v>360000</v>
      </c>
      <c r="E120" s="69">
        <f t="shared" si="12"/>
        <v>360000</v>
      </c>
      <c r="F120" s="69">
        <f t="shared" si="12"/>
        <v>360000</v>
      </c>
      <c r="G120" s="69">
        <f t="shared" si="12"/>
        <v>360000</v>
      </c>
      <c r="H120" s="69">
        <f t="shared" si="13"/>
        <v>360000</v>
      </c>
      <c r="I120" s="69">
        <f t="shared" si="13"/>
        <v>360000</v>
      </c>
      <c r="J120" s="69">
        <f t="shared" si="13"/>
        <v>360000</v>
      </c>
      <c r="K120" s="69">
        <f t="shared" si="13"/>
        <v>360000</v>
      </c>
      <c r="L120" s="69">
        <f t="shared" si="13"/>
        <v>360000</v>
      </c>
      <c r="M120" s="69">
        <f t="shared" si="13"/>
        <v>360000</v>
      </c>
    </row>
    <row r="121" spans="1:14" x14ac:dyDescent="0.25">
      <c r="A121" s="94" t="s">
        <v>100</v>
      </c>
      <c r="B121" s="69">
        <v>360000</v>
      </c>
      <c r="C121" s="69">
        <f t="shared" si="12"/>
        <v>360000</v>
      </c>
      <c r="D121" s="69">
        <f t="shared" si="12"/>
        <v>360000</v>
      </c>
      <c r="E121" s="69">
        <f t="shared" si="12"/>
        <v>360000</v>
      </c>
      <c r="F121" s="69">
        <f t="shared" si="12"/>
        <v>360000</v>
      </c>
      <c r="G121" s="69">
        <f t="shared" si="12"/>
        <v>360000</v>
      </c>
      <c r="H121" s="69">
        <f t="shared" si="13"/>
        <v>360000</v>
      </c>
      <c r="I121" s="69">
        <f t="shared" si="13"/>
        <v>360000</v>
      </c>
      <c r="J121" s="69">
        <f t="shared" si="13"/>
        <v>360000</v>
      </c>
      <c r="K121" s="69">
        <f t="shared" si="13"/>
        <v>360000</v>
      </c>
      <c r="L121" s="69">
        <f t="shared" si="13"/>
        <v>360000</v>
      </c>
      <c r="M121" s="69">
        <f t="shared" si="13"/>
        <v>360000</v>
      </c>
    </row>
    <row r="122" spans="1:14" x14ac:dyDescent="0.25">
      <c r="A122" s="94" t="s">
        <v>84</v>
      </c>
      <c r="B122" s="69">
        <v>60000</v>
      </c>
      <c r="C122" s="69">
        <f t="shared" si="12"/>
        <v>60000</v>
      </c>
      <c r="D122" s="69">
        <f t="shared" si="12"/>
        <v>60000</v>
      </c>
      <c r="E122" s="69">
        <f t="shared" si="12"/>
        <v>60000</v>
      </c>
      <c r="F122" s="69">
        <f t="shared" si="12"/>
        <v>60000</v>
      </c>
      <c r="G122" s="69">
        <f t="shared" si="12"/>
        <v>60000</v>
      </c>
      <c r="H122" s="69">
        <f t="shared" si="13"/>
        <v>60000</v>
      </c>
      <c r="I122" s="69">
        <f t="shared" si="13"/>
        <v>60000</v>
      </c>
      <c r="J122" s="69">
        <f t="shared" si="13"/>
        <v>60000</v>
      </c>
      <c r="K122" s="69">
        <f t="shared" si="13"/>
        <v>60000</v>
      </c>
      <c r="L122" s="69">
        <f t="shared" si="13"/>
        <v>60000</v>
      </c>
      <c r="M122" s="69">
        <f t="shared" si="13"/>
        <v>60000</v>
      </c>
    </row>
    <row r="123" spans="1:14" x14ac:dyDescent="0.25">
      <c r="A123" s="94" t="s">
        <v>87</v>
      </c>
      <c r="B123" s="69">
        <v>90000</v>
      </c>
      <c r="C123" s="69">
        <f t="shared" si="12"/>
        <v>90000</v>
      </c>
      <c r="D123" s="69">
        <f t="shared" si="12"/>
        <v>90000</v>
      </c>
      <c r="E123" s="69">
        <f t="shared" si="12"/>
        <v>90000</v>
      </c>
      <c r="F123" s="69">
        <f t="shared" si="12"/>
        <v>90000</v>
      </c>
      <c r="G123" s="69">
        <f t="shared" si="12"/>
        <v>90000</v>
      </c>
      <c r="H123" s="69">
        <f t="shared" si="13"/>
        <v>90000</v>
      </c>
      <c r="I123" s="69">
        <f t="shared" si="13"/>
        <v>90000</v>
      </c>
      <c r="J123" s="69">
        <f t="shared" si="13"/>
        <v>90000</v>
      </c>
      <c r="K123" s="69">
        <f t="shared" si="13"/>
        <v>90000</v>
      </c>
      <c r="L123" s="69">
        <f t="shared" si="13"/>
        <v>90000</v>
      </c>
      <c r="M123" s="69">
        <f t="shared" si="13"/>
        <v>90000</v>
      </c>
    </row>
    <row r="124" spans="1:14" x14ac:dyDescent="0.25">
      <c r="A124" s="94" t="s">
        <v>88</v>
      </c>
      <c r="B124" s="69">
        <v>210000.00000000003</v>
      </c>
      <c r="C124" s="69">
        <f t="shared" si="12"/>
        <v>210000.00000000003</v>
      </c>
      <c r="D124" s="69">
        <f t="shared" si="12"/>
        <v>210000.00000000003</v>
      </c>
      <c r="E124" s="69">
        <f t="shared" si="12"/>
        <v>210000.00000000003</v>
      </c>
      <c r="F124" s="69">
        <f t="shared" si="12"/>
        <v>210000.00000000003</v>
      </c>
      <c r="G124" s="69">
        <f t="shared" si="12"/>
        <v>210000.00000000003</v>
      </c>
      <c r="H124" s="69">
        <f t="shared" si="13"/>
        <v>210000.00000000003</v>
      </c>
      <c r="I124" s="69">
        <f t="shared" si="13"/>
        <v>210000.00000000003</v>
      </c>
      <c r="J124" s="69">
        <f t="shared" si="13"/>
        <v>210000.00000000003</v>
      </c>
      <c r="K124" s="69">
        <f t="shared" si="13"/>
        <v>210000.00000000003</v>
      </c>
      <c r="L124" s="69">
        <f t="shared" si="13"/>
        <v>210000.00000000003</v>
      </c>
      <c r="M124" s="69">
        <f t="shared" si="13"/>
        <v>210000.00000000003</v>
      </c>
      <c r="N124" s="89" t="s">
        <v>106</v>
      </c>
    </row>
    <row r="125" spans="1:14" x14ac:dyDescent="0.25">
      <c r="A125" s="94" t="s">
        <v>95</v>
      </c>
      <c r="B125" s="69">
        <f>SUM(B111:B124)</f>
        <v>4335000</v>
      </c>
      <c r="C125" s="69">
        <f t="shared" ref="C125:M125" si="14">SUM(C111:C124)</f>
        <v>4335000</v>
      </c>
      <c r="D125" s="69">
        <f t="shared" si="14"/>
        <v>4335000</v>
      </c>
      <c r="E125" s="69">
        <f t="shared" si="14"/>
        <v>4335000</v>
      </c>
      <c r="F125" s="69">
        <f t="shared" si="14"/>
        <v>4335000</v>
      </c>
      <c r="G125" s="69">
        <f t="shared" si="14"/>
        <v>5835000</v>
      </c>
      <c r="H125" s="69">
        <f t="shared" si="14"/>
        <v>4335000</v>
      </c>
      <c r="I125" s="69">
        <f t="shared" si="14"/>
        <v>4335000</v>
      </c>
      <c r="J125" s="69">
        <f t="shared" si="14"/>
        <v>4335000</v>
      </c>
      <c r="K125" s="69">
        <f t="shared" si="14"/>
        <v>4335000</v>
      </c>
      <c r="L125" s="69">
        <f t="shared" si="14"/>
        <v>4335000</v>
      </c>
      <c r="M125" s="69">
        <f t="shared" si="14"/>
        <v>10696200</v>
      </c>
      <c r="N125" s="69">
        <f>SUM(B125:M125)</f>
        <v>59881200</v>
      </c>
    </row>
    <row r="128" spans="1:14" x14ac:dyDescent="0.25">
      <c r="A128" s="89" t="s">
        <v>109</v>
      </c>
      <c r="B128" s="89">
        <v>1</v>
      </c>
      <c r="C128" s="95">
        <v>2</v>
      </c>
      <c r="D128" s="89">
        <v>3</v>
      </c>
      <c r="E128" s="95">
        <v>4</v>
      </c>
      <c r="F128" s="89">
        <v>5</v>
      </c>
      <c r="G128" s="95">
        <v>6</v>
      </c>
      <c r="H128" s="89">
        <v>7</v>
      </c>
      <c r="I128" s="95">
        <v>8</v>
      </c>
      <c r="J128" s="89">
        <v>9</v>
      </c>
      <c r="K128" s="95">
        <v>10</v>
      </c>
      <c r="L128" s="89">
        <v>11</v>
      </c>
      <c r="M128" s="89">
        <v>12</v>
      </c>
    </row>
    <row r="129" spans="1:14" x14ac:dyDescent="0.25">
      <c r="A129" s="55" t="s">
        <v>60</v>
      </c>
      <c r="B129" s="69">
        <f>+K26</f>
        <v>2500000</v>
      </c>
      <c r="C129" s="69">
        <f t="shared" ref="C129:G134" si="15">B129</f>
        <v>2500000</v>
      </c>
      <c r="D129" s="69">
        <f t="shared" si="15"/>
        <v>2500000</v>
      </c>
      <c r="E129" s="69">
        <f t="shared" si="15"/>
        <v>2500000</v>
      </c>
      <c r="F129" s="69">
        <f t="shared" si="15"/>
        <v>2500000</v>
      </c>
      <c r="G129" s="69">
        <f t="shared" si="15"/>
        <v>2500000</v>
      </c>
      <c r="H129" s="69">
        <f t="shared" ref="H129:M134" si="16">F129</f>
        <v>2500000</v>
      </c>
      <c r="I129" s="69">
        <f t="shared" si="16"/>
        <v>2500000</v>
      </c>
      <c r="J129" s="69">
        <f t="shared" si="16"/>
        <v>2500000</v>
      </c>
      <c r="K129" s="69">
        <f t="shared" si="16"/>
        <v>2500000</v>
      </c>
      <c r="L129" s="69">
        <f>J129</f>
        <v>2500000</v>
      </c>
      <c r="M129" s="69">
        <f>+L129</f>
        <v>2500000</v>
      </c>
    </row>
    <row r="130" spans="1:14" x14ac:dyDescent="0.25">
      <c r="A130" s="55" t="s">
        <v>94</v>
      </c>
      <c r="B130" s="69"/>
      <c r="C130" s="69">
        <f t="shared" si="15"/>
        <v>0</v>
      </c>
      <c r="D130" s="69">
        <f t="shared" si="15"/>
        <v>0</v>
      </c>
      <c r="E130" s="69">
        <f t="shared" si="15"/>
        <v>0</v>
      </c>
      <c r="F130" s="69">
        <f t="shared" si="15"/>
        <v>0</v>
      </c>
      <c r="G130" s="69">
        <f t="shared" si="15"/>
        <v>0</v>
      </c>
      <c r="H130" s="69">
        <f t="shared" si="16"/>
        <v>0</v>
      </c>
      <c r="I130" s="69">
        <f t="shared" si="16"/>
        <v>0</v>
      </c>
      <c r="J130" s="69">
        <f t="shared" si="16"/>
        <v>0</v>
      </c>
      <c r="K130" s="69">
        <f t="shared" si="16"/>
        <v>0</v>
      </c>
      <c r="L130" s="69">
        <f t="shared" si="16"/>
        <v>0</v>
      </c>
      <c r="M130" s="69">
        <f>+L130</f>
        <v>0</v>
      </c>
    </row>
    <row r="131" spans="1:14" x14ac:dyDescent="0.25">
      <c r="A131" s="55" t="s">
        <v>95</v>
      </c>
      <c r="B131" s="69">
        <f>+B129+B130</f>
        <v>2500000</v>
      </c>
      <c r="C131" s="69">
        <f t="shared" si="15"/>
        <v>2500000</v>
      </c>
      <c r="D131" s="69">
        <f t="shared" si="15"/>
        <v>2500000</v>
      </c>
      <c r="E131" s="69">
        <f t="shared" si="15"/>
        <v>2500000</v>
      </c>
      <c r="F131" s="69">
        <f t="shared" si="15"/>
        <v>2500000</v>
      </c>
      <c r="G131" s="69">
        <f t="shared" si="15"/>
        <v>2500000</v>
      </c>
      <c r="H131" s="69">
        <f t="shared" si="16"/>
        <v>2500000</v>
      </c>
      <c r="I131" s="69">
        <f t="shared" si="16"/>
        <v>2500000</v>
      </c>
      <c r="J131" s="69">
        <f t="shared" si="16"/>
        <v>2500000</v>
      </c>
      <c r="K131" s="69">
        <f t="shared" si="16"/>
        <v>2500000</v>
      </c>
      <c r="L131" s="69">
        <f t="shared" si="16"/>
        <v>2500000</v>
      </c>
      <c r="M131" s="69">
        <f>+L131</f>
        <v>2500000</v>
      </c>
    </row>
    <row r="132" spans="1:14" x14ac:dyDescent="0.25">
      <c r="A132" s="91" t="s">
        <v>96</v>
      </c>
      <c r="B132" s="69"/>
      <c r="C132" s="69">
        <f t="shared" si="15"/>
        <v>0</v>
      </c>
      <c r="D132" s="69">
        <f t="shared" si="15"/>
        <v>0</v>
      </c>
      <c r="E132" s="69">
        <f t="shared" si="15"/>
        <v>0</v>
      </c>
      <c r="F132" s="69">
        <f t="shared" si="15"/>
        <v>0</v>
      </c>
      <c r="G132" s="69">
        <f t="shared" si="15"/>
        <v>0</v>
      </c>
      <c r="H132" s="69">
        <f t="shared" si="16"/>
        <v>0</v>
      </c>
      <c r="I132" s="69">
        <f t="shared" si="16"/>
        <v>0</v>
      </c>
      <c r="J132" s="69">
        <f t="shared" si="16"/>
        <v>0</v>
      </c>
      <c r="K132" s="69">
        <f t="shared" si="16"/>
        <v>0</v>
      </c>
      <c r="L132" s="69">
        <f t="shared" si="16"/>
        <v>0</v>
      </c>
      <c r="M132" s="69">
        <f t="shared" si="16"/>
        <v>0</v>
      </c>
    </row>
    <row r="133" spans="1:14" x14ac:dyDescent="0.25">
      <c r="A133" s="91" t="s">
        <v>97</v>
      </c>
      <c r="B133" s="69"/>
      <c r="C133" s="69">
        <f t="shared" si="15"/>
        <v>0</v>
      </c>
      <c r="D133" s="69">
        <f t="shared" si="15"/>
        <v>0</v>
      </c>
      <c r="E133" s="69">
        <f t="shared" si="15"/>
        <v>0</v>
      </c>
      <c r="F133" s="69">
        <f t="shared" si="15"/>
        <v>0</v>
      </c>
      <c r="G133" s="69">
        <f t="shared" si="15"/>
        <v>0</v>
      </c>
      <c r="H133" s="69">
        <f t="shared" si="16"/>
        <v>0</v>
      </c>
      <c r="I133" s="69">
        <f t="shared" si="16"/>
        <v>0</v>
      </c>
      <c r="J133" s="69">
        <f t="shared" si="16"/>
        <v>0</v>
      </c>
      <c r="K133" s="69">
        <f t="shared" si="16"/>
        <v>0</v>
      </c>
      <c r="L133" s="69">
        <f t="shared" si="16"/>
        <v>0</v>
      </c>
      <c r="M133" s="69">
        <f t="shared" si="16"/>
        <v>0</v>
      </c>
    </row>
    <row r="134" spans="1:14" x14ac:dyDescent="0.25">
      <c r="A134" s="91" t="s">
        <v>98</v>
      </c>
      <c r="B134" s="69"/>
      <c r="C134" s="69">
        <f t="shared" si="15"/>
        <v>0</v>
      </c>
      <c r="D134" s="69">
        <f t="shared" si="15"/>
        <v>0</v>
      </c>
      <c r="E134" s="69"/>
      <c r="F134" s="69">
        <f t="shared" si="15"/>
        <v>0</v>
      </c>
      <c r="G134" s="69">
        <f t="shared" si="15"/>
        <v>0</v>
      </c>
      <c r="H134" s="69">
        <f t="shared" si="16"/>
        <v>0</v>
      </c>
      <c r="I134" s="69">
        <f t="shared" si="16"/>
        <v>0</v>
      </c>
      <c r="J134" s="69">
        <f t="shared" si="16"/>
        <v>0</v>
      </c>
      <c r="K134" s="69">
        <f t="shared" si="16"/>
        <v>0</v>
      </c>
      <c r="L134" s="69">
        <f t="shared" si="16"/>
        <v>0</v>
      </c>
      <c r="M134" s="69">
        <f t="shared" si="16"/>
        <v>0</v>
      </c>
    </row>
    <row r="135" spans="1:14" x14ac:dyDescent="0.25">
      <c r="A135" s="92" t="s">
        <v>76</v>
      </c>
      <c r="B135" s="82"/>
      <c r="C135" s="82"/>
      <c r="D135" s="82"/>
      <c r="E135" s="82"/>
      <c r="F135" s="82"/>
      <c r="G135" s="82">
        <f>+(B131+C131+D131+E131+F131+G131)*F16</f>
        <v>1250000.0000000002</v>
      </c>
      <c r="H135" s="69">
        <v>0</v>
      </c>
      <c r="I135" s="69">
        <v>0</v>
      </c>
      <c r="J135" s="69">
        <v>0</v>
      </c>
      <c r="K135" s="69">
        <v>0</v>
      </c>
      <c r="L135" s="69">
        <v>0</v>
      </c>
      <c r="M135" s="69">
        <f>+G135</f>
        <v>1250000.0000000002</v>
      </c>
    </row>
    <row r="136" spans="1:14" x14ac:dyDescent="0.25">
      <c r="A136" s="92" t="s">
        <v>79</v>
      </c>
      <c r="B136" s="69"/>
      <c r="C136" s="69">
        <f t="shared" ref="C136:G144" si="17">B136</f>
        <v>0</v>
      </c>
      <c r="D136" s="69">
        <f t="shared" si="17"/>
        <v>0</v>
      </c>
      <c r="E136" s="69">
        <f t="shared" si="17"/>
        <v>0</v>
      </c>
      <c r="F136" s="69">
        <f t="shared" si="17"/>
        <v>0</v>
      </c>
      <c r="G136" s="69">
        <f t="shared" si="17"/>
        <v>0</v>
      </c>
      <c r="H136" s="69">
        <f t="shared" ref="H136:M144" si="18">F136</f>
        <v>0</v>
      </c>
      <c r="I136" s="69">
        <f t="shared" si="18"/>
        <v>0</v>
      </c>
      <c r="J136" s="69">
        <f t="shared" si="18"/>
        <v>0</v>
      </c>
      <c r="K136" s="69">
        <f t="shared" si="18"/>
        <v>0</v>
      </c>
      <c r="L136" s="69">
        <f t="shared" si="18"/>
        <v>0</v>
      </c>
      <c r="M136" s="69">
        <f>+SUM(B131:M131)*$F$17</f>
        <v>2500000.0000000005</v>
      </c>
    </row>
    <row r="137" spans="1:14" x14ac:dyDescent="0.25">
      <c r="A137" s="92" t="s">
        <v>99</v>
      </c>
      <c r="B137" s="69"/>
      <c r="C137" s="69">
        <f t="shared" si="17"/>
        <v>0</v>
      </c>
      <c r="D137" s="69">
        <f t="shared" si="17"/>
        <v>0</v>
      </c>
      <c r="E137" s="69">
        <f t="shared" si="17"/>
        <v>0</v>
      </c>
      <c r="F137" s="69">
        <f t="shared" si="17"/>
        <v>0</v>
      </c>
      <c r="G137" s="69">
        <f t="shared" si="17"/>
        <v>0</v>
      </c>
      <c r="H137" s="69">
        <f t="shared" si="18"/>
        <v>0</v>
      </c>
      <c r="I137" s="69">
        <f t="shared" si="18"/>
        <v>0</v>
      </c>
      <c r="J137" s="69">
        <f t="shared" si="18"/>
        <v>0</v>
      </c>
      <c r="K137" s="69">
        <f t="shared" si="18"/>
        <v>0</v>
      </c>
      <c r="L137" s="69">
        <f t="shared" si="18"/>
        <v>0</v>
      </c>
      <c r="M137" s="69">
        <f>+M136*$F$18</f>
        <v>300000.00000000006</v>
      </c>
    </row>
    <row r="138" spans="1:14" x14ac:dyDescent="0.25">
      <c r="A138" s="92" t="s">
        <v>85</v>
      </c>
      <c r="B138" s="69"/>
      <c r="C138" s="69">
        <f t="shared" si="17"/>
        <v>0</v>
      </c>
      <c r="D138" s="69">
        <f t="shared" si="17"/>
        <v>0</v>
      </c>
      <c r="E138" s="69">
        <f t="shared" si="17"/>
        <v>0</v>
      </c>
      <c r="F138" s="69">
        <f t="shared" si="17"/>
        <v>0</v>
      </c>
      <c r="G138" s="69">
        <f t="shared" si="17"/>
        <v>0</v>
      </c>
      <c r="H138" s="69">
        <f t="shared" si="18"/>
        <v>0</v>
      </c>
      <c r="I138" s="69">
        <f t="shared" si="18"/>
        <v>0</v>
      </c>
      <c r="J138" s="69">
        <f t="shared" si="18"/>
        <v>0</v>
      </c>
      <c r="K138" s="69">
        <f t="shared" si="18"/>
        <v>0</v>
      </c>
      <c r="L138" s="69">
        <f t="shared" si="18"/>
        <v>0</v>
      </c>
      <c r="M138" s="69">
        <f>+SUM(B129:M129)*$F$19</f>
        <v>1251000</v>
      </c>
    </row>
    <row r="139" spans="1:14" x14ac:dyDescent="0.25">
      <c r="A139" s="94" t="s">
        <v>75</v>
      </c>
      <c r="B139" s="69">
        <f>+$K$26*$B$16</f>
        <v>212500.00000000003</v>
      </c>
      <c r="C139" s="69">
        <f t="shared" si="17"/>
        <v>212500.00000000003</v>
      </c>
      <c r="D139" s="69">
        <f t="shared" si="17"/>
        <v>212500.00000000003</v>
      </c>
      <c r="E139" s="69">
        <f t="shared" si="17"/>
        <v>212500.00000000003</v>
      </c>
      <c r="F139" s="69">
        <f t="shared" si="17"/>
        <v>212500.00000000003</v>
      </c>
      <c r="G139" s="69">
        <f t="shared" si="17"/>
        <v>212500.00000000003</v>
      </c>
      <c r="H139" s="69">
        <f t="shared" si="18"/>
        <v>212500.00000000003</v>
      </c>
      <c r="I139" s="69">
        <f t="shared" si="18"/>
        <v>212500.00000000003</v>
      </c>
      <c r="J139" s="69">
        <f t="shared" si="18"/>
        <v>212500.00000000003</v>
      </c>
      <c r="K139" s="69">
        <f t="shared" si="18"/>
        <v>212500.00000000003</v>
      </c>
      <c r="L139" s="69">
        <f t="shared" si="18"/>
        <v>212500.00000000003</v>
      </c>
      <c r="M139" s="69">
        <f t="shared" si="18"/>
        <v>212500.00000000003</v>
      </c>
    </row>
    <row r="140" spans="1:14" x14ac:dyDescent="0.25">
      <c r="A140" s="94" t="s">
        <v>78</v>
      </c>
      <c r="B140" s="69">
        <f>+$K$26*$B$17</f>
        <v>300000</v>
      </c>
      <c r="C140" s="69">
        <f t="shared" si="17"/>
        <v>300000</v>
      </c>
      <c r="D140" s="69">
        <f t="shared" si="17"/>
        <v>300000</v>
      </c>
      <c r="E140" s="69">
        <f t="shared" si="17"/>
        <v>300000</v>
      </c>
      <c r="F140" s="69">
        <f t="shared" si="17"/>
        <v>300000</v>
      </c>
      <c r="G140" s="69">
        <f t="shared" si="17"/>
        <v>300000</v>
      </c>
      <c r="H140" s="69">
        <f t="shared" si="18"/>
        <v>300000</v>
      </c>
      <c r="I140" s="69">
        <f t="shared" si="18"/>
        <v>300000</v>
      </c>
      <c r="J140" s="69">
        <f t="shared" si="18"/>
        <v>300000</v>
      </c>
      <c r="K140" s="69">
        <f t="shared" si="18"/>
        <v>300000</v>
      </c>
      <c r="L140" s="69">
        <f t="shared" si="18"/>
        <v>300000</v>
      </c>
      <c r="M140" s="69">
        <f t="shared" si="18"/>
        <v>300000</v>
      </c>
    </row>
    <row r="141" spans="1:14" x14ac:dyDescent="0.25">
      <c r="A141" s="94" t="s">
        <v>100</v>
      </c>
      <c r="B141" s="69">
        <f>+$K$26*$F$18</f>
        <v>300000</v>
      </c>
      <c r="C141" s="69">
        <f t="shared" si="17"/>
        <v>300000</v>
      </c>
      <c r="D141" s="69">
        <f t="shared" si="17"/>
        <v>300000</v>
      </c>
      <c r="E141" s="69">
        <f t="shared" si="17"/>
        <v>300000</v>
      </c>
      <c r="F141" s="69">
        <f t="shared" si="17"/>
        <v>300000</v>
      </c>
      <c r="G141" s="69">
        <f t="shared" si="17"/>
        <v>300000</v>
      </c>
      <c r="H141" s="69">
        <f t="shared" si="18"/>
        <v>300000</v>
      </c>
      <c r="I141" s="69">
        <f t="shared" si="18"/>
        <v>300000</v>
      </c>
      <c r="J141" s="69">
        <f t="shared" si="18"/>
        <v>300000</v>
      </c>
      <c r="K141" s="69">
        <f t="shared" si="18"/>
        <v>300000</v>
      </c>
      <c r="L141" s="69">
        <f t="shared" si="18"/>
        <v>300000</v>
      </c>
      <c r="M141" s="69">
        <f t="shared" si="18"/>
        <v>300000</v>
      </c>
    </row>
    <row r="142" spans="1:14" x14ac:dyDescent="0.25">
      <c r="A142" s="94" t="s">
        <v>84</v>
      </c>
      <c r="B142" s="69">
        <f>+$K$26*$B$19</f>
        <v>50000</v>
      </c>
      <c r="C142" s="69">
        <f t="shared" si="17"/>
        <v>50000</v>
      </c>
      <c r="D142" s="69">
        <f t="shared" si="17"/>
        <v>50000</v>
      </c>
      <c r="E142" s="69">
        <f t="shared" si="17"/>
        <v>50000</v>
      </c>
      <c r="F142" s="69">
        <f t="shared" si="17"/>
        <v>50000</v>
      </c>
      <c r="G142" s="69">
        <f t="shared" si="17"/>
        <v>50000</v>
      </c>
      <c r="H142" s="69">
        <f t="shared" si="18"/>
        <v>50000</v>
      </c>
      <c r="I142" s="69">
        <f t="shared" si="18"/>
        <v>50000</v>
      </c>
      <c r="J142" s="69">
        <f t="shared" si="18"/>
        <v>50000</v>
      </c>
      <c r="K142" s="69">
        <f t="shared" si="18"/>
        <v>50000</v>
      </c>
      <c r="L142" s="69">
        <f t="shared" si="18"/>
        <v>50000</v>
      </c>
      <c r="M142" s="69">
        <f t="shared" si="18"/>
        <v>50000</v>
      </c>
    </row>
    <row r="143" spans="1:14" x14ac:dyDescent="0.25">
      <c r="A143" s="94" t="s">
        <v>87</v>
      </c>
      <c r="B143" s="69">
        <f>+$K$26*$B$20</f>
        <v>75000</v>
      </c>
      <c r="C143" s="69">
        <f t="shared" si="17"/>
        <v>75000</v>
      </c>
      <c r="D143" s="69">
        <f t="shared" si="17"/>
        <v>75000</v>
      </c>
      <c r="E143" s="69">
        <f t="shared" si="17"/>
        <v>75000</v>
      </c>
      <c r="F143" s="69">
        <f t="shared" si="17"/>
        <v>75000</v>
      </c>
      <c r="G143" s="69">
        <f t="shared" si="17"/>
        <v>75000</v>
      </c>
      <c r="H143" s="69">
        <f t="shared" si="18"/>
        <v>75000</v>
      </c>
      <c r="I143" s="69">
        <f t="shared" si="18"/>
        <v>75000</v>
      </c>
      <c r="J143" s="69">
        <f t="shared" si="18"/>
        <v>75000</v>
      </c>
      <c r="K143" s="69">
        <f t="shared" si="18"/>
        <v>75000</v>
      </c>
      <c r="L143" s="69">
        <f t="shared" si="18"/>
        <v>75000</v>
      </c>
      <c r="M143" s="69">
        <f t="shared" si="18"/>
        <v>75000</v>
      </c>
    </row>
    <row r="144" spans="1:14" x14ac:dyDescent="0.25">
      <c r="A144" s="94" t="s">
        <v>88</v>
      </c>
      <c r="B144" s="69">
        <f>+$K$26*$B$21</f>
        <v>100000</v>
      </c>
      <c r="C144" s="69">
        <f t="shared" si="17"/>
        <v>100000</v>
      </c>
      <c r="D144" s="69">
        <f t="shared" si="17"/>
        <v>100000</v>
      </c>
      <c r="E144" s="69">
        <f t="shared" si="17"/>
        <v>100000</v>
      </c>
      <c r="F144" s="69">
        <f t="shared" si="17"/>
        <v>100000</v>
      </c>
      <c r="G144" s="69">
        <f t="shared" si="17"/>
        <v>100000</v>
      </c>
      <c r="H144" s="69">
        <f t="shared" si="18"/>
        <v>100000</v>
      </c>
      <c r="I144" s="69">
        <f t="shared" si="18"/>
        <v>100000</v>
      </c>
      <c r="J144" s="69">
        <f t="shared" si="18"/>
        <v>100000</v>
      </c>
      <c r="K144" s="69">
        <f t="shared" si="18"/>
        <v>100000</v>
      </c>
      <c r="L144" s="69">
        <f t="shared" si="18"/>
        <v>100000</v>
      </c>
      <c r="M144" s="69">
        <f t="shared" si="18"/>
        <v>100000</v>
      </c>
      <c r="N144" s="89" t="s">
        <v>106</v>
      </c>
    </row>
    <row r="145" spans="1:14" x14ac:dyDescent="0.25">
      <c r="A145" s="94" t="s">
        <v>95</v>
      </c>
      <c r="B145" s="69">
        <f>SUM(B131:B144)</f>
        <v>3537500</v>
      </c>
      <c r="C145" s="69">
        <f t="shared" ref="C145:M145" si="19">SUM(C131:C144)</f>
        <v>3537500</v>
      </c>
      <c r="D145" s="69">
        <f t="shared" si="19"/>
        <v>3537500</v>
      </c>
      <c r="E145" s="69">
        <f t="shared" si="19"/>
        <v>3537500</v>
      </c>
      <c r="F145" s="69">
        <f t="shared" si="19"/>
        <v>3537500</v>
      </c>
      <c r="G145" s="69">
        <f t="shared" si="19"/>
        <v>4787500</v>
      </c>
      <c r="H145" s="69">
        <f t="shared" si="19"/>
        <v>3537500</v>
      </c>
      <c r="I145" s="69">
        <f t="shared" si="19"/>
        <v>3537500</v>
      </c>
      <c r="J145" s="69">
        <f t="shared" si="19"/>
        <v>3537500</v>
      </c>
      <c r="K145" s="69">
        <f t="shared" si="19"/>
        <v>3537500</v>
      </c>
      <c r="L145" s="69">
        <f t="shared" si="19"/>
        <v>3537500</v>
      </c>
      <c r="M145" s="69">
        <f t="shared" si="19"/>
        <v>8838500</v>
      </c>
      <c r="N145" s="69">
        <f>SUM(B145:M145)</f>
        <v>49001000</v>
      </c>
    </row>
    <row r="148" spans="1:14" x14ac:dyDescent="0.25">
      <c r="A148" s="89" t="s">
        <v>110</v>
      </c>
      <c r="B148" s="89">
        <v>1</v>
      </c>
      <c r="C148" s="95">
        <v>2</v>
      </c>
      <c r="D148" s="89">
        <v>3</v>
      </c>
      <c r="E148" s="95">
        <v>4</v>
      </c>
      <c r="F148" s="89">
        <v>5</v>
      </c>
      <c r="G148" s="95">
        <v>6</v>
      </c>
      <c r="H148" s="89">
        <v>7</v>
      </c>
      <c r="I148" s="95">
        <v>8</v>
      </c>
      <c r="J148" s="89">
        <v>9</v>
      </c>
      <c r="K148" s="95">
        <v>10</v>
      </c>
      <c r="L148" s="89">
        <v>11</v>
      </c>
      <c r="M148" s="89">
        <v>12</v>
      </c>
    </row>
    <row r="149" spans="1:14" x14ac:dyDescent="0.25">
      <c r="A149" s="55" t="s">
        <v>60</v>
      </c>
      <c r="B149" s="69">
        <f>+N26</f>
        <v>3100000</v>
      </c>
      <c r="C149" s="69">
        <f t="shared" ref="C149:G154" si="20">B149</f>
        <v>3100000</v>
      </c>
      <c r="D149" s="69">
        <f t="shared" si="20"/>
        <v>3100000</v>
      </c>
      <c r="E149" s="69">
        <f t="shared" si="20"/>
        <v>3100000</v>
      </c>
      <c r="F149" s="69">
        <f t="shared" si="20"/>
        <v>3100000</v>
      </c>
      <c r="G149" s="69">
        <f t="shared" si="20"/>
        <v>3100000</v>
      </c>
      <c r="H149" s="69">
        <f t="shared" ref="H149:M154" si="21">F149</f>
        <v>3100000</v>
      </c>
      <c r="I149" s="69">
        <f t="shared" si="21"/>
        <v>3100000</v>
      </c>
      <c r="J149" s="69">
        <f t="shared" si="21"/>
        <v>3100000</v>
      </c>
      <c r="K149" s="69">
        <f t="shared" si="21"/>
        <v>3100000</v>
      </c>
      <c r="L149" s="69">
        <f>J149</f>
        <v>3100000</v>
      </c>
      <c r="M149" s="69">
        <f>+L149</f>
        <v>3100000</v>
      </c>
    </row>
    <row r="150" spans="1:14" x14ac:dyDescent="0.25">
      <c r="A150" s="55" t="s">
        <v>94</v>
      </c>
      <c r="B150" s="69"/>
      <c r="C150" s="69">
        <f t="shared" si="20"/>
        <v>0</v>
      </c>
      <c r="D150" s="69">
        <f t="shared" si="20"/>
        <v>0</v>
      </c>
      <c r="E150" s="69">
        <f t="shared" si="20"/>
        <v>0</v>
      </c>
      <c r="F150" s="69">
        <f t="shared" si="20"/>
        <v>0</v>
      </c>
      <c r="G150" s="69">
        <f t="shared" si="20"/>
        <v>0</v>
      </c>
      <c r="H150" s="69">
        <f t="shared" si="21"/>
        <v>0</v>
      </c>
      <c r="I150" s="69">
        <f t="shared" si="21"/>
        <v>0</v>
      </c>
      <c r="J150" s="69">
        <f t="shared" si="21"/>
        <v>0</v>
      </c>
      <c r="K150" s="69">
        <f t="shared" si="21"/>
        <v>0</v>
      </c>
      <c r="L150" s="69">
        <f t="shared" si="21"/>
        <v>0</v>
      </c>
      <c r="M150" s="69">
        <f>+L150</f>
        <v>0</v>
      </c>
    </row>
    <row r="151" spans="1:14" x14ac:dyDescent="0.25">
      <c r="A151" s="55" t="s">
        <v>95</v>
      </c>
      <c r="B151" s="69">
        <f>+B149+B150</f>
        <v>3100000</v>
      </c>
      <c r="C151" s="69">
        <f t="shared" si="20"/>
        <v>3100000</v>
      </c>
      <c r="D151" s="69">
        <f t="shared" si="20"/>
        <v>3100000</v>
      </c>
      <c r="E151" s="69">
        <f t="shared" si="20"/>
        <v>3100000</v>
      </c>
      <c r="F151" s="69">
        <f t="shared" si="20"/>
        <v>3100000</v>
      </c>
      <c r="G151" s="69">
        <f t="shared" si="20"/>
        <v>3100000</v>
      </c>
      <c r="H151" s="69">
        <f t="shared" si="21"/>
        <v>3100000</v>
      </c>
      <c r="I151" s="69">
        <f t="shared" si="21"/>
        <v>3100000</v>
      </c>
      <c r="J151" s="69">
        <f t="shared" si="21"/>
        <v>3100000</v>
      </c>
      <c r="K151" s="69">
        <f t="shared" si="21"/>
        <v>3100000</v>
      </c>
      <c r="L151" s="69">
        <f t="shared" si="21"/>
        <v>3100000</v>
      </c>
      <c r="M151" s="69">
        <f>+L151</f>
        <v>3100000</v>
      </c>
    </row>
    <row r="152" spans="1:14" x14ac:dyDescent="0.25">
      <c r="A152" s="91" t="s">
        <v>96</v>
      </c>
      <c r="B152" s="69"/>
      <c r="C152" s="69">
        <f t="shared" si="20"/>
        <v>0</v>
      </c>
      <c r="D152" s="69">
        <f t="shared" si="20"/>
        <v>0</v>
      </c>
      <c r="E152" s="69">
        <f t="shared" si="20"/>
        <v>0</v>
      </c>
      <c r="F152" s="69">
        <f t="shared" si="20"/>
        <v>0</v>
      </c>
      <c r="G152" s="69">
        <f t="shared" si="20"/>
        <v>0</v>
      </c>
      <c r="H152" s="69">
        <f t="shared" si="21"/>
        <v>0</v>
      </c>
      <c r="I152" s="69">
        <f t="shared" si="21"/>
        <v>0</v>
      </c>
      <c r="J152" s="69">
        <f t="shared" si="21"/>
        <v>0</v>
      </c>
      <c r="K152" s="69">
        <f t="shared" si="21"/>
        <v>0</v>
      </c>
      <c r="L152" s="69">
        <f t="shared" si="21"/>
        <v>0</v>
      </c>
      <c r="M152" s="69">
        <f t="shared" si="21"/>
        <v>0</v>
      </c>
    </row>
    <row r="153" spans="1:14" x14ac:dyDescent="0.25">
      <c r="A153" s="91" t="s">
        <v>97</v>
      </c>
      <c r="B153" s="69"/>
      <c r="C153" s="69">
        <f t="shared" si="20"/>
        <v>0</v>
      </c>
      <c r="D153" s="69">
        <f t="shared" si="20"/>
        <v>0</v>
      </c>
      <c r="E153" s="69">
        <f t="shared" si="20"/>
        <v>0</v>
      </c>
      <c r="F153" s="69">
        <f t="shared" si="20"/>
        <v>0</v>
      </c>
      <c r="G153" s="69">
        <f t="shared" si="20"/>
        <v>0</v>
      </c>
      <c r="H153" s="69">
        <f t="shared" si="21"/>
        <v>0</v>
      </c>
      <c r="I153" s="69">
        <f t="shared" si="21"/>
        <v>0</v>
      </c>
      <c r="J153" s="69">
        <f t="shared" si="21"/>
        <v>0</v>
      </c>
      <c r="K153" s="69">
        <f t="shared" si="21"/>
        <v>0</v>
      </c>
      <c r="L153" s="69">
        <f t="shared" si="21"/>
        <v>0</v>
      </c>
      <c r="M153" s="69">
        <f t="shared" si="21"/>
        <v>0</v>
      </c>
    </row>
    <row r="154" spans="1:14" x14ac:dyDescent="0.25">
      <c r="A154" s="91" t="s">
        <v>98</v>
      </c>
      <c r="B154" s="69"/>
      <c r="C154" s="69">
        <f t="shared" si="20"/>
        <v>0</v>
      </c>
      <c r="D154" s="69">
        <f t="shared" si="20"/>
        <v>0</v>
      </c>
      <c r="E154" s="69"/>
      <c r="F154" s="69">
        <f t="shared" si="20"/>
        <v>0</v>
      </c>
      <c r="G154" s="69">
        <f t="shared" si="20"/>
        <v>0</v>
      </c>
      <c r="H154" s="69">
        <f t="shared" si="21"/>
        <v>0</v>
      </c>
      <c r="I154" s="69">
        <f t="shared" si="21"/>
        <v>0</v>
      </c>
      <c r="J154" s="69">
        <f t="shared" si="21"/>
        <v>0</v>
      </c>
      <c r="K154" s="69">
        <f t="shared" si="21"/>
        <v>0</v>
      </c>
      <c r="L154" s="69">
        <f t="shared" si="21"/>
        <v>0</v>
      </c>
      <c r="M154" s="69">
        <f t="shared" si="21"/>
        <v>0</v>
      </c>
    </row>
    <row r="155" spans="1:14" x14ac:dyDescent="0.25">
      <c r="A155" s="92" t="s">
        <v>76</v>
      </c>
      <c r="B155" s="82"/>
      <c r="C155" s="82"/>
      <c r="D155" s="82"/>
      <c r="E155" s="82"/>
      <c r="F155" s="82"/>
      <c r="G155" s="82">
        <f>+(B151+C151+D151+E151+F151+G151)*F16</f>
        <v>1550000.0000000002</v>
      </c>
      <c r="H155" s="69">
        <v>0</v>
      </c>
      <c r="I155" s="69">
        <v>0</v>
      </c>
      <c r="J155" s="69">
        <v>0</v>
      </c>
      <c r="K155" s="69">
        <v>0</v>
      </c>
      <c r="L155" s="69">
        <v>0</v>
      </c>
      <c r="M155" s="69">
        <f>+G155</f>
        <v>1550000.0000000002</v>
      </c>
    </row>
    <row r="156" spans="1:14" x14ac:dyDescent="0.25">
      <c r="A156" s="92" t="s">
        <v>79</v>
      </c>
      <c r="B156" s="69"/>
      <c r="C156" s="69">
        <f t="shared" ref="C156:G164" si="22">B156</f>
        <v>0</v>
      </c>
      <c r="D156" s="69">
        <f t="shared" si="22"/>
        <v>0</v>
      </c>
      <c r="E156" s="69">
        <f t="shared" si="22"/>
        <v>0</v>
      </c>
      <c r="F156" s="69">
        <f t="shared" si="22"/>
        <v>0</v>
      </c>
      <c r="G156" s="69">
        <f t="shared" si="22"/>
        <v>0</v>
      </c>
      <c r="H156" s="69">
        <f t="shared" ref="H156:M164" si="23">F156</f>
        <v>0</v>
      </c>
      <c r="I156" s="69">
        <f t="shared" si="23"/>
        <v>0</v>
      </c>
      <c r="J156" s="69">
        <f t="shared" si="23"/>
        <v>0</v>
      </c>
      <c r="K156" s="69">
        <f t="shared" si="23"/>
        <v>0</v>
      </c>
      <c r="L156" s="69">
        <f t="shared" si="23"/>
        <v>0</v>
      </c>
      <c r="M156" s="69">
        <f>+SUM(B151:M151)*$F$17</f>
        <v>3100000.0000000005</v>
      </c>
    </row>
    <row r="157" spans="1:14" x14ac:dyDescent="0.25">
      <c r="A157" s="92" t="s">
        <v>99</v>
      </c>
      <c r="B157" s="69"/>
      <c r="C157" s="69">
        <f t="shared" si="22"/>
        <v>0</v>
      </c>
      <c r="D157" s="69">
        <f t="shared" si="22"/>
        <v>0</v>
      </c>
      <c r="E157" s="69">
        <f t="shared" si="22"/>
        <v>0</v>
      </c>
      <c r="F157" s="69">
        <f t="shared" si="22"/>
        <v>0</v>
      </c>
      <c r="G157" s="69">
        <f t="shared" si="22"/>
        <v>0</v>
      </c>
      <c r="H157" s="69">
        <f t="shared" si="23"/>
        <v>0</v>
      </c>
      <c r="I157" s="69">
        <f t="shared" si="23"/>
        <v>0</v>
      </c>
      <c r="J157" s="69">
        <f t="shared" si="23"/>
        <v>0</v>
      </c>
      <c r="K157" s="69">
        <f t="shared" si="23"/>
        <v>0</v>
      </c>
      <c r="L157" s="69">
        <f t="shared" si="23"/>
        <v>0</v>
      </c>
      <c r="M157" s="69">
        <f>+M156*$F$18</f>
        <v>372000.00000000006</v>
      </c>
    </row>
    <row r="158" spans="1:14" x14ac:dyDescent="0.25">
      <c r="A158" s="92" t="s">
        <v>85</v>
      </c>
      <c r="B158" s="69"/>
      <c r="C158" s="69">
        <f t="shared" si="22"/>
        <v>0</v>
      </c>
      <c r="D158" s="69">
        <f t="shared" si="22"/>
        <v>0</v>
      </c>
      <c r="E158" s="69">
        <f t="shared" si="22"/>
        <v>0</v>
      </c>
      <c r="F158" s="69">
        <f t="shared" si="22"/>
        <v>0</v>
      </c>
      <c r="G158" s="69">
        <f t="shared" si="22"/>
        <v>0</v>
      </c>
      <c r="H158" s="69">
        <f t="shared" si="23"/>
        <v>0</v>
      </c>
      <c r="I158" s="69">
        <f t="shared" si="23"/>
        <v>0</v>
      </c>
      <c r="J158" s="69">
        <f t="shared" si="23"/>
        <v>0</v>
      </c>
      <c r="K158" s="69">
        <f t="shared" si="23"/>
        <v>0</v>
      </c>
      <c r="L158" s="69">
        <f t="shared" si="23"/>
        <v>0</v>
      </c>
      <c r="M158" s="69">
        <f>+SUM(B149:M149)*$F$19</f>
        <v>1551240</v>
      </c>
    </row>
    <row r="159" spans="1:14" x14ac:dyDescent="0.25">
      <c r="A159" s="94" t="s">
        <v>75</v>
      </c>
      <c r="B159" s="69">
        <v>212500.00000000003</v>
      </c>
      <c r="C159" s="69">
        <f t="shared" si="22"/>
        <v>212500.00000000003</v>
      </c>
      <c r="D159" s="69">
        <f t="shared" si="22"/>
        <v>212500.00000000003</v>
      </c>
      <c r="E159" s="69">
        <f t="shared" si="22"/>
        <v>212500.00000000003</v>
      </c>
      <c r="F159" s="69">
        <f t="shared" si="22"/>
        <v>212500.00000000003</v>
      </c>
      <c r="G159" s="69">
        <f t="shared" si="22"/>
        <v>212500.00000000003</v>
      </c>
      <c r="H159" s="69">
        <f t="shared" si="23"/>
        <v>212500.00000000003</v>
      </c>
      <c r="I159" s="69">
        <f t="shared" si="23"/>
        <v>212500.00000000003</v>
      </c>
      <c r="J159" s="69">
        <f t="shared" si="23"/>
        <v>212500.00000000003</v>
      </c>
      <c r="K159" s="69">
        <f t="shared" si="23"/>
        <v>212500.00000000003</v>
      </c>
      <c r="L159" s="69">
        <f t="shared" si="23"/>
        <v>212500.00000000003</v>
      </c>
      <c r="M159" s="69">
        <f t="shared" si="23"/>
        <v>212500.00000000003</v>
      </c>
    </row>
    <row r="160" spans="1:14" x14ac:dyDescent="0.25">
      <c r="A160" s="94" t="s">
        <v>78</v>
      </c>
      <c r="B160" s="69">
        <v>300000</v>
      </c>
      <c r="C160" s="69">
        <f t="shared" si="22"/>
        <v>300000</v>
      </c>
      <c r="D160" s="69">
        <f t="shared" si="22"/>
        <v>300000</v>
      </c>
      <c r="E160" s="69">
        <f t="shared" si="22"/>
        <v>300000</v>
      </c>
      <c r="F160" s="69">
        <f t="shared" si="22"/>
        <v>300000</v>
      </c>
      <c r="G160" s="69">
        <f t="shared" si="22"/>
        <v>300000</v>
      </c>
      <c r="H160" s="69">
        <f t="shared" si="23"/>
        <v>300000</v>
      </c>
      <c r="I160" s="69">
        <f t="shared" si="23"/>
        <v>300000</v>
      </c>
      <c r="J160" s="69">
        <f t="shared" si="23"/>
        <v>300000</v>
      </c>
      <c r="K160" s="69">
        <f t="shared" si="23"/>
        <v>300000</v>
      </c>
      <c r="L160" s="69">
        <f t="shared" si="23"/>
        <v>300000</v>
      </c>
      <c r="M160" s="69">
        <f t="shared" si="23"/>
        <v>300000</v>
      </c>
    </row>
    <row r="161" spans="1:14" x14ac:dyDescent="0.25">
      <c r="A161" s="94" t="s">
        <v>100</v>
      </c>
      <c r="B161" s="69">
        <v>300000</v>
      </c>
      <c r="C161" s="69">
        <f t="shared" si="22"/>
        <v>300000</v>
      </c>
      <c r="D161" s="69">
        <f t="shared" si="22"/>
        <v>300000</v>
      </c>
      <c r="E161" s="69">
        <f t="shared" si="22"/>
        <v>300000</v>
      </c>
      <c r="F161" s="69">
        <f t="shared" si="22"/>
        <v>300000</v>
      </c>
      <c r="G161" s="69">
        <f t="shared" si="22"/>
        <v>300000</v>
      </c>
      <c r="H161" s="69">
        <f t="shared" si="23"/>
        <v>300000</v>
      </c>
      <c r="I161" s="69">
        <f t="shared" si="23"/>
        <v>300000</v>
      </c>
      <c r="J161" s="69">
        <f t="shared" si="23"/>
        <v>300000</v>
      </c>
      <c r="K161" s="69">
        <f t="shared" si="23"/>
        <v>300000</v>
      </c>
      <c r="L161" s="69">
        <f t="shared" si="23"/>
        <v>300000</v>
      </c>
      <c r="M161" s="69">
        <f t="shared" si="23"/>
        <v>300000</v>
      </c>
    </row>
    <row r="162" spans="1:14" x14ac:dyDescent="0.25">
      <c r="A162" s="94" t="s">
        <v>84</v>
      </c>
      <c r="B162" s="69">
        <v>50000</v>
      </c>
      <c r="C162" s="69">
        <f t="shared" si="22"/>
        <v>50000</v>
      </c>
      <c r="D162" s="69">
        <f t="shared" si="22"/>
        <v>50000</v>
      </c>
      <c r="E162" s="69">
        <f t="shared" si="22"/>
        <v>50000</v>
      </c>
      <c r="F162" s="69">
        <f t="shared" si="22"/>
        <v>50000</v>
      </c>
      <c r="G162" s="69">
        <f t="shared" si="22"/>
        <v>50000</v>
      </c>
      <c r="H162" s="69">
        <f t="shared" si="23"/>
        <v>50000</v>
      </c>
      <c r="I162" s="69">
        <f t="shared" si="23"/>
        <v>50000</v>
      </c>
      <c r="J162" s="69">
        <f t="shared" si="23"/>
        <v>50000</v>
      </c>
      <c r="K162" s="69">
        <f t="shared" si="23"/>
        <v>50000</v>
      </c>
      <c r="L162" s="69">
        <f t="shared" si="23"/>
        <v>50000</v>
      </c>
      <c r="M162" s="69">
        <f t="shared" si="23"/>
        <v>50000</v>
      </c>
    </row>
    <row r="163" spans="1:14" x14ac:dyDescent="0.25">
      <c r="A163" s="94" t="s">
        <v>87</v>
      </c>
      <c r="B163" s="69">
        <v>75000</v>
      </c>
      <c r="C163" s="69">
        <f t="shared" si="22"/>
        <v>75000</v>
      </c>
      <c r="D163" s="69">
        <f t="shared" si="22"/>
        <v>75000</v>
      </c>
      <c r="E163" s="69">
        <f t="shared" si="22"/>
        <v>75000</v>
      </c>
      <c r="F163" s="69">
        <f t="shared" si="22"/>
        <v>75000</v>
      </c>
      <c r="G163" s="69">
        <f t="shared" si="22"/>
        <v>75000</v>
      </c>
      <c r="H163" s="69">
        <f t="shared" si="23"/>
        <v>75000</v>
      </c>
      <c r="I163" s="69">
        <f t="shared" si="23"/>
        <v>75000</v>
      </c>
      <c r="J163" s="69">
        <f t="shared" si="23"/>
        <v>75000</v>
      </c>
      <c r="K163" s="69">
        <f t="shared" si="23"/>
        <v>75000</v>
      </c>
      <c r="L163" s="69">
        <f t="shared" si="23"/>
        <v>75000</v>
      </c>
      <c r="M163" s="69">
        <f t="shared" si="23"/>
        <v>75000</v>
      </c>
    </row>
    <row r="164" spans="1:14" x14ac:dyDescent="0.25">
      <c r="A164" s="94" t="s">
        <v>88</v>
      </c>
      <c r="B164" s="69">
        <v>120000</v>
      </c>
      <c r="C164" s="69">
        <f t="shared" si="22"/>
        <v>120000</v>
      </c>
      <c r="D164" s="69">
        <f t="shared" si="22"/>
        <v>120000</v>
      </c>
      <c r="E164" s="69">
        <f t="shared" si="22"/>
        <v>120000</v>
      </c>
      <c r="F164" s="69">
        <f t="shared" si="22"/>
        <v>120000</v>
      </c>
      <c r="G164" s="69">
        <f t="shared" si="22"/>
        <v>120000</v>
      </c>
      <c r="H164" s="69">
        <f t="shared" si="23"/>
        <v>120000</v>
      </c>
      <c r="I164" s="69">
        <f t="shared" si="23"/>
        <v>120000</v>
      </c>
      <c r="J164" s="69">
        <f t="shared" si="23"/>
        <v>120000</v>
      </c>
      <c r="K164" s="69">
        <f t="shared" si="23"/>
        <v>120000</v>
      </c>
      <c r="L164" s="69">
        <f t="shared" si="23"/>
        <v>120000</v>
      </c>
      <c r="M164" s="69">
        <f t="shared" si="23"/>
        <v>120000</v>
      </c>
      <c r="N164" s="89" t="s">
        <v>106</v>
      </c>
    </row>
    <row r="165" spans="1:14" x14ac:dyDescent="0.25">
      <c r="A165" s="94" t="s">
        <v>95</v>
      </c>
      <c r="B165" s="69">
        <f>SUM(B151:B164)</f>
        <v>4157500</v>
      </c>
      <c r="C165" s="69">
        <f t="shared" ref="C165:M165" si="24">SUM(C151:C164)</f>
        <v>4157500</v>
      </c>
      <c r="D165" s="69">
        <f t="shared" si="24"/>
        <v>4157500</v>
      </c>
      <c r="E165" s="69">
        <f t="shared" si="24"/>
        <v>4157500</v>
      </c>
      <c r="F165" s="69">
        <f t="shared" si="24"/>
        <v>4157500</v>
      </c>
      <c r="G165" s="69">
        <f t="shared" si="24"/>
        <v>5707500</v>
      </c>
      <c r="H165" s="69">
        <f t="shared" si="24"/>
        <v>4157500</v>
      </c>
      <c r="I165" s="69">
        <f t="shared" si="24"/>
        <v>4157500</v>
      </c>
      <c r="J165" s="69">
        <f t="shared" si="24"/>
        <v>4157500</v>
      </c>
      <c r="K165" s="69">
        <f t="shared" si="24"/>
        <v>4157500</v>
      </c>
      <c r="L165" s="69">
        <f t="shared" si="24"/>
        <v>4157500</v>
      </c>
      <c r="M165" s="69">
        <f t="shared" si="24"/>
        <v>10730740</v>
      </c>
      <c r="N165" s="69">
        <f>SUM(B165:M165)</f>
        <v>58013240</v>
      </c>
    </row>
    <row r="168" spans="1:14" x14ac:dyDescent="0.25">
      <c r="A168" s="89" t="s">
        <v>111</v>
      </c>
      <c r="B168" s="89">
        <v>1</v>
      </c>
      <c r="C168" s="95">
        <v>2</v>
      </c>
      <c r="D168" s="89">
        <v>3</v>
      </c>
      <c r="E168" s="95">
        <v>4</v>
      </c>
      <c r="F168" s="89">
        <v>5</v>
      </c>
      <c r="G168" s="95">
        <v>6</v>
      </c>
      <c r="H168" s="89">
        <v>7</v>
      </c>
      <c r="I168" s="95">
        <v>8</v>
      </c>
      <c r="J168" s="89">
        <v>9</v>
      </c>
      <c r="K168" s="95">
        <v>10</v>
      </c>
      <c r="L168" s="89">
        <v>11</v>
      </c>
      <c r="M168" s="89">
        <v>12</v>
      </c>
    </row>
    <row r="169" spans="1:14" x14ac:dyDescent="0.25">
      <c r="A169" s="55" t="s">
        <v>60</v>
      </c>
      <c r="B169" s="69">
        <f>+B47</f>
        <v>1500000</v>
      </c>
      <c r="C169" s="69">
        <f t="shared" ref="C169:G174" si="25">B169</f>
        <v>1500000</v>
      </c>
      <c r="D169" s="69">
        <f t="shared" si="25"/>
        <v>1500000</v>
      </c>
      <c r="E169" s="69">
        <f t="shared" si="25"/>
        <v>1500000</v>
      </c>
      <c r="F169" s="69">
        <f t="shared" si="25"/>
        <v>1500000</v>
      </c>
      <c r="G169" s="69">
        <f t="shared" si="25"/>
        <v>1500000</v>
      </c>
      <c r="H169" s="69">
        <f t="shared" ref="H169:M174" si="26">F169</f>
        <v>1500000</v>
      </c>
      <c r="I169" s="69">
        <f t="shared" si="26"/>
        <v>1500000</v>
      </c>
      <c r="J169" s="69">
        <f t="shared" si="26"/>
        <v>1500000</v>
      </c>
      <c r="K169" s="69">
        <f t="shared" si="26"/>
        <v>1500000</v>
      </c>
      <c r="L169" s="69">
        <f>J169</f>
        <v>1500000</v>
      </c>
      <c r="M169" s="69">
        <f>+L169</f>
        <v>1500000</v>
      </c>
    </row>
    <row r="170" spans="1:14" x14ac:dyDescent="0.25">
      <c r="A170" s="55" t="s">
        <v>94</v>
      </c>
      <c r="B170" s="69">
        <f>+B48</f>
        <v>97032</v>
      </c>
      <c r="C170" s="69">
        <f t="shared" si="25"/>
        <v>97032</v>
      </c>
      <c r="D170" s="69">
        <f t="shared" si="25"/>
        <v>97032</v>
      </c>
      <c r="E170" s="69">
        <f t="shared" si="25"/>
        <v>97032</v>
      </c>
      <c r="F170" s="69">
        <f t="shared" si="25"/>
        <v>97032</v>
      </c>
      <c r="G170" s="69">
        <f t="shared" si="25"/>
        <v>97032</v>
      </c>
      <c r="H170" s="69">
        <f t="shared" si="26"/>
        <v>97032</v>
      </c>
      <c r="I170" s="69">
        <f t="shared" si="26"/>
        <v>97032</v>
      </c>
      <c r="J170" s="69">
        <f t="shared" si="26"/>
        <v>97032</v>
      </c>
      <c r="K170" s="69">
        <f t="shared" si="26"/>
        <v>97032</v>
      </c>
      <c r="L170" s="69">
        <f t="shared" si="26"/>
        <v>97032</v>
      </c>
      <c r="M170" s="69">
        <f>+L170</f>
        <v>97032</v>
      </c>
    </row>
    <row r="171" spans="1:14" x14ac:dyDescent="0.25">
      <c r="A171" s="55" t="s">
        <v>95</v>
      </c>
      <c r="B171" s="69">
        <f>+B169+B170</f>
        <v>1597032</v>
      </c>
      <c r="C171" s="69">
        <f t="shared" si="25"/>
        <v>1597032</v>
      </c>
      <c r="D171" s="69">
        <f t="shared" si="25"/>
        <v>1597032</v>
      </c>
      <c r="E171" s="69">
        <f t="shared" si="25"/>
        <v>1597032</v>
      </c>
      <c r="F171" s="69">
        <f t="shared" si="25"/>
        <v>1597032</v>
      </c>
      <c r="G171" s="69">
        <f t="shared" si="25"/>
        <v>1597032</v>
      </c>
      <c r="H171" s="69">
        <f t="shared" si="26"/>
        <v>1597032</v>
      </c>
      <c r="I171" s="69">
        <f t="shared" si="26"/>
        <v>1597032</v>
      </c>
      <c r="J171" s="69">
        <f t="shared" si="26"/>
        <v>1597032</v>
      </c>
      <c r="K171" s="69">
        <f t="shared" si="26"/>
        <v>1597032</v>
      </c>
      <c r="L171" s="69">
        <f t="shared" si="26"/>
        <v>1597032</v>
      </c>
      <c r="M171" s="69">
        <f>+L171</f>
        <v>1597032</v>
      </c>
    </row>
    <row r="172" spans="1:14" x14ac:dyDescent="0.25">
      <c r="A172" s="91" t="s">
        <v>96</v>
      </c>
      <c r="B172" s="69"/>
      <c r="C172" s="69">
        <f t="shared" si="25"/>
        <v>0</v>
      </c>
      <c r="D172" s="69">
        <f t="shared" si="25"/>
        <v>0</v>
      </c>
      <c r="E172" s="69">
        <f t="shared" si="25"/>
        <v>0</v>
      </c>
      <c r="F172" s="69">
        <f t="shared" si="25"/>
        <v>0</v>
      </c>
      <c r="G172" s="69">
        <f t="shared" si="25"/>
        <v>0</v>
      </c>
      <c r="H172" s="69">
        <f t="shared" si="26"/>
        <v>0</v>
      </c>
      <c r="I172" s="69">
        <f t="shared" si="26"/>
        <v>0</v>
      </c>
      <c r="J172" s="69">
        <f t="shared" si="26"/>
        <v>0</v>
      </c>
      <c r="K172" s="69">
        <f t="shared" si="26"/>
        <v>0</v>
      </c>
      <c r="L172" s="69">
        <f t="shared" si="26"/>
        <v>0</v>
      </c>
      <c r="M172" s="69">
        <f t="shared" si="26"/>
        <v>0</v>
      </c>
    </row>
    <row r="173" spans="1:14" x14ac:dyDescent="0.25">
      <c r="A173" s="91" t="s">
        <v>97</v>
      </c>
      <c r="B173" s="69"/>
      <c r="C173" s="69">
        <f t="shared" si="25"/>
        <v>0</v>
      </c>
      <c r="D173" s="69">
        <f t="shared" si="25"/>
        <v>0</v>
      </c>
      <c r="E173" s="69">
        <f t="shared" si="25"/>
        <v>0</v>
      </c>
      <c r="F173" s="69">
        <f t="shared" si="25"/>
        <v>0</v>
      </c>
      <c r="G173" s="69">
        <f t="shared" si="25"/>
        <v>0</v>
      </c>
      <c r="H173" s="69">
        <f t="shared" si="26"/>
        <v>0</v>
      </c>
      <c r="I173" s="69">
        <f t="shared" si="26"/>
        <v>0</v>
      </c>
      <c r="J173" s="69">
        <f t="shared" si="26"/>
        <v>0</v>
      </c>
      <c r="K173" s="69">
        <f t="shared" si="26"/>
        <v>0</v>
      </c>
      <c r="L173" s="69">
        <f t="shared" si="26"/>
        <v>0</v>
      </c>
      <c r="M173" s="69">
        <f t="shared" si="26"/>
        <v>0</v>
      </c>
    </row>
    <row r="174" spans="1:14" x14ac:dyDescent="0.25">
      <c r="A174" s="91" t="s">
        <v>98</v>
      </c>
      <c r="B174" s="69"/>
      <c r="C174" s="69">
        <f t="shared" si="25"/>
        <v>0</v>
      </c>
      <c r="D174" s="69">
        <f t="shared" si="25"/>
        <v>0</v>
      </c>
      <c r="E174" s="69"/>
      <c r="F174" s="69">
        <f t="shared" si="25"/>
        <v>0</v>
      </c>
      <c r="G174" s="69">
        <f t="shared" si="25"/>
        <v>0</v>
      </c>
      <c r="H174" s="69">
        <f t="shared" si="26"/>
        <v>0</v>
      </c>
      <c r="I174" s="69">
        <f t="shared" si="26"/>
        <v>0</v>
      </c>
      <c r="J174" s="69">
        <f t="shared" si="26"/>
        <v>0</v>
      </c>
      <c r="K174" s="69">
        <f t="shared" si="26"/>
        <v>0</v>
      </c>
      <c r="L174" s="69">
        <f t="shared" si="26"/>
        <v>0</v>
      </c>
      <c r="M174" s="69">
        <f t="shared" si="26"/>
        <v>0</v>
      </c>
    </row>
    <row r="175" spans="1:14" x14ac:dyDescent="0.25">
      <c r="A175" s="92" t="s">
        <v>76</v>
      </c>
      <c r="B175" s="82"/>
      <c r="C175" s="82"/>
      <c r="D175" s="82"/>
      <c r="E175" s="82"/>
      <c r="F175" s="82"/>
      <c r="G175" s="82">
        <f>+(B171+C171+D171+E171+F171+G171)*F16</f>
        <v>798516.00000000012</v>
      </c>
      <c r="H175" s="69">
        <v>0</v>
      </c>
      <c r="I175" s="69">
        <v>0</v>
      </c>
      <c r="J175" s="69">
        <v>0</v>
      </c>
      <c r="K175" s="69">
        <v>0</v>
      </c>
      <c r="L175" s="69">
        <v>0</v>
      </c>
      <c r="M175" s="69">
        <f>+G175</f>
        <v>798516.00000000012</v>
      </c>
    </row>
    <row r="176" spans="1:14" x14ac:dyDescent="0.25">
      <c r="A176" s="92" t="s">
        <v>79</v>
      </c>
      <c r="B176" s="69"/>
      <c r="C176" s="69">
        <f t="shared" ref="C176:G184" si="27">B176</f>
        <v>0</v>
      </c>
      <c r="D176" s="69">
        <f t="shared" si="27"/>
        <v>0</v>
      </c>
      <c r="E176" s="69">
        <f t="shared" si="27"/>
        <v>0</v>
      </c>
      <c r="F176" s="69">
        <f t="shared" si="27"/>
        <v>0</v>
      </c>
      <c r="G176" s="69">
        <f t="shared" si="27"/>
        <v>0</v>
      </c>
      <c r="H176" s="69">
        <f t="shared" ref="H176:M184" si="28">F176</f>
        <v>0</v>
      </c>
      <c r="I176" s="69">
        <f t="shared" si="28"/>
        <v>0</v>
      </c>
      <c r="J176" s="69">
        <f t="shared" si="28"/>
        <v>0</v>
      </c>
      <c r="K176" s="69">
        <f t="shared" si="28"/>
        <v>0</v>
      </c>
      <c r="L176" s="69">
        <f t="shared" si="28"/>
        <v>0</v>
      </c>
      <c r="M176" s="69">
        <f>+SUM(B171:M171)*$F$17</f>
        <v>1597032.0000000002</v>
      </c>
    </row>
    <row r="177" spans="1:14" x14ac:dyDescent="0.25">
      <c r="A177" s="92" t="s">
        <v>99</v>
      </c>
      <c r="B177" s="69"/>
      <c r="C177" s="69">
        <f t="shared" si="27"/>
        <v>0</v>
      </c>
      <c r="D177" s="69">
        <f t="shared" si="27"/>
        <v>0</v>
      </c>
      <c r="E177" s="69">
        <f t="shared" si="27"/>
        <v>0</v>
      </c>
      <c r="F177" s="69">
        <f t="shared" si="27"/>
        <v>0</v>
      </c>
      <c r="G177" s="69">
        <f t="shared" si="27"/>
        <v>0</v>
      </c>
      <c r="H177" s="69">
        <f t="shared" si="28"/>
        <v>0</v>
      </c>
      <c r="I177" s="69">
        <f t="shared" si="28"/>
        <v>0</v>
      </c>
      <c r="J177" s="69">
        <f t="shared" si="28"/>
        <v>0</v>
      </c>
      <c r="K177" s="69">
        <f t="shared" si="28"/>
        <v>0</v>
      </c>
      <c r="L177" s="69">
        <f t="shared" si="28"/>
        <v>0</v>
      </c>
      <c r="M177" s="69">
        <f>+M176*$F$18</f>
        <v>191643.84000000003</v>
      </c>
    </row>
    <row r="178" spans="1:14" x14ac:dyDescent="0.25">
      <c r="A178" s="92" t="s">
        <v>85</v>
      </c>
      <c r="B178" s="69"/>
      <c r="C178" s="69">
        <f t="shared" si="27"/>
        <v>0</v>
      </c>
      <c r="D178" s="69">
        <f t="shared" si="27"/>
        <v>0</v>
      </c>
      <c r="E178" s="69">
        <f t="shared" si="27"/>
        <v>0</v>
      </c>
      <c r="F178" s="69">
        <f t="shared" si="27"/>
        <v>0</v>
      </c>
      <c r="G178" s="69">
        <f t="shared" si="27"/>
        <v>0</v>
      </c>
      <c r="H178" s="69">
        <f t="shared" si="28"/>
        <v>0</v>
      </c>
      <c r="I178" s="69">
        <f t="shared" si="28"/>
        <v>0</v>
      </c>
      <c r="J178" s="69">
        <f t="shared" si="28"/>
        <v>0</v>
      </c>
      <c r="K178" s="69">
        <f t="shared" si="28"/>
        <v>0</v>
      </c>
      <c r="L178" s="69">
        <f t="shared" si="28"/>
        <v>0</v>
      </c>
      <c r="M178" s="69">
        <f>+SUM(B169:M169)*$F$19</f>
        <v>750600</v>
      </c>
    </row>
    <row r="179" spans="1:14" x14ac:dyDescent="0.25">
      <c r="A179" s="94" t="s">
        <v>75</v>
      </c>
      <c r="B179" s="69">
        <v>127500.00000000001</v>
      </c>
      <c r="C179" s="69">
        <f t="shared" si="27"/>
        <v>127500.00000000001</v>
      </c>
      <c r="D179" s="69">
        <f t="shared" si="27"/>
        <v>127500.00000000001</v>
      </c>
      <c r="E179" s="69">
        <f t="shared" si="27"/>
        <v>127500.00000000001</v>
      </c>
      <c r="F179" s="69">
        <f t="shared" si="27"/>
        <v>127500.00000000001</v>
      </c>
      <c r="G179" s="69">
        <f t="shared" si="27"/>
        <v>127500.00000000001</v>
      </c>
      <c r="H179" s="69">
        <f t="shared" si="28"/>
        <v>127500.00000000001</v>
      </c>
      <c r="I179" s="69">
        <f t="shared" si="28"/>
        <v>127500.00000000001</v>
      </c>
      <c r="J179" s="69">
        <f t="shared" si="28"/>
        <v>127500.00000000001</v>
      </c>
      <c r="K179" s="69">
        <f t="shared" si="28"/>
        <v>127500.00000000001</v>
      </c>
      <c r="L179" s="69">
        <f t="shared" si="28"/>
        <v>127500.00000000001</v>
      </c>
      <c r="M179" s="69">
        <f t="shared" si="28"/>
        <v>127500.00000000001</v>
      </c>
    </row>
    <row r="180" spans="1:14" x14ac:dyDescent="0.25">
      <c r="A180" s="94" t="s">
        <v>78</v>
      </c>
      <c r="B180" s="69">
        <v>180000</v>
      </c>
      <c r="C180" s="69">
        <f t="shared" si="27"/>
        <v>180000</v>
      </c>
      <c r="D180" s="69">
        <f t="shared" si="27"/>
        <v>180000</v>
      </c>
      <c r="E180" s="69">
        <f t="shared" si="27"/>
        <v>180000</v>
      </c>
      <c r="F180" s="69">
        <f t="shared" si="27"/>
        <v>180000</v>
      </c>
      <c r="G180" s="69">
        <f t="shared" si="27"/>
        <v>180000</v>
      </c>
      <c r="H180" s="69">
        <f t="shared" si="28"/>
        <v>180000</v>
      </c>
      <c r="I180" s="69">
        <f t="shared" si="28"/>
        <v>180000</v>
      </c>
      <c r="J180" s="69">
        <f t="shared" si="28"/>
        <v>180000</v>
      </c>
      <c r="K180" s="69">
        <f t="shared" si="28"/>
        <v>180000</v>
      </c>
      <c r="L180" s="69">
        <f t="shared" si="28"/>
        <v>180000</v>
      </c>
      <c r="M180" s="69">
        <f t="shared" si="28"/>
        <v>180000</v>
      </c>
    </row>
    <row r="181" spans="1:14" x14ac:dyDescent="0.25">
      <c r="A181" s="94" t="s">
        <v>100</v>
      </c>
      <c r="B181" s="69">
        <v>7830</v>
      </c>
      <c r="C181" s="69">
        <f t="shared" si="27"/>
        <v>7830</v>
      </c>
      <c r="D181" s="69">
        <f t="shared" si="27"/>
        <v>7830</v>
      </c>
      <c r="E181" s="69">
        <f t="shared" si="27"/>
        <v>7830</v>
      </c>
      <c r="F181" s="69">
        <f t="shared" si="27"/>
        <v>7830</v>
      </c>
      <c r="G181" s="69">
        <f t="shared" si="27"/>
        <v>7830</v>
      </c>
      <c r="H181" s="69">
        <f t="shared" si="28"/>
        <v>7830</v>
      </c>
      <c r="I181" s="69">
        <f t="shared" si="28"/>
        <v>7830</v>
      </c>
      <c r="J181" s="69">
        <f t="shared" si="28"/>
        <v>7830</v>
      </c>
      <c r="K181" s="69">
        <f t="shared" si="28"/>
        <v>7830</v>
      </c>
      <c r="L181" s="69">
        <f t="shared" si="28"/>
        <v>7830</v>
      </c>
      <c r="M181" s="69">
        <f t="shared" si="28"/>
        <v>7830</v>
      </c>
    </row>
    <row r="182" spans="1:14" x14ac:dyDescent="0.25">
      <c r="A182" s="94" t="s">
        <v>84</v>
      </c>
      <c r="B182" s="69">
        <v>30000</v>
      </c>
      <c r="C182" s="69">
        <f t="shared" si="27"/>
        <v>30000</v>
      </c>
      <c r="D182" s="69">
        <f t="shared" si="27"/>
        <v>30000</v>
      </c>
      <c r="E182" s="69">
        <f t="shared" si="27"/>
        <v>30000</v>
      </c>
      <c r="F182" s="69">
        <f t="shared" si="27"/>
        <v>30000</v>
      </c>
      <c r="G182" s="69">
        <f t="shared" si="27"/>
        <v>30000</v>
      </c>
      <c r="H182" s="69">
        <f t="shared" si="28"/>
        <v>30000</v>
      </c>
      <c r="I182" s="69">
        <f t="shared" si="28"/>
        <v>30000</v>
      </c>
      <c r="J182" s="69">
        <f t="shared" si="28"/>
        <v>30000</v>
      </c>
      <c r="K182" s="69">
        <f t="shared" si="28"/>
        <v>30000</v>
      </c>
      <c r="L182" s="69">
        <f t="shared" si="28"/>
        <v>30000</v>
      </c>
      <c r="M182" s="69">
        <f t="shared" si="28"/>
        <v>30000</v>
      </c>
    </row>
    <row r="183" spans="1:14" x14ac:dyDescent="0.25">
      <c r="A183" s="94" t="s">
        <v>87</v>
      </c>
      <c r="B183" s="69">
        <v>45000</v>
      </c>
      <c r="C183" s="69">
        <f t="shared" si="27"/>
        <v>45000</v>
      </c>
      <c r="D183" s="69">
        <f t="shared" si="27"/>
        <v>45000</v>
      </c>
      <c r="E183" s="69">
        <f t="shared" si="27"/>
        <v>45000</v>
      </c>
      <c r="F183" s="69">
        <f t="shared" si="27"/>
        <v>45000</v>
      </c>
      <c r="G183" s="69">
        <f t="shared" si="27"/>
        <v>45000</v>
      </c>
      <c r="H183" s="69">
        <f t="shared" si="28"/>
        <v>45000</v>
      </c>
      <c r="I183" s="69">
        <f t="shared" si="28"/>
        <v>45000</v>
      </c>
      <c r="J183" s="69">
        <f t="shared" si="28"/>
        <v>45000</v>
      </c>
      <c r="K183" s="69">
        <f t="shared" si="28"/>
        <v>45000</v>
      </c>
      <c r="L183" s="69">
        <f t="shared" si="28"/>
        <v>45000</v>
      </c>
      <c r="M183" s="69">
        <f t="shared" si="28"/>
        <v>45000</v>
      </c>
    </row>
    <row r="184" spans="1:14" x14ac:dyDescent="0.25">
      <c r="A184" s="94" t="s">
        <v>88</v>
      </c>
      <c r="B184" s="69">
        <v>60000</v>
      </c>
      <c r="C184" s="69">
        <f t="shared" si="27"/>
        <v>60000</v>
      </c>
      <c r="D184" s="69">
        <f t="shared" si="27"/>
        <v>60000</v>
      </c>
      <c r="E184" s="69">
        <f t="shared" si="27"/>
        <v>60000</v>
      </c>
      <c r="F184" s="69">
        <f t="shared" si="27"/>
        <v>60000</v>
      </c>
      <c r="G184" s="69">
        <f t="shared" si="27"/>
        <v>60000</v>
      </c>
      <c r="H184" s="69">
        <f t="shared" si="28"/>
        <v>60000</v>
      </c>
      <c r="I184" s="69">
        <f t="shared" si="28"/>
        <v>60000</v>
      </c>
      <c r="J184" s="69">
        <f t="shared" si="28"/>
        <v>60000</v>
      </c>
      <c r="K184" s="69">
        <f t="shared" si="28"/>
        <v>60000</v>
      </c>
      <c r="L184" s="69">
        <f t="shared" si="28"/>
        <v>60000</v>
      </c>
      <c r="M184" s="69">
        <f t="shared" si="28"/>
        <v>60000</v>
      </c>
      <c r="N184" s="89" t="s">
        <v>106</v>
      </c>
    </row>
    <row r="185" spans="1:14" x14ac:dyDescent="0.25">
      <c r="A185" s="94" t="s">
        <v>95</v>
      </c>
      <c r="B185" s="69">
        <f>SUM(B171:B184)</f>
        <v>2047362</v>
      </c>
      <c r="C185" s="69">
        <f t="shared" ref="C185:M185" si="29">SUM(C171:C184)</f>
        <v>2047362</v>
      </c>
      <c r="D185" s="69">
        <f t="shared" si="29"/>
        <v>2047362</v>
      </c>
      <c r="E185" s="69">
        <f t="shared" si="29"/>
        <v>2047362</v>
      </c>
      <c r="F185" s="69">
        <f t="shared" si="29"/>
        <v>2047362</v>
      </c>
      <c r="G185" s="69">
        <f t="shared" si="29"/>
        <v>2845878</v>
      </c>
      <c r="H185" s="69">
        <f t="shared" si="29"/>
        <v>2047362</v>
      </c>
      <c r="I185" s="69">
        <f t="shared" si="29"/>
        <v>2047362</v>
      </c>
      <c r="J185" s="69">
        <f t="shared" si="29"/>
        <v>2047362</v>
      </c>
      <c r="K185" s="69">
        <f t="shared" si="29"/>
        <v>2047362</v>
      </c>
      <c r="L185" s="69">
        <f t="shared" si="29"/>
        <v>2047362</v>
      </c>
      <c r="M185" s="69">
        <f t="shared" si="29"/>
        <v>5385153.8399999999</v>
      </c>
      <c r="N185" s="69">
        <f>SUM(B185:M185)</f>
        <v>28704651.84</v>
      </c>
    </row>
    <row r="187" spans="1:14" x14ac:dyDescent="0.25">
      <c r="A187" s="89" t="s">
        <v>112</v>
      </c>
      <c r="B187" s="89">
        <v>1</v>
      </c>
      <c r="C187" s="95">
        <v>2</v>
      </c>
      <c r="D187" s="89">
        <v>3</v>
      </c>
      <c r="E187" s="95">
        <v>4</v>
      </c>
      <c r="F187" s="89">
        <v>5</v>
      </c>
      <c r="G187" s="95">
        <v>6</v>
      </c>
      <c r="H187" s="89">
        <v>7</v>
      </c>
      <c r="I187" s="95">
        <v>8</v>
      </c>
      <c r="J187" s="89">
        <v>9</v>
      </c>
      <c r="K187" s="95">
        <v>10</v>
      </c>
      <c r="L187" s="89">
        <v>11</v>
      </c>
      <c r="M187" s="89">
        <v>12</v>
      </c>
    </row>
    <row r="188" spans="1:14" x14ac:dyDescent="0.25">
      <c r="A188" s="55" t="s">
        <v>60</v>
      </c>
      <c r="B188" s="69">
        <f>+E47</f>
        <v>2100000</v>
      </c>
      <c r="C188" s="69">
        <f t="shared" ref="C188:G193" si="30">B188</f>
        <v>2100000</v>
      </c>
      <c r="D188" s="69">
        <f t="shared" si="30"/>
        <v>2100000</v>
      </c>
      <c r="E188" s="69">
        <f t="shared" si="30"/>
        <v>2100000</v>
      </c>
      <c r="F188" s="69">
        <f t="shared" si="30"/>
        <v>2100000</v>
      </c>
      <c r="G188" s="69">
        <f t="shared" si="30"/>
        <v>2100000</v>
      </c>
      <c r="H188" s="69">
        <f t="shared" ref="H188:M193" si="31">F188</f>
        <v>2100000</v>
      </c>
      <c r="I188" s="69">
        <f t="shared" si="31"/>
        <v>2100000</v>
      </c>
      <c r="J188" s="69">
        <f t="shared" si="31"/>
        <v>2100000</v>
      </c>
      <c r="K188" s="69">
        <f t="shared" si="31"/>
        <v>2100000</v>
      </c>
      <c r="L188" s="69">
        <f>J188</f>
        <v>2100000</v>
      </c>
      <c r="M188" s="69">
        <f>+L188</f>
        <v>2100000</v>
      </c>
    </row>
    <row r="189" spans="1:14" x14ac:dyDescent="0.25">
      <c r="A189" s="55" t="s">
        <v>94</v>
      </c>
      <c r="B189" s="69">
        <f>+B67</f>
        <v>0</v>
      </c>
      <c r="C189" s="69">
        <f t="shared" si="30"/>
        <v>0</v>
      </c>
      <c r="D189" s="69">
        <f t="shared" si="30"/>
        <v>0</v>
      </c>
      <c r="E189" s="69">
        <f t="shared" si="30"/>
        <v>0</v>
      </c>
      <c r="F189" s="69">
        <f t="shared" si="30"/>
        <v>0</v>
      </c>
      <c r="G189" s="69">
        <f t="shared" si="30"/>
        <v>0</v>
      </c>
      <c r="H189" s="69">
        <f t="shared" si="31"/>
        <v>0</v>
      </c>
      <c r="I189" s="69">
        <f t="shared" si="31"/>
        <v>0</v>
      </c>
      <c r="J189" s="69">
        <f t="shared" si="31"/>
        <v>0</v>
      </c>
      <c r="K189" s="69">
        <f t="shared" si="31"/>
        <v>0</v>
      </c>
      <c r="L189" s="69">
        <f t="shared" si="31"/>
        <v>0</v>
      </c>
      <c r="M189" s="69">
        <f>+L189</f>
        <v>0</v>
      </c>
    </row>
    <row r="190" spans="1:14" x14ac:dyDescent="0.25">
      <c r="A190" s="55" t="s">
        <v>95</v>
      </c>
      <c r="B190" s="69">
        <f>+B188+B189</f>
        <v>2100000</v>
      </c>
      <c r="C190" s="69">
        <f t="shared" si="30"/>
        <v>2100000</v>
      </c>
      <c r="D190" s="69">
        <f t="shared" si="30"/>
        <v>2100000</v>
      </c>
      <c r="E190" s="69">
        <f t="shared" si="30"/>
        <v>2100000</v>
      </c>
      <c r="F190" s="69">
        <f t="shared" si="30"/>
        <v>2100000</v>
      </c>
      <c r="G190" s="69">
        <f t="shared" si="30"/>
        <v>2100000</v>
      </c>
      <c r="H190" s="69">
        <f t="shared" si="31"/>
        <v>2100000</v>
      </c>
      <c r="I190" s="69">
        <f t="shared" si="31"/>
        <v>2100000</v>
      </c>
      <c r="J190" s="69">
        <f t="shared" si="31"/>
        <v>2100000</v>
      </c>
      <c r="K190" s="69">
        <f t="shared" si="31"/>
        <v>2100000</v>
      </c>
      <c r="L190" s="69">
        <f t="shared" si="31"/>
        <v>2100000</v>
      </c>
      <c r="M190" s="69">
        <f>+L190</f>
        <v>2100000</v>
      </c>
    </row>
    <row r="191" spans="1:14" x14ac:dyDescent="0.25">
      <c r="A191" s="91" t="s">
        <v>96</v>
      </c>
      <c r="B191" s="69"/>
      <c r="C191" s="69">
        <f t="shared" si="30"/>
        <v>0</v>
      </c>
      <c r="D191" s="69">
        <f t="shared" si="30"/>
        <v>0</v>
      </c>
      <c r="E191" s="69">
        <f t="shared" si="30"/>
        <v>0</v>
      </c>
      <c r="F191" s="69">
        <f t="shared" si="30"/>
        <v>0</v>
      </c>
      <c r="G191" s="69">
        <f t="shared" si="30"/>
        <v>0</v>
      </c>
      <c r="H191" s="69">
        <f t="shared" si="31"/>
        <v>0</v>
      </c>
      <c r="I191" s="69">
        <f t="shared" si="31"/>
        <v>0</v>
      </c>
      <c r="J191" s="69">
        <f t="shared" si="31"/>
        <v>0</v>
      </c>
      <c r="K191" s="69">
        <f t="shared" si="31"/>
        <v>0</v>
      </c>
      <c r="L191" s="69">
        <f t="shared" si="31"/>
        <v>0</v>
      </c>
      <c r="M191" s="69">
        <f t="shared" si="31"/>
        <v>0</v>
      </c>
    </row>
    <row r="192" spans="1:14" x14ac:dyDescent="0.25">
      <c r="A192" s="91" t="s">
        <v>97</v>
      </c>
      <c r="B192" s="69"/>
      <c r="C192" s="69">
        <f t="shared" si="30"/>
        <v>0</v>
      </c>
      <c r="D192" s="69">
        <f t="shared" si="30"/>
        <v>0</v>
      </c>
      <c r="E192" s="69">
        <f t="shared" si="30"/>
        <v>0</v>
      </c>
      <c r="F192" s="69">
        <f t="shared" si="30"/>
        <v>0</v>
      </c>
      <c r="G192" s="69">
        <f t="shared" si="30"/>
        <v>0</v>
      </c>
      <c r="H192" s="69">
        <f t="shared" si="31"/>
        <v>0</v>
      </c>
      <c r="I192" s="69">
        <f t="shared" si="31"/>
        <v>0</v>
      </c>
      <c r="J192" s="69">
        <f t="shared" si="31"/>
        <v>0</v>
      </c>
      <c r="K192" s="69">
        <f t="shared" si="31"/>
        <v>0</v>
      </c>
      <c r="L192" s="69">
        <f t="shared" si="31"/>
        <v>0</v>
      </c>
      <c r="M192" s="69">
        <f t="shared" si="31"/>
        <v>0</v>
      </c>
    </row>
    <row r="193" spans="1:14" x14ac:dyDescent="0.25">
      <c r="A193" s="91" t="s">
        <v>98</v>
      </c>
      <c r="B193" s="69"/>
      <c r="C193" s="69">
        <f t="shared" si="30"/>
        <v>0</v>
      </c>
      <c r="D193" s="69">
        <f t="shared" si="30"/>
        <v>0</v>
      </c>
      <c r="E193" s="69"/>
      <c r="F193" s="69">
        <f t="shared" si="30"/>
        <v>0</v>
      </c>
      <c r="G193" s="69">
        <f t="shared" si="30"/>
        <v>0</v>
      </c>
      <c r="H193" s="69">
        <f t="shared" si="31"/>
        <v>0</v>
      </c>
      <c r="I193" s="69">
        <f t="shared" si="31"/>
        <v>0</v>
      </c>
      <c r="J193" s="69">
        <f t="shared" si="31"/>
        <v>0</v>
      </c>
      <c r="K193" s="69">
        <f t="shared" si="31"/>
        <v>0</v>
      </c>
      <c r="L193" s="69">
        <f t="shared" si="31"/>
        <v>0</v>
      </c>
      <c r="M193" s="69">
        <f t="shared" si="31"/>
        <v>0</v>
      </c>
    </row>
    <row r="194" spans="1:14" x14ac:dyDescent="0.25">
      <c r="A194" s="92" t="s">
        <v>76</v>
      </c>
      <c r="B194" s="82"/>
      <c r="C194" s="82"/>
      <c r="D194" s="82"/>
      <c r="E194" s="82"/>
      <c r="F194" s="82"/>
      <c r="G194" s="82">
        <f>+(B190+C190+D190+E190+F190+G190)*F16</f>
        <v>1050000.0000000002</v>
      </c>
      <c r="H194" s="69">
        <v>0</v>
      </c>
      <c r="I194" s="69">
        <v>0</v>
      </c>
      <c r="J194" s="69">
        <v>0</v>
      </c>
      <c r="K194" s="69">
        <v>0</v>
      </c>
      <c r="L194" s="69">
        <v>0</v>
      </c>
      <c r="M194" s="69">
        <f>+G194</f>
        <v>1050000.0000000002</v>
      </c>
    </row>
    <row r="195" spans="1:14" x14ac:dyDescent="0.25">
      <c r="A195" s="92" t="s">
        <v>79</v>
      </c>
      <c r="B195" s="69"/>
      <c r="C195" s="69">
        <f t="shared" ref="C195:G203" si="32">B195</f>
        <v>0</v>
      </c>
      <c r="D195" s="69">
        <f t="shared" si="32"/>
        <v>0</v>
      </c>
      <c r="E195" s="69">
        <f t="shared" si="32"/>
        <v>0</v>
      </c>
      <c r="F195" s="69">
        <f t="shared" si="32"/>
        <v>0</v>
      </c>
      <c r="G195" s="69">
        <f t="shared" si="32"/>
        <v>0</v>
      </c>
      <c r="H195" s="69">
        <f t="shared" ref="H195:M203" si="33">F195</f>
        <v>0</v>
      </c>
      <c r="I195" s="69">
        <f t="shared" si="33"/>
        <v>0</v>
      </c>
      <c r="J195" s="69">
        <f t="shared" si="33"/>
        <v>0</v>
      </c>
      <c r="K195" s="69">
        <f t="shared" si="33"/>
        <v>0</v>
      </c>
      <c r="L195" s="69">
        <f t="shared" si="33"/>
        <v>0</v>
      </c>
      <c r="M195" s="69">
        <f>+SUM(B190:M190)*$F$17</f>
        <v>2100000.0000000005</v>
      </c>
    </row>
    <row r="196" spans="1:14" x14ac:dyDescent="0.25">
      <c r="A196" s="92" t="s">
        <v>99</v>
      </c>
      <c r="B196" s="69"/>
      <c r="C196" s="69">
        <f t="shared" si="32"/>
        <v>0</v>
      </c>
      <c r="D196" s="69">
        <f t="shared" si="32"/>
        <v>0</v>
      </c>
      <c r="E196" s="69">
        <f t="shared" si="32"/>
        <v>0</v>
      </c>
      <c r="F196" s="69">
        <f t="shared" si="32"/>
        <v>0</v>
      </c>
      <c r="G196" s="69">
        <f t="shared" si="32"/>
        <v>0</v>
      </c>
      <c r="H196" s="69">
        <f t="shared" si="33"/>
        <v>0</v>
      </c>
      <c r="I196" s="69">
        <f t="shared" si="33"/>
        <v>0</v>
      </c>
      <c r="J196" s="69">
        <f t="shared" si="33"/>
        <v>0</v>
      </c>
      <c r="K196" s="69">
        <f t="shared" si="33"/>
        <v>0</v>
      </c>
      <c r="L196" s="69">
        <f t="shared" si="33"/>
        <v>0</v>
      </c>
      <c r="M196" s="69">
        <f>+M195*$F$18</f>
        <v>252000.00000000006</v>
      </c>
    </row>
    <row r="197" spans="1:14" x14ac:dyDescent="0.25">
      <c r="A197" s="92" t="s">
        <v>85</v>
      </c>
      <c r="B197" s="69"/>
      <c r="C197" s="69">
        <f t="shared" si="32"/>
        <v>0</v>
      </c>
      <c r="D197" s="69">
        <f t="shared" si="32"/>
        <v>0</v>
      </c>
      <c r="E197" s="69">
        <f t="shared" si="32"/>
        <v>0</v>
      </c>
      <c r="F197" s="69">
        <f t="shared" si="32"/>
        <v>0</v>
      </c>
      <c r="G197" s="69">
        <f t="shared" si="32"/>
        <v>0</v>
      </c>
      <c r="H197" s="69">
        <f t="shared" si="33"/>
        <v>0</v>
      </c>
      <c r="I197" s="69">
        <f t="shared" si="33"/>
        <v>0</v>
      </c>
      <c r="J197" s="69">
        <f t="shared" si="33"/>
        <v>0</v>
      </c>
      <c r="K197" s="69">
        <f t="shared" si="33"/>
        <v>0</v>
      </c>
      <c r="L197" s="69">
        <f t="shared" si="33"/>
        <v>0</v>
      </c>
      <c r="M197" s="69">
        <f>+SUM(B188:M188)*$F$19</f>
        <v>1050840</v>
      </c>
    </row>
    <row r="198" spans="1:14" x14ac:dyDescent="0.25">
      <c r="A198" s="94" t="s">
        <v>75</v>
      </c>
      <c r="B198" s="69">
        <v>178500</v>
      </c>
      <c r="C198" s="69">
        <f t="shared" si="32"/>
        <v>178500</v>
      </c>
      <c r="D198" s="69">
        <f t="shared" si="32"/>
        <v>178500</v>
      </c>
      <c r="E198" s="69">
        <f t="shared" si="32"/>
        <v>178500</v>
      </c>
      <c r="F198" s="69">
        <f t="shared" si="32"/>
        <v>178500</v>
      </c>
      <c r="G198" s="69">
        <f t="shared" si="32"/>
        <v>178500</v>
      </c>
      <c r="H198" s="69">
        <f t="shared" si="33"/>
        <v>178500</v>
      </c>
      <c r="I198" s="69">
        <f t="shared" si="33"/>
        <v>178500</v>
      </c>
      <c r="J198" s="69">
        <f t="shared" si="33"/>
        <v>178500</v>
      </c>
      <c r="K198" s="69">
        <f t="shared" si="33"/>
        <v>178500</v>
      </c>
      <c r="L198" s="69">
        <f t="shared" si="33"/>
        <v>178500</v>
      </c>
      <c r="M198" s="69">
        <f t="shared" si="33"/>
        <v>178500</v>
      </c>
    </row>
    <row r="199" spans="1:14" x14ac:dyDescent="0.25">
      <c r="A199" s="94" t="s">
        <v>78</v>
      </c>
      <c r="B199" s="69">
        <v>252000</v>
      </c>
      <c r="C199" s="69">
        <f t="shared" si="32"/>
        <v>252000</v>
      </c>
      <c r="D199" s="69">
        <f t="shared" si="32"/>
        <v>252000</v>
      </c>
      <c r="E199" s="69">
        <f t="shared" si="32"/>
        <v>252000</v>
      </c>
      <c r="F199" s="69">
        <f t="shared" si="32"/>
        <v>252000</v>
      </c>
      <c r="G199" s="69">
        <f t="shared" si="32"/>
        <v>252000</v>
      </c>
      <c r="H199" s="69">
        <f t="shared" si="33"/>
        <v>252000</v>
      </c>
      <c r="I199" s="69">
        <f t="shared" si="33"/>
        <v>252000</v>
      </c>
      <c r="J199" s="69">
        <f t="shared" si="33"/>
        <v>252000</v>
      </c>
      <c r="K199" s="69">
        <f t="shared" si="33"/>
        <v>252000</v>
      </c>
      <c r="L199" s="69">
        <f t="shared" si="33"/>
        <v>252000</v>
      </c>
      <c r="M199" s="69">
        <f t="shared" si="33"/>
        <v>252000</v>
      </c>
    </row>
    <row r="200" spans="1:14" x14ac:dyDescent="0.25">
      <c r="A200" s="94" t="s">
        <v>100</v>
      </c>
      <c r="B200" s="69">
        <v>10962</v>
      </c>
      <c r="C200" s="69">
        <f t="shared" si="32"/>
        <v>10962</v>
      </c>
      <c r="D200" s="69">
        <f t="shared" si="32"/>
        <v>10962</v>
      </c>
      <c r="E200" s="69">
        <f t="shared" si="32"/>
        <v>10962</v>
      </c>
      <c r="F200" s="69">
        <f t="shared" si="32"/>
        <v>10962</v>
      </c>
      <c r="G200" s="69">
        <f t="shared" si="32"/>
        <v>10962</v>
      </c>
      <c r="H200" s="69">
        <f t="shared" si="33"/>
        <v>10962</v>
      </c>
      <c r="I200" s="69">
        <f t="shared" si="33"/>
        <v>10962</v>
      </c>
      <c r="J200" s="69">
        <f t="shared" si="33"/>
        <v>10962</v>
      </c>
      <c r="K200" s="69">
        <f t="shared" si="33"/>
        <v>10962</v>
      </c>
      <c r="L200" s="69">
        <f t="shared" si="33"/>
        <v>10962</v>
      </c>
      <c r="M200" s="69">
        <f t="shared" si="33"/>
        <v>10962</v>
      </c>
    </row>
    <row r="201" spans="1:14" x14ac:dyDescent="0.25">
      <c r="A201" s="94" t="s">
        <v>84</v>
      </c>
      <c r="B201" s="69">
        <v>42000</v>
      </c>
      <c r="C201" s="69">
        <f t="shared" si="32"/>
        <v>42000</v>
      </c>
      <c r="D201" s="69">
        <f t="shared" si="32"/>
        <v>42000</v>
      </c>
      <c r="E201" s="69">
        <f t="shared" si="32"/>
        <v>42000</v>
      </c>
      <c r="F201" s="69">
        <f t="shared" si="32"/>
        <v>42000</v>
      </c>
      <c r="G201" s="69">
        <f t="shared" si="32"/>
        <v>42000</v>
      </c>
      <c r="H201" s="69">
        <f t="shared" si="33"/>
        <v>42000</v>
      </c>
      <c r="I201" s="69">
        <f t="shared" si="33"/>
        <v>42000</v>
      </c>
      <c r="J201" s="69">
        <f t="shared" si="33"/>
        <v>42000</v>
      </c>
      <c r="K201" s="69">
        <f t="shared" si="33"/>
        <v>42000</v>
      </c>
      <c r="L201" s="69">
        <f t="shared" si="33"/>
        <v>42000</v>
      </c>
      <c r="M201" s="69">
        <f t="shared" si="33"/>
        <v>42000</v>
      </c>
    </row>
    <row r="202" spans="1:14" x14ac:dyDescent="0.25">
      <c r="A202" s="94" t="s">
        <v>87</v>
      </c>
      <c r="B202" s="69">
        <v>63000</v>
      </c>
      <c r="C202" s="69">
        <f t="shared" si="32"/>
        <v>63000</v>
      </c>
      <c r="D202" s="69">
        <f t="shared" si="32"/>
        <v>63000</v>
      </c>
      <c r="E202" s="69">
        <f t="shared" si="32"/>
        <v>63000</v>
      </c>
      <c r="F202" s="69">
        <f t="shared" si="32"/>
        <v>63000</v>
      </c>
      <c r="G202" s="69">
        <f t="shared" si="32"/>
        <v>63000</v>
      </c>
      <c r="H202" s="69">
        <f t="shared" si="33"/>
        <v>63000</v>
      </c>
      <c r="I202" s="69">
        <f t="shared" si="33"/>
        <v>63000</v>
      </c>
      <c r="J202" s="69">
        <f t="shared" si="33"/>
        <v>63000</v>
      </c>
      <c r="K202" s="69">
        <f t="shared" si="33"/>
        <v>63000</v>
      </c>
      <c r="L202" s="69">
        <f t="shared" si="33"/>
        <v>63000</v>
      </c>
      <c r="M202" s="69">
        <f t="shared" si="33"/>
        <v>63000</v>
      </c>
    </row>
    <row r="203" spans="1:14" x14ac:dyDescent="0.25">
      <c r="A203" s="94" t="s">
        <v>88</v>
      </c>
      <c r="B203" s="69">
        <v>84000</v>
      </c>
      <c r="C203" s="69">
        <f t="shared" si="32"/>
        <v>84000</v>
      </c>
      <c r="D203" s="69">
        <f t="shared" si="32"/>
        <v>84000</v>
      </c>
      <c r="E203" s="69">
        <f t="shared" si="32"/>
        <v>84000</v>
      </c>
      <c r="F203" s="69">
        <f t="shared" si="32"/>
        <v>84000</v>
      </c>
      <c r="G203" s="69">
        <f t="shared" si="32"/>
        <v>84000</v>
      </c>
      <c r="H203" s="69">
        <f t="shared" si="33"/>
        <v>84000</v>
      </c>
      <c r="I203" s="69">
        <f t="shared" si="33"/>
        <v>84000</v>
      </c>
      <c r="J203" s="69">
        <f t="shared" si="33"/>
        <v>84000</v>
      </c>
      <c r="K203" s="69">
        <f t="shared" si="33"/>
        <v>84000</v>
      </c>
      <c r="L203" s="69">
        <f t="shared" si="33"/>
        <v>84000</v>
      </c>
      <c r="M203" s="69">
        <f t="shared" si="33"/>
        <v>84000</v>
      </c>
      <c r="N203" s="89" t="s">
        <v>106</v>
      </c>
    </row>
    <row r="204" spans="1:14" x14ac:dyDescent="0.25">
      <c r="A204" s="94" t="s">
        <v>95</v>
      </c>
      <c r="B204" s="69">
        <f>SUM(B190:B203)</f>
        <v>2730462</v>
      </c>
      <c r="C204" s="69">
        <f t="shared" ref="C204:M204" si="34">SUM(C190:C203)</f>
        <v>2730462</v>
      </c>
      <c r="D204" s="69">
        <f t="shared" si="34"/>
        <v>2730462</v>
      </c>
      <c r="E204" s="69">
        <f t="shared" si="34"/>
        <v>2730462</v>
      </c>
      <c r="F204" s="69">
        <f t="shared" si="34"/>
        <v>2730462</v>
      </c>
      <c r="G204" s="69">
        <f t="shared" si="34"/>
        <v>3780462</v>
      </c>
      <c r="H204" s="69">
        <f t="shared" si="34"/>
        <v>2730462</v>
      </c>
      <c r="I204" s="69">
        <f t="shared" si="34"/>
        <v>2730462</v>
      </c>
      <c r="J204" s="69">
        <f t="shared" si="34"/>
        <v>2730462</v>
      </c>
      <c r="K204" s="69">
        <f t="shared" si="34"/>
        <v>2730462</v>
      </c>
      <c r="L204" s="69">
        <f t="shared" si="34"/>
        <v>2730462</v>
      </c>
      <c r="M204" s="69">
        <f t="shared" si="34"/>
        <v>7183302</v>
      </c>
      <c r="N204" s="69">
        <f>SUM(B204:M204)</f>
        <v>38268384</v>
      </c>
    </row>
    <row r="207" spans="1:14" x14ac:dyDescent="0.25">
      <c r="A207" s="89" t="s">
        <v>113</v>
      </c>
      <c r="B207" s="89">
        <v>1</v>
      </c>
      <c r="C207" s="95">
        <v>2</v>
      </c>
      <c r="D207" s="89">
        <v>3</v>
      </c>
      <c r="E207" s="95">
        <v>4</v>
      </c>
      <c r="F207" s="89">
        <v>5</v>
      </c>
      <c r="G207" s="95">
        <v>6</v>
      </c>
      <c r="H207" s="89">
        <v>7</v>
      </c>
      <c r="I207" s="95">
        <v>8</v>
      </c>
      <c r="J207" s="89">
        <v>9</v>
      </c>
      <c r="K207" s="95">
        <v>10</v>
      </c>
      <c r="L207" s="89">
        <v>11</v>
      </c>
      <c r="M207" s="89">
        <v>12</v>
      </c>
    </row>
    <row r="208" spans="1:14" x14ac:dyDescent="0.25">
      <c r="A208" s="55" t="s">
        <v>60</v>
      </c>
      <c r="B208" s="69">
        <f>+H47</f>
        <v>900000</v>
      </c>
      <c r="C208" s="69">
        <f t="shared" ref="C208:G213" si="35">B208</f>
        <v>900000</v>
      </c>
      <c r="D208" s="69">
        <f t="shared" si="35"/>
        <v>900000</v>
      </c>
      <c r="E208" s="69">
        <f t="shared" si="35"/>
        <v>900000</v>
      </c>
      <c r="F208" s="69">
        <f t="shared" si="35"/>
        <v>900000</v>
      </c>
      <c r="G208" s="69">
        <f t="shared" si="35"/>
        <v>900000</v>
      </c>
      <c r="H208" s="69">
        <f t="shared" ref="H208:M213" si="36">F208</f>
        <v>900000</v>
      </c>
      <c r="I208" s="69">
        <f t="shared" si="36"/>
        <v>900000</v>
      </c>
      <c r="J208" s="69">
        <f t="shared" si="36"/>
        <v>900000</v>
      </c>
      <c r="K208" s="69">
        <f t="shared" si="36"/>
        <v>900000</v>
      </c>
      <c r="L208" s="69">
        <f>J208</f>
        <v>900000</v>
      </c>
      <c r="M208" s="69">
        <f>+L208</f>
        <v>900000</v>
      </c>
    </row>
    <row r="209" spans="1:14" x14ac:dyDescent="0.25">
      <c r="A209" s="55" t="s">
        <v>94</v>
      </c>
      <c r="B209" s="69">
        <f>+H48</f>
        <v>97032</v>
      </c>
      <c r="C209" s="69">
        <f t="shared" si="35"/>
        <v>97032</v>
      </c>
      <c r="D209" s="69">
        <f t="shared" si="35"/>
        <v>97032</v>
      </c>
      <c r="E209" s="69">
        <f t="shared" si="35"/>
        <v>97032</v>
      </c>
      <c r="F209" s="69">
        <f t="shared" si="35"/>
        <v>97032</v>
      </c>
      <c r="G209" s="69">
        <f t="shared" si="35"/>
        <v>97032</v>
      </c>
      <c r="H209" s="69">
        <f t="shared" si="36"/>
        <v>97032</v>
      </c>
      <c r="I209" s="69">
        <f t="shared" si="36"/>
        <v>97032</v>
      </c>
      <c r="J209" s="69">
        <f t="shared" si="36"/>
        <v>97032</v>
      </c>
      <c r="K209" s="69">
        <f t="shared" si="36"/>
        <v>97032</v>
      </c>
      <c r="L209" s="69">
        <f t="shared" si="36"/>
        <v>97032</v>
      </c>
      <c r="M209" s="69">
        <f>+L209</f>
        <v>97032</v>
      </c>
    </row>
    <row r="210" spans="1:14" x14ac:dyDescent="0.25">
      <c r="A210" s="55" t="s">
        <v>95</v>
      </c>
      <c r="B210" s="69">
        <f>+B208+B209</f>
        <v>997032</v>
      </c>
      <c r="C210" s="69">
        <f t="shared" si="35"/>
        <v>997032</v>
      </c>
      <c r="D210" s="69">
        <f t="shared" si="35"/>
        <v>997032</v>
      </c>
      <c r="E210" s="69">
        <f t="shared" si="35"/>
        <v>997032</v>
      </c>
      <c r="F210" s="69">
        <f t="shared" si="35"/>
        <v>997032</v>
      </c>
      <c r="G210" s="69">
        <f t="shared" si="35"/>
        <v>997032</v>
      </c>
      <c r="H210" s="69">
        <f t="shared" si="36"/>
        <v>997032</v>
      </c>
      <c r="I210" s="69">
        <f t="shared" si="36"/>
        <v>997032</v>
      </c>
      <c r="J210" s="69">
        <f t="shared" si="36"/>
        <v>997032</v>
      </c>
      <c r="K210" s="69">
        <f t="shared" si="36"/>
        <v>997032</v>
      </c>
      <c r="L210" s="69">
        <f t="shared" si="36"/>
        <v>997032</v>
      </c>
      <c r="M210" s="69">
        <f>+L210</f>
        <v>997032</v>
      </c>
    </row>
    <row r="211" spans="1:14" x14ac:dyDescent="0.25">
      <c r="A211" s="91" t="s">
        <v>96</v>
      </c>
      <c r="B211" s="69"/>
      <c r="C211" s="69">
        <f t="shared" si="35"/>
        <v>0</v>
      </c>
      <c r="D211" s="69">
        <f t="shared" si="35"/>
        <v>0</v>
      </c>
      <c r="E211" s="69">
        <f t="shared" si="35"/>
        <v>0</v>
      </c>
      <c r="F211" s="69">
        <f t="shared" si="35"/>
        <v>0</v>
      </c>
      <c r="G211" s="69">
        <f t="shared" si="35"/>
        <v>0</v>
      </c>
      <c r="H211" s="69">
        <f t="shared" si="36"/>
        <v>0</v>
      </c>
      <c r="I211" s="69">
        <f t="shared" si="36"/>
        <v>0</v>
      </c>
      <c r="J211" s="69">
        <f t="shared" si="36"/>
        <v>0</v>
      </c>
      <c r="K211" s="69">
        <f t="shared" si="36"/>
        <v>0</v>
      </c>
      <c r="L211" s="69">
        <f t="shared" si="36"/>
        <v>0</v>
      </c>
      <c r="M211" s="69">
        <f t="shared" si="36"/>
        <v>0</v>
      </c>
    </row>
    <row r="212" spans="1:14" x14ac:dyDescent="0.25">
      <c r="A212" s="91" t="s">
        <v>97</v>
      </c>
      <c r="B212" s="69"/>
      <c r="C212" s="69">
        <f t="shared" si="35"/>
        <v>0</v>
      </c>
      <c r="D212" s="69">
        <f t="shared" si="35"/>
        <v>0</v>
      </c>
      <c r="E212" s="69">
        <f t="shared" si="35"/>
        <v>0</v>
      </c>
      <c r="F212" s="69">
        <f t="shared" si="35"/>
        <v>0</v>
      </c>
      <c r="G212" s="69">
        <f t="shared" si="35"/>
        <v>0</v>
      </c>
      <c r="H212" s="69">
        <f t="shared" si="36"/>
        <v>0</v>
      </c>
      <c r="I212" s="69">
        <f t="shared" si="36"/>
        <v>0</v>
      </c>
      <c r="J212" s="69">
        <f t="shared" si="36"/>
        <v>0</v>
      </c>
      <c r="K212" s="69">
        <f t="shared" si="36"/>
        <v>0</v>
      </c>
      <c r="L212" s="69">
        <f t="shared" si="36"/>
        <v>0</v>
      </c>
      <c r="M212" s="69">
        <f t="shared" si="36"/>
        <v>0</v>
      </c>
    </row>
    <row r="213" spans="1:14" x14ac:dyDescent="0.25">
      <c r="A213" s="91" t="s">
        <v>98</v>
      </c>
      <c r="B213" s="69"/>
      <c r="C213" s="69">
        <f t="shared" si="35"/>
        <v>0</v>
      </c>
      <c r="D213" s="69">
        <f t="shared" si="35"/>
        <v>0</v>
      </c>
      <c r="E213" s="69"/>
      <c r="F213" s="69">
        <f t="shared" si="35"/>
        <v>0</v>
      </c>
      <c r="G213" s="69">
        <f t="shared" si="35"/>
        <v>0</v>
      </c>
      <c r="H213" s="69">
        <f t="shared" si="36"/>
        <v>0</v>
      </c>
      <c r="I213" s="69">
        <f t="shared" si="36"/>
        <v>0</v>
      </c>
      <c r="J213" s="69">
        <f t="shared" si="36"/>
        <v>0</v>
      </c>
      <c r="K213" s="69">
        <f t="shared" si="36"/>
        <v>0</v>
      </c>
      <c r="L213" s="69">
        <f t="shared" si="36"/>
        <v>0</v>
      </c>
      <c r="M213" s="69">
        <f t="shared" si="36"/>
        <v>0</v>
      </c>
    </row>
    <row r="214" spans="1:14" x14ac:dyDescent="0.25">
      <c r="A214" s="92" t="s">
        <v>76</v>
      </c>
      <c r="B214" s="82"/>
      <c r="C214" s="82"/>
      <c r="D214" s="82"/>
      <c r="E214" s="82"/>
      <c r="F214" s="82"/>
      <c r="G214" s="82">
        <f>+(B210+C210+D210+E210+F210+G210)*F16</f>
        <v>498516.00000000006</v>
      </c>
      <c r="H214" s="69">
        <v>0</v>
      </c>
      <c r="I214" s="69">
        <v>0</v>
      </c>
      <c r="J214" s="69">
        <v>0</v>
      </c>
      <c r="K214" s="69">
        <v>0</v>
      </c>
      <c r="L214" s="69">
        <v>0</v>
      </c>
      <c r="M214" s="69">
        <f>+G214</f>
        <v>498516.00000000006</v>
      </c>
    </row>
    <row r="215" spans="1:14" x14ac:dyDescent="0.25">
      <c r="A215" s="92" t="s">
        <v>79</v>
      </c>
      <c r="B215" s="69"/>
      <c r="C215" s="69">
        <f t="shared" ref="C215:G223" si="37">B215</f>
        <v>0</v>
      </c>
      <c r="D215" s="69">
        <f t="shared" si="37"/>
        <v>0</v>
      </c>
      <c r="E215" s="69">
        <f t="shared" si="37"/>
        <v>0</v>
      </c>
      <c r="F215" s="69">
        <f t="shared" si="37"/>
        <v>0</v>
      </c>
      <c r="G215" s="69">
        <f t="shared" si="37"/>
        <v>0</v>
      </c>
      <c r="H215" s="69">
        <f t="shared" ref="H215:M223" si="38">F215</f>
        <v>0</v>
      </c>
      <c r="I215" s="69">
        <f t="shared" si="38"/>
        <v>0</v>
      </c>
      <c r="J215" s="69">
        <f t="shared" si="38"/>
        <v>0</v>
      </c>
      <c r="K215" s="69">
        <f t="shared" si="38"/>
        <v>0</v>
      </c>
      <c r="L215" s="69">
        <f t="shared" si="38"/>
        <v>0</v>
      </c>
      <c r="M215" s="69">
        <f>+SUM(B210:M210)*$F$17</f>
        <v>997032.00000000012</v>
      </c>
    </row>
    <row r="216" spans="1:14" x14ac:dyDescent="0.25">
      <c r="A216" s="92" t="s">
        <v>99</v>
      </c>
      <c r="B216" s="69"/>
      <c r="C216" s="69">
        <f t="shared" si="37"/>
        <v>0</v>
      </c>
      <c r="D216" s="69">
        <f t="shared" si="37"/>
        <v>0</v>
      </c>
      <c r="E216" s="69">
        <f t="shared" si="37"/>
        <v>0</v>
      </c>
      <c r="F216" s="69">
        <f t="shared" si="37"/>
        <v>0</v>
      </c>
      <c r="G216" s="69">
        <f t="shared" si="37"/>
        <v>0</v>
      </c>
      <c r="H216" s="69">
        <f t="shared" si="38"/>
        <v>0</v>
      </c>
      <c r="I216" s="69">
        <f t="shared" si="38"/>
        <v>0</v>
      </c>
      <c r="J216" s="69">
        <f t="shared" si="38"/>
        <v>0</v>
      </c>
      <c r="K216" s="69">
        <f t="shared" si="38"/>
        <v>0</v>
      </c>
      <c r="L216" s="69">
        <f t="shared" si="38"/>
        <v>0</v>
      </c>
      <c r="M216" s="69">
        <f>+M215*$F$18</f>
        <v>119643.84000000001</v>
      </c>
    </row>
    <row r="217" spans="1:14" x14ac:dyDescent="0.25">
      <c r="A217" s="92" t="s">
        <v>85</v>
      </c>
      <c r="B217" s="69"/>
      <c r="C217" s="69">
        <f t="shared" si="37"/>
        <v>0</v>
      </c>
      <c r="D217" s="69">
        <f t="shared" si="37"/>
        <v>0</v>
      </c>
      <c r="E217" s="69">
        <f t="shared" si="37"/>
        <v>0</v>
      </c>
      <c r="F217" s="69">
        <f t="shared" si="37"/>
        <v>0</v>
      </c>
      <c r="G217" s="69">
        <f t="shared" si="37"/>
        <v>0</v>
      </c>
      <c r="H217" s="69">
        <f t="shared" si="38"/>
        <v>0</v>
      </c>
      <c r="I217" s="69">
        <f t="shared" si="38"/>
        <v>0</v>
      </c>
      <c r="J217" s="69">
        <f t="shared" si="38"/>
        <v>0</v>
      </c>
      <c r="K217" s="69">
        <f t="shared" si="38"/>
        <v>0</v>
      </c>
      <c r="L217" s="69">
        <f t="shared" si="38"/>
        <v>0</v>
      </c>
      <c r="M217" s="69">
        <f>+SUM(B208:M208)*$F$19</f>
        <v>450360</v>
      </c>
    </row>
    <row r="218" spans="1:14" x14ac:dyDescent="0.25">
      <c r="A218" s="94" t="s">
        <v>75</v>
      </c>
      <c r="B218" s="69">
        <v>76500</v>
      </c>
      <c r="C218" s="69">
        <f t="shared" si="37"/>
        <v>76500</v>
      </c>
      <c r="D218" s="69">
        <f t="shared" si="37"/>
        <v>76500</v>
      </c>
      <c r="E218" s="69">
        <f t="shared" si="37"/>
        <v>76500</v>
      </c>
      <c r="F218" s="69">
        <f t="shared" si="37"/>
        <v>76500</v>
      </c>
      <c r="G218" s="69">
        <f t="shared" si="37"/>
        <v>76500</v>
      </c>
      <c r="H218" s="69">
        <f t="shared" si="38"/>
        <v>76500</v>
      </c>
      <c r="I218" s="69">
        <f t="shared" si="38"/>
        <v>76500</v>
      </c>
      <c r="J218" s="69">
        <f t="shared" si="38"/>
        <v>76500</v>
      </c>
      <c r="K218" s="69">
        <f t="shared" si="38"/>
        <v>76500</v>
      </c>
      <c r="L218" s="69">
        <f t="shared" si="38"/>
        <v>76500</v>
      </c>
      <c r="M218" s="69">
        <f t="shared" si="38"/>
        <v>76500</v>
      </c>
    </row>
    <row r="219" spans="1:14" x14ac:dyDescent="0.25">
      <c r="A219" s="94" t="s">
        <v>78</v>
      </c>
      <c r="B219" s="69">
        <v>108000</v>
      </c>
      <c r="C219" s="69">
        <f t="shared" si="37"/>
        <v>108000</v>
      </c>
      <c r="D219" s="69">
        <f t="shared" si="37"/>
        <v>108000</v>
      </c>
      <c r="E219" s="69">
        <f t="shared" si="37"/>
        <v>108000</v>
      </c>
      <c r="F219" s="69">
        <f t="shared" si="37"/>
        <v>108000</v>
      </c>
      <c r="G219" s="69">
        <f t="shared" si="37"/>
        <v>108000</v>
      </c>
      <c r="H219" s="69">
        <f t="shared" si="38"/>
        <v>108000</v>
      </c>
      <c r="I219" s="69">
        <f t="shared" si="38"/>
        <v>108000</v>
      </c>
      <c r="J219" s="69">
        <f t="shared" si="38"/>
        <v>108000</v>
      </c>
      <c r="K219" s="69">
        <f t="shared" si="38"/>
        <v>108000</v>
      </c>
      <c r="L219" s="69">
        <f t="shared" si="38"/>
        <v>108000</v>
      </c>
      <c r="M219" s="69">
        <f t="shared" si="38"/>
        <v>108000</v>
      </c>
    </row>
    <row r="220" spans="1:14" x14ac:dyDescent="0.25">
      <c r="A220" s="94" t="s">
        <v>100</v>
      </c>
      <c r="B220" s="69">
        <v>4698</v>
      </c>
      <c r="C220" s="69">
        <f t="shared" si="37"/>
        <v>4698</v>
      </c>
      <c r="D220" s="69">
        <f t="shared" si="37"/>
        <v>4698</v>
      </c>
      <c r="E220" s="69">
        <f t="shared" si="37"/>
        <v>4698</v>
      </c>
      <c r="F220" s="69">
        <f t="shared" si="37"/>
        <v>4698</v>
      </c>
      <c r="G220" s="69">
        <f t="shared" si="37"/>
        <v>4698</v>
      </c>
      <c r="H220" s="69">
        <f t="shared" si="38"/>
        <v>4698</v>
      </c>
      <c r="I220" s="69">
        <f t="shared" si="38"/>
        <v>4698</v>
      </c>
      <c r="J220" s="69">
        <f t="shared" si="38"/>
        <v>4698</v>
      </c>
      <c r="K220" s="69">
        <f t="shared" si="38"/>
        <v>4698</v>
      </c>
      <c r="L220" s="69">
        <f t="shared" si="38"/>
        <v>4698</v>
      </c>
      <c r="M220" s="69">
        <f t="shared" si="38"/>
        <v>4698</v>
      </c>
    </row>
    <row r="221" spans="1:14" x14ac:dyDescent="0.25">
      <c r="A221" s="94" t="s">
        <v>84</v>
      </c>
      <c r="B221" s="69">
        <v>18000</v>
      </c>
      <c r="C221" s="69">
        <f t="shared" si="37"/>
        <v>18000</v>
      </c>
      <c r="D221" s="69">
        <f t="shared" si="37"/>
        <v>18000</v>
      </c>
      <c r="E221" s="69">
        <f t="shared" si="37"/>
        <v>18000</v>
      </c>
      <c r="F221" s="69">
        <f t="shared" si="37"/>
        <v>18000</v>
      </c>
      <c r="G221" s="69">
        <f t="shared" si="37"/>
        <v>18000</v>
      </c>
      <c r="H221" s="69">
        <f t="shared" si="38"/>
        <v>18000</v>
      </c>
      <c r="I221" s="69">
        <f t="shared" si="38"/>
        <v>18000</v>
      </c>
      <c r="J221" s="69">
        <f t="shared" si="38"/>
        <v>18000</v>
      </c>
      <c r="K221" s="69">
        <f t="shared" si="38"/>
        <v>18000</v>
      </c>
      <c r="L221" s="69">
        <f t="shared" si="38"/>
        <v>18000</v>
      </c>
      <c r="M221" s="69">
        <f t="shared" si="38"/>
        <v>18000</v>
      </c>
    </row>
    <row r="222" spans="1:14" x14ac:dyDescent="0.25">
      <c r="A222" s="94" t="s">
        <v>87</v>
      </c>
      <c r="B222" s="69">
        <v>27000</v>
      </c>
      <c r="C222" s="69">
        <f t="shared" si="37"/>
        <v>27000</v>
      </c>
      <c r="D222" s="69">
        <f t="shared" si="37"/>
        <v>27000</v>
      </c>
      <c r="E222" s="69">
        <f t="shared" si="37"/>
        <v>27000</v>
      </c>
      <c r="F222" s="69">
        <f t="shared" si="37"/>
        <v>27000</v>
      </c>
      <c r="G222" s="69">
        <f t="shared" si="37"/>
        <v>27000</v>
      </c>
      <c r="H222" s="69">
        <f t="shared" si="38"/>
        <v>27000</v>
      </c>
      <c r="I222" s="69">
        <f t="shared" si="38"/>
        <v>27000</v>
      </c>
      <c r="J222" s="69">
        <f t="shared" si="38"/>
        <v>27000</v>
      </c>
      <c r="K222" s="69">
        <f t="shared" si="38"/>
        <v>27000</v>
      </c>
      <c r="L222" s="69">
        <f t="shared" si="38"/>
        <v>27000</v>
      </c>
      <c r="M222" s="69">
        <f t="shared" si="38"/>
        <v>27000</v>
      </c>
    </row>
    <row r="223" spans="1:14" x14ac:dyDescent="0.25">
      <c r="A223" s="94" t="s">
        <v>88</v>
      </c>
      <c r="B223" s="69">
        <v>36000</v>
      </c>
      <c r="C223" s="69">
        <f t="shared" si="37"/>
        <v>36000</v>
      </c>
      <c r="D223" s="69">
        <f t="shared" si="37"/>
        <v>36000</v>
      </c>
      <c r="E223" s="69">
        <f t="shared" si="37"/>
        <v>36000</v>
      </c>
      <c r="F223" s="69">
        <f t="shared" si="37"/>
        <v>36000</v>
      </c>
      <c r="G223" s="69">
        <f t="shared" si="37"/>
        <v>36000</v>
      </c>
      <c r="H223" s="69">
        <f t="shared" si="38"/>
        <v>36000</v>
      </c>
      <c r="I223" s="69">
        <f t="shared" si="38"/>
        <v>36000</v>
      </c>
      <c r="J223" s="69">
        <f t="shared" si="38"/>
        <v>36000</v>
      </c>
      <c r="K223" s="69">
        <f t="shared" si="38"/>
        <v>36000</v>
      </c>
      <c r="L223" s="69">
        <f t="shared" si="38"/>
        <v>36000</v>
      </c>
      <c r="M223" s="69">
        <f t="shared" si="38"/>
        <v>36000</v>
      </c>
      <c r="N223" s="89" t="s">
        <v>106</v>
      </c>
    </row>
    <row r="224" spans="1:14" x14ac:dyDescent="0.25">
      <c r="A224" s="94" t="s">
        <v>95</v>
      </c>
      <c r="B224" s="69">
        <f>SUM(B210:B223)</f>
        <v>1267230</v>
      </c>
      <c r="C224" s="69">
        <f t="shared" ref="C224:M224" si="39">SUM(C210:C223)</f>
        <v>1267230</v>
      </c>
      <c r="D224" s="69">
        <f t="shared" si="39"/>
        <v>1267230</v>
      </c>
      <c r="E224" s="69">
        <f t="shared" si="39"/>
        <v>1267230</v>
      </c>
      <c r="F224" s="69">
        <f t="shared" si="39"/>
        <v>1267230</v>
      </c>
      <c r="G224" s="69">
        <f t="shared" si="39"/>
        <v>1765746</v>
      </c>
      <c r="H224" s="69">
        <f t="shared" si="39"/>
        <v>1267230</v>
      </c>
      <c r="I224" s="69">
        <f t="shared" si="39"/>
        <v>1267230</v>
      </c>
      <c r="J224" s="69">
        <f t="shared" si="39"/>
        <v>1267230</v>
      </c>
      <c r="K224" s="69">
        <f t="shared" si="39"/>
        <v>1267230</v>
      </c>
      <c r="L224" s="69">
        <f t="shared" si="39"/>
        <v>1267230</v>
      </c>
      <c r="M224" s="69">
        <f t="shared" si="39"/>
        <v>3332781.84</v>
      </c>
      <c r="N224" s="69">
        <f>SUM(B224:M224)</f>
        <v>17770827.84</v>
      </c>
    </row>
    <row r="227" spans="1:13" x14ac:dyDescent="0.25">
      <c r="A227" s="89" t="s">
        <v>112</v>
      </c>
      <c r="B227" s="89">
        <v>1</v>
      </c>
      <c r="C227" s="95">
        <v>2</v>
      </c>
      <c r="D227" s="89">
        <v>3</v>
      </c>
      <c r="E227" s="95">
        <v>4</v>
      </c>
      <c r="F227" s="89">
        <v>5</v>
      </c>
      <c r="G227" s="95">
        <v>6</v>
      </c>
      <c r="H227" s="89">
        <v>7</v>
      </c>
      <c r="I227" s="95">
        <v>8</v>
      </c>
      <c r="J227" s="89">
        <v>9</v>
      </c>
      <c r="K227" s="95">
        <v>10</v>
      </c>
      <c r="L227" s="89">
        <v>11</v>
      </c>
      <c r="M227" s="89">
        <v>12</v>
      </c>
    </row>
    <row r="228" spans="1:13" x14ac:dyDescent="0.25">
      <c r="A228" s="55" t="s">
        <v>60</v>
      </c>
      <c r="B228" s="69">
        <f>+K47</f>
        <v>1100000</v>
      </c>
      <c r="C228" s="69">
        <f t="shared" ref="C228:G233" si="40">B228</f>
        <v>1100000</v>
      </c>
      <c r="D228" s="69">
        <f t="shared" si="40"/>
        <v>1100000</v>
      </c>
      <c r="E228" s="69">
        <f t="shared" si="40"/>
        <v>1100000</v>
      </c>
      <c r="F228" s="69">
        <f t="shared" si="40"/>
        <v>1100000</v>
      </c>
      <c r="G228" s="69">
        <f t="shared" si="40"/>
        <v>1100000</v>
      </c>
      <c r="H228" s="69">
        <f t="shared" ref="H228:M233" si="41">F228</f>
        <v>1100000</v>
      </c>
      <c r="I228" s="69">
        <f t="shared" si="41"/>
        <v>1100000</v>
      </c>
      <c r="J228" s="69">
        <f t="shared" si="41"/>
        <v>1100000</v>
      </c>
      <c r="K228" s="69">
        <f t="shared" si="41"/>
        <v>1100000</v>
      </c>
      <c r="L228" s="69">
        <f>J228</f>
        <v>1100000</v>
      </c>
      <c r="M228" s="69">
        <f>+L228</f>
        <v>1100000</v>
      </c>
    </row>
    <row r="229" spans="1:13" x14ac:dyDescent="0.25">
      <c r="A229" s="55" t="s">
        <v>94</v>
      </c>
      <c r="B229" s="69">
        <f>+K48</f>
        <v>97032</v>
      </c>
      <c r="C229" s="69">
        <f t="shared" si="40"/>
        <v>97032</v>
      </c>
      <c r="D229" s="69">
        <f t="shared" si="40"/>
        <v>97032</v>
      </c>
      <c r="E229" s="69">
        <f t="shared" si="40"/>
        <v>97032</v>
      </c>
      <c r="F229" s="69">
        <f t="shared" si="40"/>
        <v>97032</v>
      </c>
      <c r="G229" s="69">
        <f t="shared" si="40"/>
        <v>97032</v>
      </c>
      <c r="H229" s="69">
        <f t="shared" si="41"/>
        <v>97032</v>
      </c>
      <c r="I229" s="69">
        <f t="shared" si="41"/>
        <v>97032</v>
      </c>
      <c r="J229" s="69">
        <f t="shared" si="41"/>
        <v>97032</v>
      </c>
      <c r="K229" s="69">
        <f t="shared" si="41"/>
        <v>97032</v>
      </c>
      <c r="L229" s="69">
        <f t="shared" si="41"/>
        <v>97032</v>
      </c>
      <c r="M229" s="69">
        <f>+L229</f>
        <v>97032</v>
      </c>
    </row>
    <row r="230" spans="1:13" x14ac:dyDescent="0.25">
      <c r="A230" s="55" t="s">
        <v>95</v>
      </c>
      <c r="B230" s="69">
        <f>+B228+B229</f>
        <v>1197032</v>
      </c>
      <c r="C230" s="69">
        <f t="shared" si="40"/>
        <v>1197032</v>
      </c>
      <c r="D230" s="69">
        <f t="shared" si="40"/>
        <v>1197032</v>
      </c>
      <c r="E230" s="69">
        <f t="shared" si="40"/>
        <v>1197032</v>
      </c>
      <c r="F230" s="69">
        <f t="shared" si="40"/>
        <v>1197032</v>
      </c>
      <c r="G230" s="69">
        <f t="shared" si="40"/>
        <v>1197032</v>
      </c>
      <c r="H230" s="69">
        <f t="shared" si="41"/>
        <v>1197032</v>
      </c>
      <c r="I230" s="69">
        <f t="shared" si="41"/>
        <v>1197032</v>
      </c>
      <c r="J230" s="69">
        <f t="shared" si="41"/>
        <v>1197032</v>
      </c>
      <c r="K230" s="69">
        <f t="shared" si="41"/>
        <v>1197032</v>
      </c>
      <c r="L230" s="69">
        <f t="shared" si="41"/>
        <v>1197032</v>
      </c>
      <c r="M230" s="69">
        <f>+L230</f>
        <v>1197032</v>
      </c>
    </row>
    <row r="231" spans="1:13" x14ac:dyDescent="0.25">
      <c r="A231" s="91" t="s">
        <v>96</v>
      </c>
      <c r="B231" s="69"/>
      <c r="C231" s="69">
        <f t="shared" si="40"/>
        <v>0</v>
      </c>
      <c r="D231" s="69">
        <f t="shared" si="40"/>
        <v>0</v>
      </c>
      <c r="E231" s="69">
        <f t="shared" si="40"/>
        <v>0</v>
      </c>
      <c r="F231" s="69">
        <f t="shared" si="40"/>
        <v>0</v>
      </c>
      <c r="G231" s="69">
        <f t="shared" si="40"/>
        <v>0</v>
      </c>
      <c r="H231" s="69">
        <f t="shared" si="41"/>
        <v>0</v>
      </c>
      <c r="I231" s="69">
        <f t="shared" si="41"/>
        <v>0</v>
      </c>
      <c r="J231" s="69">
        <f t="shared" si="41"/>
        <v>0</v>
      </c>
      <c r="K231" s="69">
        <f t="shared" si="41"/>
        <v>0</v>
      </c>
      <c r="L231" s="69">
        <f t="shared" si="41"/>
        <v>0</v>
      </c>
      <c r="M231" s="69">
        <f t="shared" si="41"/>
        <v>0</v>
      </c>
    </row>
    <row r="232" spans="1:13" x14ac:dyDescent="0.25">
      <c r="A232" s="91" t="s">
        <v>97</v>
      </c>
      <c r="B232" s="69"/>
      <c r="C232" s="69">
        <f t="shared" si="40"/>
        <v>0</v>
      </c>
      <c r="D232" s="69">
        <f t="shared" si="40"/>
        <v>0</v>
      </c>
      <c r="E232" s="69">
        <f t="shared" si="40"/>
        <v>0</v>
      </c>
      <c r="F232" s="69">
        <f t="shared" si="40"/>
        <v>0</v>
      </c>
      <c r="G232" s="69">
        <f t="shared" si="40"/>
        <v>0</v>
      </c>
      <c r="H232" s="69">
        <f t="shared" si="41"/>
        <v>0</v>
      </c>
      <c r="I232" s="69">
        <f t="shared" si="41"/>
        <v>0</v>
      </c>
      <c r="J232" s="69">
        <f t="shared" si="41"/>
        <v>0</v>
      </c>
      <c r="K232" s="69">
        <f t="shared" si="41"/>
        <v>0</v>
      </c>
      <c r="L232" s="69">
        <f t="shared" si="41"/>
        <v>0</v>
      </c>
      <c r="M232" s="69">
        <f t="shared" si="41"/>
        <v>0</v>
      </c>
    </row>
    <row r="233" spans="1:13" x14ac:dyDescent="0.25">
      <c r="A233" s="91" t="s">
        <v>98</v>
      </c>
      <c r="B233" s="69"/>
      <c r="C233" s="69">
        <f t="shared" si="40"/>
        <v>0</v>
      </c>
      <c r="D233" s="69">
        <f t="shared" si="40"/>
        <v>0</v>
      </c>
      <c r="E233" s="69"/>
      <c r="F233" s="69">
        <f t="shared" si="40"/>
        <v>0</v>
      </c>
      <c r="G233" s="69">
        <f t="shared" si="40"/>
        <v>0</v>
      </c>
      <c r="H233" s="69">
        <f t="shared" si="41"/>
        <v>0</v>
      </c>
      <c r="I233" s="69">
        <f t="shared" si="41"/>
        <v>0</v>
      </c>
      <c r="J233" s="69">
        <f t="shared" si="41"/>
        <v>0</v>
      </c>
      <c r="K233" s="69">
        <f t="shared" si="41"/>
        <v>0</v>
      </c>
      <c r="L233" s="69">
        <f t="shared" si="41"/>
        <v>0</v>
      </c>
      <c r="M233" s="69">
        <f t="shared" si="41"/>
        <v>0</v>
      </c>
    </row>
    <row r="234" spans="1:13" x14ac:dyDescent="0.25">
      <c r="A234" s="92" t="s">
        <v>76</v>
      </c>
      <c r="B234" s="82"/>
      <c r="C234" s="82"/>
      <c r="D234" s="82"/>
      <c r="E234" s="82"/>
      <c r="F234" s="82"/>
      <c r="G234" s="82">
        <f>+(B230+C230+D230+E230+F230+G230)*F16</f>
        <v>598516.00000000012</v>
      </c>
      <c r="H234" s="69">
        <v>0</v>
      </c>
      <c r="I234" s="69">
        <v>0</v>
      </c>
      <c r="J234" s="69">
        <v>0</v>
      </c>
      <c r="K234" s="69">
        <v>0</v>
      </c>
      <c r="L234" s="69">
        <v>0</v>
      </c>
      <c r="M234" s="69">
        <f>+G234</f>
        <v>598516.00000000012</v>
      </c>
    </row>
    <row r="235" spans="1:13" x14ac:dyDescent="0.25">
      <c r="A235" s="92" t="s">
        <v>79</v>
      </c>
      <c r="B235" s="69"/>
      <c r="C235" s="69">
        <f t="shared" ref="C235:G243" si="42">B235</f>
        <v>0</v>
      </c>
      <c r="D235" s="69">
        <f t="shared" si="42"/>
        <v>0</v>
      </c>
      <c r="E235" s="69">
        <f t="shared" si="42"/>
        <v>0</v>
      </c>
      <c r="F235" s="69">
        <f t="shared" si="42"/>
        <v>0</v>
      </c>
      <c r="G235" s="69">
        <f t="shared" si="42"/>
        <v>0</v>
      </c>
      <c r="H235" s="69">
        <f t="shared" ref="H235:M243" si="43">F235</f>
        <v>0</v>
      </c>
      <c r="I235" s="69">
        <f t="shared" si="43"/>
        <v>0</v>
      </c>
      <c r="J235" s="69">
        <f t="shared" si="43"/>
        <v>0</v>
      </c>
      <c r="K235" s="69">
        <f t="shared" si="43"/>
        <v>0</v>
      </c>
      <c r="L235" s="69">
        <f t="shared" si="43"/>
        <v>0</v>
      </c>
      <c r="M235" s="69">
        <f>+SUM(B230:M230)*$F$17</f>
        <v>1197032.0000000002</v>
      </c>
    </row>
    <row r="236" spans="1:13" x14ac:dyDescent="0.25">
      <c r="A236" s="92" t="s">
        <v>99</v>
      </c>
      <c r="B236" s="69"/>
      <c r="C236" s="69">
        <f t="shared" si="42"/>
        <v>0</v>
      </c>
      <c r="D236" s="69">
        <f t="shared" si="42"/>
        <v>0</v>
      </c>
      <c r="E236" s="69">
        <f t="shared" si="42"/>
        <v>0</v>
      </c>
      <c r="F236" s="69">
        <f t="shared" si="42"/>
        <v>0</v>
      </c>
      <c r="G236" s="69">
        <f t="shared" si="42"/>
        <v>0</v>
      </c>
      <c r="H236" s="69">
        <f t="shared" si="43"/>
        <v>0</v>
      </c>
      <c r="I236" s="69">
        <f t="shared" si="43"/>
        <v>0</v>
      </c>
      <c r="J236" s="69">
        <f t="shared" si="43"/>
        <v>0</v>
      </c>
      <c r="K236" s="69">
        <f t="shared" si="43"/>
        <v>0</v>
      </c>
      <c r="L236" s="69">
        <f t="shared" si="43"/>
        <v>0</v>
      </c>
      <c r="M236" s="69">
        <f>+M235*$F$18</f>
        <v>143643.84000000003</v>
      </c>
    </row>
    <row r="237" spans="1:13" x14ac:dyDescent="0.25">
      <c r="A237" s="92" t="s">
        <v>85</v>
      </c>
      <c r="B237" s="69"/>
      <c r="C237" s="69">
        <f t="shared" si="42"/>
        <v>0</v>
      </c>
      <c r="D237" s="69">
        <f t="shared" si="42"/>
        <v>0</v>
      </c>
      <c r="E237" s="69">
        <f t="shared" si="42"/>
        <v>0</v>
      </c>
      <c r="F237" s="69">
        <f t="shared" si="42"/>
        <v>0</v>
      </c>
      <c r="G237" s="69">
        <f t="shared" si="42"/>
        <v>0</v>
      </c>
      <c r="H237" s="69">
        <f t="shared" si="43"/>
        <v>0</v>
      </c>
      <c r="I237" s="69">
        <f t="shared" si="43"/>
        <v>0</v>
      </c>
      <c r="J237" s="69">
        <f t="shared" si="43"/>
        <v>0</v>
      </c>
      <c r="K237" s="69">
        <f t="shared" si="43"/>
        <v>0</v>
      </c>
      <c r="L237" s="69">
        <f t="shared" si="43"/>
        <v>0</v>
      </c>
      <c r="M237" s="69">
        <f>+SUM(B228:M228)*$F$19</f>
        <v>550440</v>
      </c>
    </row>
    <row r="238" spans="1:13" x14ac:dyDescent="0.25">
      <c r="A238" s="94" t="s">
        <v>75</v>
      </c>
      <c r="B238" s="69">
        <v>93500</v>
      </c>
      <c r="C238" s="69">
        <f t="shared" si="42"/>
        <v>93500</v>
      </c>
      <c r="D238" s="69">
        <f t="shared" si="42"/>
        <v>93500</v>
      </c>
      <c r="E238" s="69">
        <f t="shared" si="42"/>
        <v>93500</v>
      </c>
      <c r="F238" s="69">
        <f t="shared" si="42"/>
        <v>93500</v>
      </c>
      <c r="G238" s="69">
        <f t="shared" si="42"/>
        <v>93500</v>
      </c>
      <c r="H238" s="69">
        <f t="shared" si="43"/>
        <v>93500</v>
      </c>
      <c r="I238" s="69">
        <f t="shared" si="43"/>
        <v>93500</v>
      </c>
      <c r="J238" s="69">
        <f t="shared" si="43"/>
        <v>93500</v>
      </c>
      <c r="K238" s="69">
        <f t="shared" si="43"/>
        <v>93500</v>
      </c>
      <c r="L238" s="69">
        <f t="shared" si="43"/>
        <v>93500</v>
      </c>
      <c r="M238" s="69">
        <f t="shared" si="43"/>
        <v>93500</v>
      </c>
    </row>
    <row r="239" spans="1:13" x14ac:dyDescent="0.25">
      <c r="A239" s="94" t="s">
        <v>78</v>
      </c>
      <c r="B239" s="69">
        <v>132000</v>
      </c>
      <c r="C239" s="69">
        <f t="shared" si="42"/>
        <v>132000</v>
      </c>
      <c r="D239" s="69">
        <f t="shared" si="42"/>
        <v>132000</v>
      </c>
      <c r="E239" s="69">
        <f t="shared" si="42"/>
        <v>132000</v>
      </c>
      <c r="F239" s="69">
        <f t="shared" si="42"/>
        <v>132000</v>
      </c>
      <c r="G239" s="69">
        <f t="shared" si="42"/>
        <v>132000</v>
      </c>
      <c r="H239" s="69">
        <f t="shared" si="43"/>
        <v>132000</v>
      </c>
      <c r="I239" s="69">
        <f t="shared" si="43"/>
        <v>132000</v>
      </c>
      <c r="J239" s="69">
        <f t="shared" si="43"/>
        <v>132000</v>
      </c>
      <c r="K239" s="69">
        <f t="shared" si="43"/>
        <v>132000</v>
      </c>
      <c r="L239" s="69">
        <f t="shared" si="43"/>
        <v>132000</v>
      </c>
      <c r="M239" s="69">
        <f t="shared" si="43"/>
        <v>132000</v>
      </c>
    </row>
    <row r="240" spans="1:13" x14ac:dyDescent="0.25">
      <c r="A240" s="94" t="s">
        <v>100</v>
      </c>
      <c r="B240" s="69">
        <v>5742</v>
      </c>
      <c r="C240" s="69">
        <f t="shared" si="42"/>
        <v>5742</v>
      </c>
      <c r="D240" s="69">
        <f t="shared" si="42"/>
        <v>5742</v>
      </c>
      <c r="E240" s="69">
        <f t="shared" si="42"/>
        <v>5742</v>
      </c>
      <c r="F240" s="69">
        <f t="shared" si="42"/>
        <v>5742</v>
      </c>
      <c r="G240" s="69">
        <f t="shared" si="42"/>
        <v>5742</v>
      </c>
      <c r="H240" s="69">
        <f t="shared" si="43"/>
        <v>5742</v>
      </c>
      <c r="I240" s="69">
        <f t="shared" si="43"/>
        <v>5742</v>
      </c>
      <c r="J240" s="69">
        <f t="shared" si="43"/>
        <v>5742</v>
      </c>
      <c r="K240" s="69">
        <f t="shared" si="43"/>
        <v>5742</v>
      </c>
      <c r="L240" s="69">
        <f t="shared" si="43"/>
        <v>5742</v>
      </c>
      <c r="M240" s="69">
        <f t="shared" si="43"/>
        <v>5742</v>
      </c>
    </row>
    <row r="241" spans="1:15" x14ac:dyDescent="0.25">
      <c r="A241" s="94" t="s">
        <v>84</v>
      </c>
      <c r="B241" s="69">
        <v>22000</v>
      </c>
      <c r="C241" s="69">
        <f t="shared" si="42"/>
        <v>22000</v>
      </c>
      <c r="D241" s="69">
        <f t="shared" si="42"/>
        <v>22000</v>
      </c>
      <c r="E241" s="69">
        <f t="shared" si="42"/>
        <v>22000</v>
      </c>
      <c r="F241" s="69">
        <f t="shared" si="42"/>
        <v>22000</v>
      </c>
      <c r="G241" s="69">
        <f t="shared" si="42"/>
        <v>22000</v>
      </c>
      <c r="H241" s="69">
        <f t="shared" si="43"/>
        <v>22000</v>
      </c>
      <c r="I241" s="69">
        <f t="shared" si="43"/>
        <v>22000</v>
      </c>
      <c r="J241" s="69">
        <f t="shared" si="43"/>
        <v>22000</v>
      </c>
      <c r="K241" s="69">
        <f t="shared" si="43"/>
        <v>22000</v>
      </c>
      <c r="L241" s="69">
        <f t="shared" si="43"/>
        <v>22000</v>
      </c>
      <c r="M241" s="69">
        <f t="shared" si="43"/>
        <v>22000</v>
      </c>
    </row>
    <row r="242" spans="1:15" x14ac:dyDescent="0.25">
      <c r="A242" s="94" t="s">
        <v>87</v>
      </c>
      <c r="B242" s="69">
        <v>33000</v>
      </c>
      <c r="C242" s="69">
        <f t="shared" si="42"/>
        <v>33000</v>
      </c>
      <c r="D242" s="69">
        <f t="shared" si="42"/>
        <v>33000</v>
      </c>
      <c r="E242" s="69">
        <f t="shared" si="42"/>
        <v>33000</v>
      </c>
      <c r="F242" s="69">
        <f t="shared" si="42"/>
        <v>33000</v>
      </c>
      <c r="G242" s="69">
        <f t="shared" si="42"/>
        <v>33000</v>
      </c>
      <c r="H242" s="69">
        <f t="shared" si="43"/>
        <v>33000</v>
      </c>
      <c r="I242" s="69">
        <f t="shared" si="43"/>
        <v>33000</v>
      </c>
      <c r="J242" s="69">
        <f t="shared" si="43"/>
        <v>33000</v>
      </c>
      <c r="K242" s="69">
        <f t="shared" si="43"/>
        <v>33000</v>
      </c>
      <c r="L242" s="69">
        <f t="shared" si="43"/>
        <v>33000</v>
      </c>
      <c r="M242" s="69">
        <f t="shared" si="43"/>
        <v>33000</v>
      </c>
    </row>
    <row r="243" spans="1:15" x14ac:dyDescent="0.25">
      <c r="A243" s="94" t="s">
        <v>88</v>
      </c>
      <c r="B243" s="69">
        <v>44000</v>
      </c>
      <c r="C243" s="69">
        <f t="shared" si="42"/>
        <v>44000</v>
      </c>
      <c r="D243" s="69">
        <f t="shared" si="42"/>
        <v>44000</v>
      </c>
      <c r="E243" s="69">
        <f t="shared" si="42"/>
        <v>44000</v>
      </c>
      <c r="F243" s="69">
        <f t="shared" si="42"/>
        <v>44000</v>
      </c>
      <c r="G243" s="69">
        <f t="shared" si="42"/>
        <v>44000</v>
      </c>
      <c r="H243" s="69">
        <f t="shared" si="43"/>
        <v>44000</v>
      </c>
      <c r="I243" s="69">
        <f t="shared" si="43"/>
        <v>44000</v>
      </c>
      <c r="J243" s="69">
        <f t="shared" si="43"/>
        <v>44000</v>
      </c>
      <c r="K243" s="69">
        <f t="shared" si="43"/>
        <v>44000</v>
      </c>
      <c r="L243" s="69">
        <f t="shared" si="43"/>
        <v>44000</v>
      </c>
      <c r="M243" s="69">
        <f t="shared" si="43"/>
        <v>44000</v>
      </c>
      <c r="N243" s="89" t="s">
        <v>106</v>
      </c>
      <c r="O243" s="89" t="s">
        <v>123</v>
      </c>
    </row>
    <row r="244" spans="1:15" x14ac:dyDescent="0.25">
      <c r="A244" s="94" t="s">
        <v>95</v>
      </c>
      <c r="B244" s="69">
        <f>SUM(B230:B243)</f>
        <v>1527274</v>
      </c>
      <c r="C244" s="69">
        <f t="shared" ref="C244:M244" si="44">SUM(C230:C243)</f>
        <v>1527274</v>
      </c>
      <c r="D244" s="69">
        <f t="shared" si="44"/>
        <v>1527274</v>
      </c>
      <c r="E244" s="69">
        <f t="shared" si="44"/>
        <v>1527274</v>
      </c>
      <c r="F244" s="69">
        <f t="shared" si="44"/>
        <v>1527274</v>
      </c>
      <c r="G244" s="69">
        <f t="shared" si="44"/>
        <v>2125790</v>
      </c>
      <c r="H244" s="69">
        <f t="shared" si="44"/>
        <v>1527274</v>
      </c>
      <c r="I244" s="69">
        <f t="shared" si="44"/>
        <v>1527274</v>
      </c>
      <c r="J244" s="69">
        <f t="shared" si="44"/>
        <v>1527274</v>
      </c>
      <c r="K244" s="69">
        <f t="shared" si="44"/>
        <v>1527274</v>
      </c>
      <c r="L244" s="69">
        <f t="shared" si="44"/>
        <v>1527274</v>
      </c>
      <c r="M244" s="69">
        <f t="shared" si="44"/>
        <v>4016905.84</v>
      </c>
      <c r="N244" s="69">
        <f>SUM(B244:M244)</f>
        <v>21415435.84</v>
      </c>
      <c r="O244" s="103">
        <f>+N244*2</f>
        <v>42830871.68</v>
      </c>
    </row>
    <row r="249" spans="1:15" x14ac:dyDescent="0.25">
      <c r="A249" s="94" t="s">
        <v>114</v>
      </c>
      <c r="B249" s="79">
        <f>+N244+N224+N204+N185+N165+N145+N125+N105+N86</f>
        <v>369184639.35999995</v>
      </c>
    </row>
    <row r="251" spans="1:15" x14ac:dyDescent="0.25">
      <c r="A251" s="55" t="s">
        <v>115</v>
      </c>
      <c r="B251" s="62">
        <v>0.05</v>
      </c>
      <c r="C251" s="62">
        <v>0.03</v>
      </c>
    </row>
    <row r="252" spans="1:15" x14ac:dyDescent="0.25">
      <c r="A252" s="97" t="s">
        <v>116</v>
      </c>
      <c r="B252" s="89" t="s">
        <v>23</v>
      </c>
      <c r="C252" s="89" t="s">
        <v>117</v>
      </c>
      <c r="D252" s="89" t="s">
        <v>118</v>
      </c>
    </row>
    <row r="253" spans="1:15" x14ac:dyDescent="0.25">
      <c r="A253" s="55" t="s">
        <v>119</v>
      </c>
      <c r="B253" s="98" t="e">
        <f>+#REF!+#REF!*B251</f>
        <v>#REF!</v>
      </c>
      <c r="C253" s="57" t="s">
        <v>120</v>
      </c>
      <c r="D253" s="98" t="e">
        <f>+B253*12</f>
        <v>#REF!</v>
      </c>
    </row>
    <row r="254" spans="1:15" x14ac:dyDescent="0.25">
      <c r="A254" s="55" t="s">
        <v>121</v>
      </c>
      <c r="B254" s="98" t="e">
        <f>+#REF!+#REF!*B251</f>
        <v>#REF!</v>
      </c>
      <c r="C254" s="57" t="s">
        <v>120</v>
      </c>
      <c r="D254" s="98" t="e">
        <f>+B254*12</f>
        <v>#REF!</v>
      </c>
    </row>
    <row r="255" spans="1:15" x14ac:dyDescent="0.25">
      <c r="A255" s="99" t="s">
        <v>122</v>
      </c>
      <c r="B255" s="98" t="e">
        <f>+#REF!+#REF!*C251</f>
        <v>#REF!</v>
      </c>
      <c r="C255" s="57" t="s">
        <v>120</v>
      </c>
      <c r="D255" s="98" t="e">
        <f>+B255*12</f>
        <v>#REF!</v>
      </c>
    </row>
    <row r="256" spans="1:15" x14ac:dyDescent="0.25">
      <c r="A256" s="100"/>
      <c r="B256" s="101"/>
      <c r="C256" s="102" t="s">
        <v>22</v>
      </c>
      <c r="D256" s="101" t="e">
        <f>SUM(D253:D255)</f>
        <v>#REF!</v>
      </c>
    </row>
  </sheetData>
  <mergeCells count="1">
    <mergeCell ref="A2:B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3897E-3B86-4515-8AF0-892D9C1DF307}">
  <dimension ref="B1:O56"/>
  <sheetViews>
    <sheetView topLeftCell="E34" workbookViewId="0">
      <selection activeCell="F25" sqref="F25"/>
    </sheetView>
  </sheetViews>
  <sheetFormatPr baseColWidth="10" defaultColWidth="9.140625" defaultRowHeight="15" x14ac:dyDescent="0.25"/>
  <cols>
    <col min="2" max="2" width="26.85546875" customWidth="1"/>
    <col min="3" max="3" width="23.5703125" customWidth="1"/>
    <col min="4" max="4" width="27.28515625" customWidth="1"/>
    <col min="5" max="5" width="48.42578125" customWidth="1"/>
    <col min="6" max="6" width="15.140625" bestFit="1" customWidth="1"/>
    <col min="7" max="7" width="4.7109375" customWidth="1"/>
    <col min="8" max="8" width="2.28515625" style="111" customWidth="1"/>
    <col min="9" max="9" width="2.28515625" customWidth="1"/>
    <col min="10" max="10" width="35" customWidth="1"/>
    <col min="11" max="11" width="41.7109375" customWidth="1"/>
    <col min="12" max="12" width="19.140625" customWidth="1"/>
    <col min="13" max="13" width="26.28515625" bestFit="1" customWidth="1"/>
    <col min="14" max="14" width="19.28515625" customWidth="1"/>
    <col min="15" max="15" width="14.85546875" bestFit="1" customWidth="1"/>
  </cols>
  <sheetData>
    <row r="1" spans="2:13" ht="15.75" thickBot="1" x14ac:dyDescent="0.3">
      <c r="B1" s="115" t="s">
        <v>140</v>
      </c>
    </row>
    <row r="2" spans="2:13" x14ac:dyDescent="0.25">
      <c r="B2" s="116" t="s">
        <v>38</v>
      </c>
      <c r="C2" s="117"/>
      <c r="D2" s="117"/>
      <c r="E2" s="117"/>
      <c r="F2" s="118"/>
      <c r="J2" s="115" t="s">
        <v>147</v>
      </c>
    </row>
    <row r="3" spans="2:13" ht="15.6" customHeight="1" x14ac:dyDescent="0.25">
      <c r="B3" s="167" t="s">
        <v>124</v>
      </c>
      <c r="C3" s="168"/>
      <c r="D3" s="168"/>
      <c r="E3" s="168"/>
      <c r="F3" s="169"/>
      <c r="J3" s="170" t="s">
        <v>141</v>
      </c>
      <c r="K3" s="170"/>
    </row>
    <row r="4" spans="2:13" ht="14.45" customHeight="1" x14ac:dyDescent="0.25">
      <c r="B4" s="119" t="s">
        <v>125</v>
      </c>
      <c r="C4" s="104" t="s">
        <v>126</v>
      </c>
      <c r="D4" s="104" t="s">
        <v>127</v>
      </c>
      <c r="E4" s="104" t="s">
        <v>128</v>
      </c>
      <c r="F4" s="120" t="s">
        <v>129</v>
      </c>
      <c r="J4" s="108" t="s">
        <v>142</v>
      </c>
      <c r="K4" s="108" t="s">
        <v>143</v>
      </c>
    </row>
    <row r="5" spans="2:13" ht="14.45" customHeight="1" x14ac:dyDescent="0.25">
      <c r="B5" s="119" t="s">
        <v>130</v>
      </c>
      <c r="C5" s="104">
        <v>4</v>
      </c>
      <c r="D5" s="104" t="s">
        <v>131</v>
      </c>
      <c r="E5" s="105">
        <v>20000</v>
      </c>
      <c r="F5" s="121">
        <f>+E5*C5</f>
        <v>80000</v>
      </c>
      <c r="J5" s="109" t="s">
        <v>144</v>
      </c>
      <c r="K5" s="110">
        <v>1009880712</v>
      </c>
    </row>
    <row r="6" spans="2:13" ht="14.45" customHeight="1" x14ac:dyDescent="0.25">
      <c r="B6" s="119" t="s">
        <v>132</v>
      </c>
      <c r="C6" s="104">
        <v>20</v>
      </c>
      <c r="D6" s="104" t="s">
        <v>131</v>
      </c>
      <c r="E6" s="105">
        <v>5000</v>
      </c>
      <c r="F6" s="121">
        <f t="shared" ref="F6:F12" si="0">+E6*C6</f>
        <v>100000</v>
      </c>
      <c r="J6" s="109" t="s">
        <v>145</v>
      </c>
      <c r="K6" s="110">
        <v>68451040</v>
      </c>
    </row>
    <row r="7" spans="2:13" ht="14.45" customHeight="1" x14ac:dyDescent="0.25">
      <c r="B7" s="119" t="s">
        <v>133</v>
      </c>
      <c r="C7" s="104">
        <v>200</v>
      </c>
      <c r="D7" s="104" t="s">
        <v>131</v>
      </c>
      <c r="E7" s="105">
        <v>6000</v>
      </c>
      <c r="F7" s="121">
        <f t="shared" si="0"/>
        <v>1200000</v>
      </c>
      <c r="J7" s="109" t="s">
        <v>146</v>
      </c>
      <c r="K7" s="110">
        <v>360000000</v>
      </c>
    </row>
    <row r="8" spans="2:13" x14ac:dyDescent="0.25">
      <c r="B8" s="119" t="s">
        <v>134</v>
      </c>
      <c r="C8" s="104">
        <v>10</v>
      </c>
      <c r="D8" s="104" t="s">
        <v>131</v>
      </c>
      <c r="E8" s="105">
        <v>5000</v>
      </c>
      <c r="F8" s="121">
        <f t="shared" si="0"/>
        <v>50000</v>
      </c>
      <c r="J8" s="109" t="s">
        <v>22</v>
      </c>
      <c r="K8" s="110">
        <v>1438331752</v>
      </c>
    </row>
    <row r="9" spans="2:13" x14ac:dyDescent="0.25">
      <c r="B9" s="119" t="s">
        <v>135</v>
      </c>
      <c r="C9" s="104">
        <v>1</v>
      </c>
      <c r="D9" s="104" t="s">
        <v>131</v>
      </c>
      <c r="E9" s="105">
        <v>12000</v>
      </c>
      <c r="F9" s="121">
        <f t="shared" si="0"/>
        <v>12000</v>
      </c>
    </row>
    <row r="10" spans="2:13" x14ac:dyDescent="0.25">
      <c r="B10" s="119" t="s">
        <v>136</v>
      </c>
      <c r="C10" s="104">
        <v>2</v>
      </c>
      <c r="D10" s="104" t="s">
        <v>131</v>
      </c>
      <c r="E10" s="105">
        <v>50000</v>
      </c>
      <c r="F10" s="121">
        <f t="shared" si="0"/>
        <v>100000</v>
      </c>
    </row>
    <row r="11" spans="2:13" x14ac:dyDescent="0.25">
      <c r="B11" s="119" t="s">
        <v>137</v>
      </c>
      <c r="C11" s="104">
        <v>9</v>
      </c>
      <c r="D11" s="104" t="s">
        <v>138</v>
      </c>
      <c r="E11" s="105">
        <v>1300000</v>
      </c>
      <c r="F11" s="121">
        <f t="shared" si="0"/>
        <v>11700000</v>
      </c>
    </row>
    <row r="12" spans="2:13" x14ac:dyDescent="0.25">
      <c r="B12" s="119" t="s">
        <v>139</v>
      </c>
      <c r="C12" s="104">
        <v>1</v>
      </c>
      <c r="D12" s="104" t="s">
        <v>138</v>
      </c>
      <c r="E12" s="105">
        <v>150000</v>
      </c>
      <c r="F12" s="121">
        <f t="shared" si="0"/>
        <v>150000</v>
      </c>
    </row>
    <row r="13" spans="2:13" x14ac:dyDescent="0.25">
      <c r="B13" s="119" t="s">
        <v>22</v>
      </c>
      <c r="C13" s="104">
        <f>SUM(C5:C12)</f>
        <v>247</v>
      </c>
      <c r="D13" s="104" t="s">
        <v>2</v>
      </c>
      <c r="E13" s="105">
        <f>SUM(E5:E12)</f>
        <v>1548000</v>
      </c>
      <c r="F13" s="121">
        <f>SUM(F5:F12)</f>
        <v>13392000</v>
      </c>
    </row>
    <row r="14" spans="2:13" x14ac:dyDescent="0.25">
      <c r="B14" s="4"/>
      <c r="C14" s="122"/>
      <c r="D14" s="122"/>
      <c r="E14" s="122"/>
      <c r="F14" s="123"/>
    </row>
    <row r="15" spans="2:13" x14ac:dyDescent="0.25">
      <c r="B15" s="124" t="s">
        <v>39</v>
      </c>
      <c r="C15" s="122"/>
      <c r="D15" s="122"/>
      <c r="E15" s="122"/>
      <c r="F15" s="123"/>
      <c r="J15" s="115" t="s">
        <v>160</v>
      </c>
    </row>
    <row r="16" spans="2:13" ht="15.75" x14ac:dyDescent="0.25">
      <c r="B16" s="167" t="s">
        <v>124</v>
      </c>
      <c r="C16" s="168"/>
      <c r="D16" s="168"/>
      <c r="E16" s="168"/>
      <c r="F16" s="169"/>
      <c r="J16" s="161" t="s">
        <v>155</v>
      </c>
      <c r="K16" s="161"/>
      <c r="L16" s="161"/>
      <c r="M16" s="161"/>
    </row>
    <row r="17" spans="2:14" x14ac:dyDescent="0.25">
      <c r="B17" s="119" t="s">
        <v>125</v>
      </c>
      <c r="C17" s="104" t="s">
        <v>126</v>
      </c>
      <c r="D17" s="104" t="s">
        <v>127</v>
      </c>
      <c r="E17" s="104" t="s">
        <v>128</v>
      </c>
      <c r="F17" s="120" t="s">
        <v>129</v>
      </c>
      <c r="J17" s="112" t="s">
        <v>59</v>
      </c>
      <c r="K17" s="112" t="s">
        <v>156</v>
      </c>
      <c r="L17" s="112" t="s">
        <v>157</v>
      </c>
      <c r="M17" s="112" t="s">
        <v>158</v>
      </c>
    </row>
    <row r="18" spans="2:14" x14ac:dyDescent="0.25">
      <c r="B18" s="119" t="s">
        <v>130</v>
      </c>
      <c r="C18" s="104">
        <v>4</v>
      </c>
      <c r="D18" s="104" t="s">
        <v>131</v>
      </c>
      <c r="E18" s="105">
        <v>20000</v>
      </c>
      <c r="F18" s="121">
        <f>+E18*C18</f>
        <v>80000</v>
      </c>
      <c r="J18" s="113" t="s">
        <v>61</v>
      </c>
      <c r="K18" s="56">
        <v>4000000</v>
      </c>
      <c r="L18" s="113">
        <v>1</v>
      </c>
      <c r="M18" s="56">
        <v>72892160</v>
      </c>
    </row>
    <row r="19" spans="2:14" x14ac:dyDescent="0.25">
      <c r="B19" s="119" t="s">
        <v>132</v>
      </c>
      <c r="C19" s="104">
        <v>20</v>
      </c>
      <c r="D19" s="104" t="s">
        <v>131</v>
      </c>
      <c r="E19" s="105">
        <v>5000</v>
      </c>
      <c r="F19" s="121">
        <f t="shared" ref="F19:F23" si="1">+E19*C19</f>
        <v>100000</v>
      </c>
      <c r="J19" s="113" t="s">
        <v>62</v>
      </c>
      <c r="K19" s="56">
        <v>1200000</v>
      </c>
      <c r="L19" s="113">
        <v>1</v>
      </c>
      <c r="M19" s="56">
        <v>23237739.84</v>
      </c>
    </row>
    <row r="20" spans="2:14" x14ac:dyDescent="0.25">
      <c r="B20" s="119" t="s">
        <v>133</v>
      </c>
      <c r="C20" s="104">
        <v>200</v>
      </c>
      <c r="D20" s="104" t="s">
        <v>131</v>
      </c>
      <c r="E20" s="105">
        <v>6000</v>
      </c>
      <c r="F20" s="121">
        <f t="shared" si="1"/>
        <v>1200000</v>
      </c>
      <c r="J20" s="113" t="s">
        <v>159</v>
      </c>
      <c r="K20" s="56">
        <v>3000000</v>
      </c>
      <c r="L20" s="113">
        <v>1</v>
      </c>
      <c r="M20" s="56">
        <v>59881200</v>
      </c>
    </row>
    <row r="21" spans="2:14" x14ac:dyDescent="0.25">
      <c r="B21" s="119" t="s">
        <v>134</v>
      </c>
      <c r="C21" s="104">
        <v>10</v>
      </c>
      <c r="D21" s="104" t="s">
        <v>131</v>
      </c>
      <c r="E21" s="105">
        <v>5000</v>
      </c>
      <c r="F21" s="121">
        <f t="shared" si="1"/>
        <v>50000</v>
      </c>
      <c r="J21" s="113" t="s">
        <v>64</v>
      </c>
      <c r="K21" s="56">
        <v>2500000</v>
      </c>
      <c r="L21" s="113">
        <v>1</v>
      </c>
      <c r="M21" s="56">
        <v>49001000</v>
      </c>
    </row>
    <row r="22" spans="2:14" x14ac:dyDescent="0.25">
      <c r="B22" s="119" t="s">
        <v>135</v>
      </c>
      <c r="C22" s="104">
        <v>1</v>
      </c>
      <c r="D22" s="104" t="s">
        <v>131</v>
      </c>
      <c r="E22" s="105">
        <v>12000</v>
      </c>
      <c r="F22" s="121">
        <f t="shared" si="1"/>
        <v>12000</v>
      </c>
      <c r="J22" s="114" t="s">
        <v>65</v>
      </c>
      <c r="K22" s="58">
        <v>3100000</v>
      </c>
      <c r="L22" s="113">
        <v>1</v>
      </c>
      <c r="M22" s="56">
        <v>58013240</v>
      </c>
    </row>
    <row r="23" spans="2:14" x14ac:dyDescent="0.25">
      <c r="B23" s="119" t="s">
        <v>136</v>
      </c>
      <c r="C23" s="104">
        <v>2</v>
      </c>
      <c r="D23" s="104" t="s">
        <v>131</v>
      </c>
      <c r="E23" s="105">
        <v>50000</v>
      </c>
      <c r="F23" s="121">
        <f t="shared" si="1"/>
        <v>100000</v>
      </c>
      <c r="J23" s="114" t="s">
        <v>66</v>
      </c>
      <c r="K23" s="58">
        <v>1500000</v>
      </c>
      <c r="L23" s="113">
        <v>1</v>
      </c>
      <c r="M23" s="56">
        <v>28704651.84</v>
      </c>
    </row>
    <row r="24" spans="2:14" ht="15.75" thickBot="1" x14ac:dyDescent="0.3">
      <c r="B24" s="125" t="s">
        <v>22</v>
      </c>
      <c r="C24" s="126">
        <f>SUM(C16:C23)</f>
        <v>237</v>
      </c>
      <c r="D24" s="126" t="s">
        <v>2</v>
      </c>
      <c r="E24" s="127">
        <f>SUM(E16:E23)</f>
        <v>98000</v>
      </c>
      <c r="F24" s="128">
        <f>SUM(F16:F23)</f>
        <v>1542000</v>
      </c>
      <c r="J24" s="114" t="s">
        <v>66</v>
      </c>
      <c r="K24" s="58">
        <v>2100000</v>
      </c>
      <c r="L24" s="113">
        <v>1</v>
      </c>
      <c r="M24" s="56">
        <v>38268384</v>
      </c>
    </row>
    <row r="25" spans="2:14" x14ac:dyDescent="0.25">
      <c r="E25" t="s">
        <v>225</v>
      </c>
      <c r="F25" s="140">
        <f>+F13-F24</f>
        <v>11850000</v>
      </c>
      <c r="J25" s="114" t="s">
        <v>68</v>
      </c>
      <c r="K25" s="58">
        <v>900000</v>
      </c>
      <c r="L25" s="113">
        <v>1</v>
      </c>
      <c r="M25" s="56">
        <v>17770827.84</v>
      </c>
    </row>
    <row r="26" spans="2:14" x14ac:dyDescent="0.25">
      <c r="B26" s="115" t="s">
        <v>154</v>
      </c>
      <c r="J26" s="114" t="s">
        <v>69</v>
      </c>
      <c r="K26" s="58">
        <v>1100000</v>
      </c>
      <c r="L26" s="113">
        <v>2</v>
      </c>
      <c r="M26" s="56">
        <v>42830871.68</v>
      </c>
    </row>
    <row r="27" spans="2:14" x14ac:dyDescent="0.25">
      <c r="B27" s="161" t="s">
        <v>148</v>
      </c>
      <c r="C27" s="161"/>
      <c r="D27" s="161"/>
      <c r="J27" s="114" t="s">
        <v>22</v>
      </c>
      <c r="K27" s="58">
        <f>SUM(K18:K26)</f>
        <v>19400000</v>
      </c>
      <c r="L27" s="113">
        <f>SUM(L18:L26)</f>
        <v>10</v>
      </c>
      <c r="M27" s="56">
        <f>SUM(M18:M26)</f>
        <v>390600075.19999999</v>
      </c>
    </row>
    <row r="28" spans="2:14" x14ac:dyDescent="0.25">
      <c r="B28" s="106" t="s">
        <v>142</v>
      </c>
      <c r="C28" s="106" t="s">
        <v>143</v>
      </c>
      <c r="D28" s="106" t="s">
        <v>149</v>
      </c>
    </row>
    <row r="29" spans="2:14" ht="15.75" x14ac:dyDescent="0.25">
      <c r="B29" s="107" t="s">
        <v>150</v>
      </c>
      <c r="C29" s="56">
        <v>1500000</v>
      </c>
      <c r="D29" s="107" t="s">
        <v>151</v>
      </c>
      <c r="J29" s="171" t="s">
        <v>166</v>
      </c>
      <c r="K29" s="171"/>
      <c r="L29" s="171"/>
      <c r="M29" s="171"/>
      <c r="N29" s="171"/>
    </row>
    <row r="30" spans="2:14" ht="29.45" customHeight="1" x14ac:dyDescent="0.25">
      <c r="B30" s="107" t="s">
        <v>152</v>
      </c>
      <c r="C30" s="56">
        <v>18000000</v>
      </c>
      <c r="D30" s="107" t="s">
        <v>153</v>
      </c>
      <c r="J30" s="129" t="s">
        <v>142</v>
      </c>
      <c r="K30" s="129" t="s">
        <v>167</v>
      </c>
      <c r="L30" s="129" t="s">
        <v>168</v>
      </c>
      <c r="M30" s="129" t="s">
        <v>126</v>
      </c>
      <c r="N30" s="129" t="s">
        <v>169</v>
      </c>
    </row>
    <row r="31" spans="2:14" ht="17.45" customHeight="1" x14ac:dyDescent="0.25">
      <c r="J31" s="130" t="s">
        <v>170</v>
      </c>
      <c r="K31" s="130" t="s">
        <v>171</v>
      </c>
      <c r="L31" s="131">
        <v>700</v>
      </c>
      <c r="M31" s="130">
        <v>196</v>
      </c>
      <c r="N31" s="132">
        <f>+M31*L31*3235</f>
        <v>443842000</v>
      </c>
    </row>
    <row r="32" spans="2:14" ht="19.149999999999999" customHeight="1" x14ac:dyDescent="0.25">
      <c r="B32" s="161" t="s">
        <v>161</v>
      </c>
      <c r="C32" s="161"/>
      <c r="D32" s="161"/>
      <c r="E32" s="161"/>
      <c r="J32" s="130" t="s">
        <v>172</v>
      </c>
      <c r="K32" s="130" t="s">
        <v>173</v>
      </c>
      <c r="L32" s="131">
        <v>6580</v>
      </c>
      <c r="M32" s="130">
        <v>24</v>
      </c>
      <c r="N32" s="132">
        <f t="shared" ref="N32:N33" si="2">+M32*L32*3235</f>
        <v>510871200</v>
      </c>
    </row>
    <row r="33" spans="2:14" ht="14.45" customHeight="1" x14ac:dyDescent="0.25">
      <c r="B33" s="112" t="s">
        <v>162</v>
      </c>
      <c r="C33" s="112" t="s">
        <v>163</v>
      </c>
      <c r="D33" s="112" t="s">
        <v>164</v>
      </c>
      <c r="E33" s="112" t="s">
        <v>129</v>
      </c>
      <c r="J33" s="130" t="s">
        <v>174</v>
      </c>
      <c r="K33" s="130" t="s">
        <v>175</v>
      </c>
      <c r="L33" s="131">
        <v>341.72</v>
      </c>
      <c r="M33" s="130">
        <v>45</v>
      </c>
      <c r="N33" s="132">
        <f t="shared" si="2"/>
        <v>49745889.000000007</v>
      </c>
    </row>
    <row r="34" spans="2:14" ht="18.600000000000001" customHeight="1" x14ac:dyDescent="0.25">
      <c r="B34" s="113" t="s">
        <v>165</v>
      </c>
      <c r="C34" s="56">
        <v>649000</v>
      </c>
      <c r="D34" s="56">
        <v>485000</v>
      </c>
      <c r="E34" s="56">
        <f>+D34+C34*12</f>
        <v>8273000</v>
      </c>
      <c r="J34" s="130" t="s">
        <v>176</v>
      </c>
      <c r="K34" s="130" t="s">
        <v>177</v>
      </c>
      <c r="L34" s="131">
        <f>+N34/3235</f>
        <v>1675.9267387944358</v>
      </c>
      <c r="M34" s="130">
        <v>1</v>
      </c>
      <c r="N34" s="132">
        <v>5421623</v>
      </c>
    </row>
    <row r="35" spans="2:14" ht="15.75" x14ac:dyDescent="0.25">
      <c r="J35" s="156" t="s">
        <v>22</v>
      </c>
      <c r="K35" s="156"/>
      <c r="L35" s="156"/>
      <c r="M35" s="156"/>
      <c r="N35" s="133">
        <f>SUM(N31:N34)</f>
        <v>1009880712</v>
      </c>
    </row>
    <row r="37" spans="2:14" x14ac:dyDescent="0.25">
      <c r="J37" s="157" t="s">
        <v>178</v>
      </c>
      <c r="K37" s="157"/>
      <c r="L37" s="157"/>
      <c r="M37" s="157"/>
      <c r="N37" s="157"/>
    </row>
    <row r="38" spans="2:14" x14ac:dyDescent="0.25">
      <c r="J38" s="106" t="s">
        <v>179</v>
      </c>
      <c r="K38" s="106" t="s">
        <v>180</v>
      </c>
      <c r="L38" s="106" t="s">
        <v>126</v>
      </c>
      <c r="M38" s="106" t="s">
        <v>181</v>
      </c>
      <c r="N38" s="106" t="s">
        <v>169</v>
      </c>
    </row>
    <row r="39" spans="2:14" ht="15" customHeight="1" thickBot="1" x14ac:dyDescent="0.3">
      <c r="B39" s="157" t="s">
        <v>193</v>
      </c>
      <c r="C39" s="157"/>
      <c r="D39" s="157"/>
      <c r="E39" s="157"/>
      <c r="J39" s="107" t="s">
        <v>182</v>
      </c>
      <c r="K39" s="56">
        <v>6500</v>
      </c>
      <c r="L39" s="107">
        <v>98</v>
      </c>
      <c r="M39" s="132" t="s">
        <v>183</v>
      </c>
      <c r="N39" s="132">
        <f>+K39*L39</f>
        <v>637000</v>
      </c>
    </row>
    <row r="40" spans="2:14" ht="15.6" customHeight="1" x14ac:dyDescent="0.25">
      <c r="B40" s="141" t="s">
        <v>142</v>
      </c>
      <c r="C40" s="142" t="s">
        <v>189</v>
      </c>
      <c r="D40" s="142" t="s">
        <v>195</v>
      </c>
      <c r="E40" s="143" t="s">
        <v>70</v>
      </c>
      <c r="J40" s="107" t="s">
        <v>184</v>
      </c>
      <c r="K40" s="56">
        <v>330990</v>
      </c>
      <c r="L40" s="107">
        <v>196</v>
      </c>
      <c r="M40" s="132" t="s">
        <v>185</v>
      </c>
      <c r="N40" s="132">
        <f t="shared" ref="N40:N41" si="3">+K40*L40</f>
        <v>64874040</v>
      </c>
    </row>
    <row r="41" spans="2:14" x14ac:dyDescent="0.25">
      <c r="B41" s="145" t="s">
        <v>194</v>
      </c>
      <c r="C41" s="137">
        <f>+K8</f>
        <v>1438331752</v>
      </c>
      <c r="D41" s="136" t="s">
        <v>196</v>
      </c>
      <c r="E41" s="144" t="s">
        <v>197</v>
      </c>
      <c r="J41" s="107" t="s">
        <v>186</v>
      </c>
      <c r="K41" s="56">
        <v>30000</v>
      </c>
      <c r="L41" s="107">
        <v>98</v>
      </c>
      <c r="M41" s="132" t="s">
        <v>187</v>
      </c>
      <c r="N41" s="132">
        <f t="shared" si="3"/>
        <v>2940000</v>
      </c>
    </row>
    <row r="42" spans="2:14" x14ac:dyDescent="0.25">
      <c r="B42" s="162" t="s">
        <v>201</v>
      </c>
      <c r="C42" s="163"/>
      <c r="D42" s="163"/>
      <c r="E42" s="164"/>
      <c r="J42" s="158" t="s">
        <v>22</v>
      </c>
      <c r="K42" s="159"/>
      <c r="L42" s="160"/>
      <c r="M42" s="132"/>
      <c r="N42" s="133">
        <f>SUM(N39:N41)</f>
        <v>68451040</v>
      </c>
    </row>
    <row r="43" spans="2:14" ht="30" x14ac:dyDescent="0.25">
      <c r="B43" s="145" t="s">
        <v>198</v>
      </c>
      <c r="C43" s="137">
        <f>+C29</f>
        <v>1500000</v>
      </c>
      <c r="D43" s="137">
        <f>+C30</f>
        <v>18000000</v>
      </c>
      <c r="E43" s="146" t="s">
        <v>204</v>
      </c>
    </row>
    <row r="44" spans="2:14" ht="30" x14ac:dyDescent="0.25">
      <c r="B44" s="145" t="s">
        <v>199</v>
      </c>
      <c r="C44" s="137">
        <f>+C34</f>
        <v>649000</v>
      </c>
      <c r="D44" s="137">
        <f>+E34</f>
        <v>8273000</v>
      </c>
      <c r="E44" s="146" t="s">
        <v>204</v>
      </c>
      <c r="J44" s="161" t="s">
        <v>188</v>
      </c>
      <c r="K44" s="161"/>
      <c r="L44" s="161"/>
      <c r="M44" s="161"/>
    </row>
    <row r="45" spans="2:14" x14ac:dyDescent="0.25">
      <c r="B45" s="145" t="s">
        <v>200</v>
      </c>
      <c r="C45" s="138">
        <f>+M49</f>
        <v>33300000</v>
      </c>
      <c r="D45" s="138">
        <f>+C45</f>
        <v>33300000</v>
      </c>
      <c r="E45" s="144" t="s">
        <v>206</v>
      </c>
      <c r="J45" s="106" t="s">
        <v>179</v>
      </c>
      <c r="K45" s="106" t="s">
        <v>180</v>
      </c>
      <c r="L45" s="106" t="s">
        <v>126</v>
      </c>
      <c r="M45" s="106" t="s">
        <v>189</v>
      </c>
    </row>
    <row r="46" spans="2:14" ht="16.899999999999999" customHeight="1" x14ac:dyDescent="0.25">
      <c r="B46" s="162" t="s">
        <v>160</v>
      </c>
      <c r="C46" s="163"/>
      <c r="D46" s="163"/>
      <c r="E46" s="164"/>
      <c r="J46" s="107" t="s">
        <v>190</v>
      </c>
      <c r="K46" s="56">
        <v>2800000</v>
      </c>
      <c r="L46" s="107">
        <v>3</v>
      </c>
      <c r="M46" s="105">
        <f>+K46*L46</f>
        <v>8400000</v>
      </c>
    </row>
    <row r="47" spans="2:14" ht="45" x14ac:dyDescent="0.25">
      <c r="B47" s="145" t="s">
        <v>203</v>
      </c>
      <c r="C47" s="138">
        <f>+F13</f>
        <v>13392000</v>
      </c>
      <c r="D47" s="138">
        <f>+C47</f>
        <v>13392000</v>
      </c>
      <c r="E47" s="146" t="s">
        <v>202</v>
      </c>
      <c r="J47" s="107" t="s">
        <v>191</v>
      </c>
      <c r="K47" s="56">
        <v>17400000</v>
      </c>
      <c r="L47" s="107">
        <v>1</v>
      </c>
      <c r="M47" s="105">
        <f>+K47*L47</f>
        <v>17400000</v>
      </c>
    </row>
    <row r="48" spans="2:14" ht="30" x14ac:dyDescent="0.25">
      <c r="B48" s="147" t="s">
        <v>58</v>
      </c>
      <c r="C48" s="136" t="s">
        <v>196</v>
      </c>
      <c r="D48" s="149">
        <f>+M27</f>
        <v>390600075.19999999</v>
      </c>
      <c r="E48" s="146" t="s">
        <v>204</v>
      </c>
      <c r="J48" s="134" t="s">
        <v>192</v>
      </c>
      <c r="K48" s="56">
        <v>2500000</v>
      </c>
      <c r="L48" s="107">
        <v>3</v>
      </c>
      <c r="M48" s="105">
        <f>+K48*L48</f>
        <v>7500000</v>
      </c>
    </row>
    <row r="49" spans="2:15" ht="15.75" thickBot="1" x14ac:dyDescent="0.3">
      <c r="B49" s="165" t="s">
        <v>22</v>
      </c>
      <c r="C49" s="166"/>
      <c r="D49" s="150">
        <f>+D48+D47+D44+D43+C45</f>
        <v>463565075.19999999</v>
      </c>
      <c r="E49" s="148" t="s">
        <v>205</v>
      </c>
      <c r="J49" s="158" t="s">
        <v>22</v>
      </c>
      <c r="K49" s="159"/>
      <c r="L49" s="160"/>
      <c r="M49" s="135">
        <f>SUM(M46:M48)</f>
        <v>33300000</v>
      </c>
    </row>
    <row r="51" spans="2:15" x14ac:dyDescent="0.25">
      <c r="J51" s="151" t="s">
        <v>142</v>
      </c>
      <c r="K51" s="151" t="s">
        <v>23</v>
      </c>
      <c r="M51" s="151" t="s">
        <v>142</v>
      </c>
      <c r="N51" s="151" t="s">
        <v>23</v>
      </c>
    </row>
    <row r="52" spans="2:15" x14ac:dyDescent="0.25">
      <c r="J52" s="107" t="s">
        <v>213</v>
      </c>
      <c r="K52" s="56">
        <f>+N42+F13+N35</f>
        <v>1091723752</v>
      </c>
      <c r="M52" s="107" t="s">
        <v>213</v>
      </c>
      <c r="N52" s="56">
        <f>+M49</f>
        <v>33300000</v>
      </c>
    </row>
    <row r="53" spans="2:15" x14ac:dyDescent="0.25">
      <c r="J53" s="107" t="s">
        <v>216</v>
      </c>
      <c r="K53" s="56">
        <f>+K52/15</f>
        <v>72781583.466666669</v>
      </c>
      <c r="M53" s="107" t="s">
        <v>216</v>
      </c>
      <c r="N53" s="56">
        <f>+N52/15</f>
        <v>2220000</v>
      </c>
    </row>
    <row r="54" spans="2:15" x14ac:dyDescent="0.25">
      <c r="J54" s="107" t="s">
        <v>217</v>
      </c>
      <c r="K54" s="56">
        <f>+K53*0.2</f>
        <v>14556316.693333335</v>
      </c>
      <c r="M54" s="107" t="s">
        <v>219</v>
      </c>
      <c r="N54" s="56">
        <f>+N53+K54</f>
        <v>16776316.693333335</v>
      </c>
      <c r="O54" s="139">
        <f>+N54</f>
        <v>16776316.693333335</v>
      </c>
    </row>
    <row r="56" spans="2:15" x14ac:dyDescent="0.25">
      <c r="J56" s="152" t="s">
        <v>218</v>
      </c>
    </row>
  </sheetData>
  <mergeCells count="16">
    <mergeCell ref="J3:K3"/>
    <mergeCell ref="B27:D27"/>
    <mergeCell ref="J16:M16"/>
    <mergeCell ref="B32:E32"/>
    <mergeCell ref="J29:N29"/>
    <mergeCell ref="B39:E39"/>
    <mergeCell ref="B42:E42"/>
    <mergeCell ref="B46:E46"/>
    <mergeCell ref="B49:C49"/>
    <mergeCell ref="B3:F3"/>
    <mergeCell ref="B16:F16"/>
    <mergeCell ref="J35:M35"/>
    <mergeCell ref="J37:N37"/>
    <mergeCell ref="J42:L42"/>
    <mergeCell ref="J44:M44"/>
    <mergeCell ref="J49:L4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zoomScale="70" zoomScaleNormal="70" workbookViewId="0">
      <selection activeCell="F13" sqref="F13"/>
    </sheetView>
  </sheetViews>
  <sheetFormatPr baseColWidth="10" defaultColWidth="11.5703125" defaultRowHeight="15" x14ac:dyDescent="0.25"/>
  <cols>
    <col min="1" max="1" width="2.85546875" customWidth="1"/>
    <col min="2" max="2" width="41.42578125" customWidth="1"/>
    <col min="3" max="3" width="16.140625" bestFit="1" customWidth="1"/>
    <col min="4" max="4" width="14.28515625" customWidth="1"/>
    <col min="5" max="5" width="13" customWidth="1"/>
    <col min="6" max="6" width="19.7109375" customWidth="1"/>
    <col min="7" max="7" width="17.5703125" bestFit="1" customWidth="1"/>
    <col min="8" max="8" width="13.5703125" customWidth="1"/>
    <col min="9" max="10" width="13.28515625" bestFit="1" customWidth="1"/>
    <col min="11" max="11" width="13.28515625" customWidth="1"/>
    <col min="12" max="12" width="13.7109375" customWidth="1"/>
    <col min="13" max="13" width="13" customWidth="1"/>
    <col min="14" max="16" width="13.28515625" bestFit="1" customWidth="1"/>
    <col min="17" max="17" width="14.28515625" customWidth="1"/>
    <col min="18" max="18" width="13.140625" bestFit="1" customWidth="1"/>
  </cols>
  <sheetData>
    <row r="1" spans="1:18" ht="15.75" thickBot="1" x14ac:dyDescent="0.3">
      <c r="B1" s="38" t="s">
        <v>55</v>
      </c>
      <c r="C1" s="172" t="s">
        <v>54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1:18" x14ac:dyDescent="0.25">
      <c r="A2" s="7"/>
      <c r="B2" s="14"/>
      <c r="C2" s="15">
        <v>0</v>
      </c>
      <c r="D2" s="16">
        <v>1</v>
      </c>
      <c r="E2" s="16">
        <v>2</v>
      </c>
      <c r="F2" s="16">
        <v>3</v>
      </c>
      <c r="G2" s="16">
        <v>4</v>
      </c>
      <c r="H2" s="16">
        <v>5</v>
      </c>
      <c r="I2" s="16">
        <v>6</v>
      </c>
      <c r="J2" s="16">
        <v>7</v>
      </c>
      <c r="K2" s="16">
        <v>8</v>
      </c>
      <c r="L2" s="16">
        <v>9</v>
      </c>
      <c r="M2" s="16">
        <v>10</v>
      </c>
      <c r="N2" s="16">
        <v>11</v>
      </c>
      <c r="O2" s="16">
        <v>12</v>
      </c>
      <c r="P2" s="16">
        <v>13</v>
      </c>
      <c r="Q2" s="16">
        <v>14</v>
      </c>
      <c r="R2" s="16">
        <v>15</v>
      </c>
    </row>
    <row r="3" spans="1:18" x14ac:dyDescent="0.25">
      <c r="A3" s="4" t="s">
        <v>0</v>
      </c>
      <c r="B3" s="8" t="s">
        <v>214</v>
      </c>
      <c r="C3" s="17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</row>
    <row r="4" spans="1:18" x14ac:dyDescent="0.25">
      <c r="A4" s="4" t="s">
        <v>0</v>
      </c>
      <c r="B4" s="8" t="s">
        <v>1</v>
      </c>
      <c r="C4" s="17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s="1" customFormat="1" x14ac:dyDescent="0.25">
      <c r="A5" s="3" t="s">
        <v>2</v>
      </c>
      <c r="B5" s="9" t="s">
        <v>3</v>
      </c>
      <c r="C5" s="20"/>
      <c r="D5" s="21">
        <f t="shared" ref="D5:R5" si="0">C50</f>
        <v>463565075.19999999</v>
      </c>
      <c r="E5" s="21">
        <f t="shared" si="0"/>
        <v>479528979.71200001</v>
      </c>
      <c r="F5" s="21">
        <f t="shared" si="0"/>
        <v>508300718.49471998</v>
      </c>
      <c r="G5" s="21">
        <f t="shared" si="0"/>
        <v>538798761.60440314</v>
      </c>
      <c r="H5" s="21">
        <f t="shared" si="0"/>
        <v>571126687.30066729</v>
      </c>
      <c r="I5" s="21">
        <f t="shared" si="0"/>
        <v>605394288.53870738</v>
      </c>
      <c r="J5" s="21">
        <f t="shared" si="0"/>
        <v>641717945.85102987</v>
      </c>
      <c r="K5" s="21">
        <f t="shared" si="0"/>
        <v>680221022.60209167</v>
      </c>
      <c r="L5" s="21">
        <f t="shared" si="0"/>
        <v>721034283.95821714</v>
      </c>
      <c r="M5" s="21">
        <f t="shared" si="0"/>
        <v>764296340.99571013</v>
      </c>
      <c r="N5" s="21">
        <f t="shared" si="0"/>
        <v>810154121.45545268</v>
      </c>
      <c r="O5" s="21">
        <f t="shared" si="0"/>
        <v>858763368.74277985</v>
      </c>
      <c r="P5" s="21">
        <f t="shared" si="0"/>
        <v>910289170.86734664</v>
      </c>
      <c r="Q5" s="21">
        <f t="shared" si="0"/>
        <v>964906521.11938739</v>
      </c>
      <c r="R5" s="21">
        <f t="shared" si="0"/>
        <v>1022800912.3865507</v>
      </c>
    </row>
    <row r="6" spans="1:18" s="1" customFormat="1" x14ac:dyDescent="0.25">
      <c r="A6" s="3" t="s">
        <v>2</v>
      </c>
      <c r="B6" s="9" t="s">
        <v>4</v>
      </c>
      <c r="C6" s="20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5.75" thickBot="1" x14ac:dyDescent="0.3">
      <c r="A7" s="4" t="s">
        <v>2</v>
      </c>
      <c r="B7" s="8" t="s">
        <v>5</v>
      </c>
      <c r="C7" s="22"/>
      <c r="D7" s="23">
        <f>+$C$44</f>
        <v>16776316.693333335</v>
      </c>
      <c r="E7" s="23">
        <f>+$D$7</f>
        <v>16776316.693333335</v>
      </c>
      <c r="F7" s="23">
        <f t="shared" ref="F7:R7" si="1">+$D$7</f>
        <v>16776316.693333335</v>
      </c>
      <c r="G7" s="23">
        <f t="shared" si="1"/>
        <v>16776316.693333335</v>
      </c>
      <c r="H7" s="23">
        <f t="shared" si="1"/>
        <v>16776316.693333335</v>
      </c>
      <c r="I7" s="23">
        <f t="shared" si="1"/>
        <v>16776316.693333335</v>
      </c>
      <c r="J7" s="23">
        <f t="shared" si="1"/>
        <v>16776316.693333335</v>
      </c>
      <c r="K7" s="23">
        <f t="shared" si="1"/>
        <v>16776316.693333335</v>
      </c>
      <c r="L7" s="23">
        <f t="shared" si="1"/>
        <v>16776316.693333335</v>
      </c>
      <c r="M7" s="23">
        <f t="shared" si="1"/>
        <v>16776316.693333335</v>
      </c>
      <c r="N7" s="23">
        <f t="shared" si="1"/>
        <v>16776316.693333335</v>
      </c>
      <c r="O7" s="23">
        <f t="shared" si="1"/>
        <v>16776316.693333335</v>
      </c>
      <c r="P7" s="23">
        <f t="shared" si="1"/>
        <v>16776316.693333335</v>
      </c>
      <c r="Q7" s="23">
        <f t="shared" si="1"/>
        <v>16776316.693333335</v>
      </c>
      <c r="R7" s="23">
        <f t="shared" si="1"/>
        <v>16776316.693333335</v>
      </c>
    </row>
    <row r="8" spans="1:18" s="2" customFormat="1" ht="15.75" thickBot="1" x14ac:dyDescent="0.3">
      <c r="A8" s="5"/>
      <c r="B8" s="10" t="s">
        <v>6</v>
      </c>
      <c r="C8" s="24">
        <f>C3+C4-C5-C6-C7</f>
        <v>0</v>
      </c>
      <c r="D8" s="25">
        <f>D3+D4-D5-D6-D7</f>
        <v>-480341391.89333332</v>
      </c>
      <c r="E8" s="25">
        <f t="shared" ref="E8:K8" si="2">E3+E4-E5-E6-E7</f>
        <v>-496305296.40533334</v>
      </c>
      <c r="F8" s="25">
        <f t="shared" si="2"/>
        <v>-525077035.18805331</v>
      </c>
      <c r="G8" s="25">
        <f t="shared" si="2"/>
        <v>-555575078.29773653</v>
      </c>
      <c r="H8" s="25">
        <f t="shared" si="2"/>
        <v>-587903003.99400067</v>
      </c>
      <c r="I8" s="25">
        <f t="shared" si="2"/>
        <v>-622170605.23204076</v>
      </c>
      <c r="J8" s="25">
        <f t="shared" si="2"/>
        <v>-658494262.54436326</v>
      </c>
      <c r="K8" s="25">
        <f t="shared" si="2"/>
        <v>-696997339.29542506</v>
      </c>
      <c r="L8" s="25">
        <f t="shared" ref="L8:R8" si="3">L3+L4-L5-L6-L7</f>
        <v>-737810600.65155053</v>
      </c>
      <c r="M8" s="25">
        <f t="shared" si="3"/>
        <v>-781072657.68904352</v>
      </c>
      <c r="N8" s="25">
        <f t="shared" si="3"/>
        <v>-826930438.14878607</v>
      </c>
      <c r="O8" s="25">
        <f t="shared" si="3"/>
        <v>-875539685.43611324</v>
      </c>
      <c r="P8" s="25">
        <f t="shared" si="3"/>
        <v>-927065487.56068003</v>
      </c>
      <c r="Q8" s="25">
        <f t="shared" si="3"/>
        <v>-981682837.81272078</v>
      </c>
      <c r="R8" s="25">
        <f t="shared" si="3"/>
        <v>-1039577229.0798841</v>
      </c>
    </row>
    <row r="9" spans="1:18" x14ac:dyDescent="0.25">
      <c r="A9" s="4"/>
      <c r="B9" s="8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s="1" customFormat="1" x14ac:dyDescent="0.25">
      <c r="A10" s="3" t="s">
        <v>2</v>
      </c>
      <c r="B10" s="9" t="s">
        <v>7</v>
      </c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  <row r="11" spans="1:18" x14ac:dyDescent="0.25">
      <c r="A11" s="4" t="s">
        <v>0</v>
      </c>
      <c r="B11" s="8" t="s">
        <v>8</v>
      </c>
      <c r="C11" s="17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>
        <f>+G37</f>
        <v>873379001.60000002</v>
      </c>
    </row>
    <row r="12" spans="1:18" x14ac:dyDescent="0.25">
      <c r="A12" s="4" t="s">
        <v>2</v>
      </c>
      <c r="B12" s="8" t="s">
        <v>9</v>
      </c>
      <c r="C12" s="17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>
        <f>+R11*0.3</f>
        <v>262013700.47999999</v>
      </c>
    </row>
    <row r="13" spans="1:18" x14ac:dyDescent="0.25">
      <c r="A13" s="4" t="s">
        <v>0</v>
      </c>
      <c r="B13" s="8" t="s">
        <v>28</v>
      </c>
      <c r="C13" s="17"/>
      <c r="D13" s="19">
        <f t="shared" ref="D13:R13" si="4">C47</f>
        <v>1200000000</v>
      </c>
      <c r="E13" s="19">
        <f t="shared" si="4"/>
        <v>1200000000</v>
      </c>
      <c r="F13" s="19">
        <f t="shared" si="4"/>
        <v>1200000000</v>
      </c>
      <c r="G13" s="19">
        <f t="shared" si="4"/>
        <v>1200000000</v>
      </c>
      <c r="H13" s="19">
        <f t="shared" si="4"/>
        <v>1200000000</v>
      </c>
      <c r="I13" s="19">
        <f t="shared" si="4"/>
        <v>1200000000</v>
      </c>
      <c r="J13" s="19">
        <f t="shared" si="4"/>
        <v>1200000000</v>
      </c>
      <c r="K13" s="19">
        <f t="shared" si="4"/>
        <v>1200000000</v>
      </c>
      <c r="L13" s="19">
        <f t="shared" si="4"/>
        <v>1200000000</v>
      </c>
      <c r="M13" s="19">
        <f t="shared" si="4"/>
        <v>1200000000</v>
      </c>
      <c r="N13" s="19">
        <f t="shared" si="4"/>
        <v>1200000000</v>
      </c>
      <c r="O13" s="19">
        <f t="shared" si="4"/>
        <v>1200000000</v>
      </c>
      <c r="P13" s="19">
        <f t="shared" si="4"/>
        <v>1200000000</v>
      </c>
      <c r="Q13" s="19">
        <f t="shared" si="4"/>
        <v>1200000000</v>
      </c>
      <c r="R13" s="19">
        <f t="shared" si="4"/>
        <v>1200000000</v>
      </c>
    </row>
    <row r="14" spans="1:18" x14ac:dyDescent="0.25">
      <c r="A14" s="4" t="s">
        <v>2</v>
      </c>
      <c r="B14" s="8" t="s">
        <v>10</v>
      </c>
      <c r="C14" s="17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ht="15.75" thickBot="1" x14ac:dyDescent="0.3">
      <c r="A15" s="4" t="s">
        <v>0</v>
      </c>
      <c r="B15" s="8" t="s">
        <v>11</v>
      </c>
      <c r="C15" s="22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</row>
    <row r="16" spans="1:18" s="1" customFormat="1" ht="15.75" thickBot="1" x14ac:dyDescent="0.3">
      <c r="A16" s="3"/>
      <c r="B16" s="11" t="s">
        <v>12</v>
      </c>
      <c r="C16" s="28"/>
      <c r="D16" s="29">
        <f t="shared" ref="D16:K16" si="5">D8-D10+D11-D12+D13-D14+D15</f>
        <v>719658608.10666668</v>
      </c>
      <c r="E16" s="29">
        <f t="shared" si="5"/>
        <v>703694703.59466672</v>
      </c>
      <c r="F16" s="29">
        <f t="shared" si="5"/>
        <v>674922964.81194663</v>
      </c>
      <c r="G16" s="29">
        <f t="shared" si="5"/>
        <v>644424921.70226347</v>
      </c>
      <c r="H16" s="29">
        <f t="shared" si="5"/>
        <v>612096996.00599933</v>
      </c>
      <c r="I16" s="29">
        <f t="shared" si="5"/>
        <v>577829394.76795924</v>
      </c>
      <c r="J16" s="29">
        <f t="shared" si="5"/>
        <v>541505737.45563674</v>
      </c>
      <c r="K16" s="29">
        <f t="shared" si="5"/>
        <v>503002660.70457494</v>
      </c>
      <c r="L16" s="29">
        <f t="shared" ref="L16:R16" si="6">L8-L10+L11-L12+L13-L14+L15</f>
        <v>462189399.34844947</v>
      </c>
      <c r="M16" s="29">
        <f t="shared" si="6"/>
        <v>418927342.31095648</v>
      </c>
      <c r="N16" s="29">
        <f t="shared" si="6"/>
        <v>373069561.85121393</v>
      </c>
      <c r="O16" s="29">
        <f t="shared" si="6"/>
        <v>324460314.56388676</v>
      </c>
      <c r="P16" s="29">
        <f t="shared" si="6"/>
        <v>272934512.43931997</v>
      </c>
      <c r="Q16" s="29">
        <f t="shared" si="6"/>
        <v>218317162.18727922</v>
      </c>
      <c r="R16" s="29">
        <f t="shared" si="6"/>
        <v>771788072.04011595</v>
      </c>
    </row>
    <row r="17" spans="1:18" x14ac:dyDescent="0.25">
      <c r="A17" s="4"/>
      <c r="B17" s="8"/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1:18" x14ac:dyDescent="0.25">
      <c r="A18" s="4" t="s">
        <v>0</v>
      </c>
      <c r="B18" s="8" t="s">
        <v>5</v>
      </c>
      <c r="C18" s="17"/>
      <c r="D18" s="19">
        <f>D7</f>
        <v>16776316.693333335</v>
      </c>
      <c r="E18" s="19">
        <f>+$D$18</f>
        <v>16776316.693333335</v>
      </c>
      <c r="F18" s="19">
        <f t="shared" ref="F18:R18" si="7">+$D$18</f>
        <v>16776316.693333335</v>
      </c>
      <c r="G18" s="19">
        <f t="shared" si="7"/>
        <v>16776316.693333335</v>
      </c>
      <c r="H18" s="19">
        <f t="shared" si="7"/>
        <v>16776316.693333335</v>
      </c>
      <c r="I18" s="19">
        <f t="shared" si="7"/>
        <v>16776316.693333335</v>
      </c>
      <c r="J18" s="19">
        <f t="shared" si="7"/>
        <v>16776316.693333335</v>
      </c>
      <c r="K18" s="19">
        <f t="shared" si="7"/>
        <v>16776316.693333335</v>
      </c>
      <c r="L18" s="19">
        <f t="shared" si="7"/>
        <v>16776316.693333335</v>
      </c>
      <c r="M18" s="19">
        <f t="shared" si="7"/>
        <v>16776316.693333335</v>
      </c>
      <c r="N18" s="19">
        <f t="shared" si="7"/>
        <v>16776316.693333335</v>
      </c>
      <c r="O18" s="19">
        <f t="shared" si="7"/>
        <v>16776316.693333335</v>
      </c>
      <c r="P18" s="19">
        <f t="shared" si="7"/>
        <v>16776316.693333335</v>
      </c>
      <c r="Q18" s="19">
        <f t="shared" si="7"/>
        <v>16776316.693333335</v>
      </c>
      <c r="R18" s="19">
        <f t="shared" si="7"/>
        <v>16776316.693333335</v>
      </c>
    </row>
    <row r="19" spans="1:18" x14ac:dyDescent="0.25">
      <c r="A19" s="4" t="s">
        <v>0</v>
      </c>
      <c r="B19" s="8" t="s">
        <v>13</v>
      </c>
      <c r="C19" s="17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</row>
    <row r="20" spans="1:18" x14ac:dyDescent="0.25">
      <c r="A20" s="4" t="s">
        <v>2</v>
      </c>
      <c r="B20" s="8" t="s">
        <v>14</v>
      </c>
      <c r="C20" s="1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 x14ac:dyDescent="0.25">
      <c r="A21" s="4" t="s">
        <v>2</v>
      </c>
      <c r="B21" s="8" t="s">
        <v>15</v>
      </c>
      <c r="C21" s="17">
        <f>+C40</f>
        <v>1438331752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</row>
    <row r="22" spans="1:18" x14ac:dyDescent="0.25">
      <c r="A22" s="4" t="s">
        <v>0</v>
      </c>
      <c r="B22" s="8" t="s">
        <v>16</v>
      </c>
      <c r="C22" s="17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</row>
    <row r="23" spans="1:18" x14ac:dyDescent="0.25">
      <c r="A23" s="4" t="s">
        <v>2</v>
      </c>
      <c r="B23" s="8" t="s">
        <v>17</v>
      </c>
      <c r="C23" s="17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</row>
    <row r="24" spans="1:18" x14ac:dyDescent="0.25">
      <c r="A24" s="4" t="s">
        <v>0</v>
      </c>
      <c r="B24" s="8" t="s">
        <v>18</v>
      </c>
      <c r="C24" s="17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18" ht="15.75" thickBot="1" x14ac:dyDescent="0.3">
      <c r="A25" s="4" t="s">
        <v>2</v>
      </c>
      <c r="B25" s="8" t="s">
        <v>19</v>
      </c>
      <c r="C25" s="22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</row>
    <row r="26" spans="1:18" ht="15.75" thickBot="1" x14ac:dyDescent="0.3">
      <c r="A26" s="6"/>
      <c r="B26" s="12" t="s">
        <v>20</v>
      </c>
      <c r="C26" s="32">
        <f>C16+C18+C19-C20-C21+C22-C23+C24-C25</f>
        <v>-1438331752</v>
      </c>
      <c r="D26" s="33">
        <f t="shared" ref="D26:K26" si="8">D16+D18+D19-D20-D21+D22-D23+D24-D25</f>
        <v>736434924.80000007</v>
      </c>
      <c r="E26" s="33">
        <f t="shared" si="8"/>
        <v>720471020.28800011</v>
      </c>
      <c r="F26" s="33">
        <f t="shared" si="8"/>
        <v>691699281.50528002</v>
      </c>
      <c r="G26" s="33">
        <f t="shared" si="8"/>
        <v>661201238.39559686</v>
      </c>
      <c r="H26" s="33">
        <f t="shared" si="8"/>
        <v>628873312.69933271</v>
      </c>
      <c r="I26" s="33">
        <f t="shared" si="8"/>
        <v>594605711.46129262</v>
      </c>
      <c r="J26" s="33">
        <f t="shared" si="8"/>
        <v>558282054.14897013</v>
      </c>
      <c r="K26" s="33">
        <f t="shared" si="8"/>
        <v>519778977.39790827</v>
      </c>
      <c r="L26" s="33">
        <f t="shared" ref="L26:R26" si="9">L16+L18+L19-L20-L21+L22-L23+L24-L25</f>
        <v>478965716.0417828</v>
      </c>
      <c r="M26" s="33">
        <f t="shared" si="9"/>
        <v>435703659.00428981</v>
      </c>
      <c r="N26" s="33">
        <f t="shared" si="9"/>
        <v>389845878.54454726</v>
      </c>
      <c r="O26" s="33">
        <f t="shared" si="9"/>
        <v>341236631.25722009</v>
      </c>
      <c r="P26" s="33">
        <f t="shared" si="9"/>
        <v>289710829.1326533</v>
      </c>
      <c r="Q26" s="33">
        <f t="shared" si="9"/>
        <v>235093478.88061255</v>
      </c>
      <c r="R26" s="33">
        <f t="shared" si="9"/>
        <v>788564388.73344934</v>
      </c>
    </row>
    <row r="27" spans="1:18" ht="15.75" thickBot="1" x14ac:dyDescent="0.3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8" s="1" customFormat="1" x14ac:dyDescent="0.25">
      <c r="A28" s="34"/>
      <c r="B28" s="39"/>
      <c r="C28" s="39"/>
      <c r="D28" s="39"/>
      <c r="E28" s="39"/>
      <c r="F28" s="40" t="s">
        <v>26</v>
      </c>
      <c r="G28" s="40" t="s">
        <v>209</v>
      </c>
      <c r="H28" s="40" t="s">
        <v>210</v>
      </c>
      <c r="I28" s="40" t="s">
        <v>211</v>
      </c>
      <c r="J28" s="40" t="s">
        <v>212</v>
      </c>
      <c r="K28" s="39"/>
      <c r="L28" s="39"/>
      <c r="M28" s="41"/>
      <c r="N28" s="41"/>
      <c r="O28" s="41"/>
      <c r="P28" s="41"/>
      <c r="Q28" s="41"/>
    </row>
    <row r="29" spans="1:18" s="1" customFormat="1" x14ac:dyDescent="0.25">
      <c r="A29" s="34"/>
      <c r="B29" s="42" t="s">
        <v>215</v>
      </c>
      <c r="C29" s="42" t="s">
        <v>23</v>
      </c>
      <c r="D29" s="43" t="s">
        <v>34</v>
      </c>
      <c r="E29" s="39"/>
      <c r="F29" s="44">
        <f>NPV(0.1,D26:R26)+C26</f>
        <v>3004046722.3274984</v>
      </c>
      <c r="G29" s="44">
        <f>NPV(0.2,D26:R26)+C26</f>
        <v>1473905106.4382768</v>
      </c>
      <c r="H29" s="44">
        <f>NPV(0.3,D26:R26)+C26</f>
        <v>690179571.35563135</v>
      </c>
      <c r="I29" s="44">
        <f>NPV(0.4,D26:R26)+C26</f>
        <v>228279583.91099215</v>
      </c>
      <c r="J29" s="44">
        <f>NPV(0.5,D26:R26)+C26</f>
        <v>-72391845.547000885</v>
      </c>
      <c r="K29" s="39"/>
      <c r="L29" s="39"/>
      <c r="M29" s="41"/>
      <c r="N29" s="41"/>
      <c r="O29" s="41"/>
      <c r="P29" s="41"/>
      <c r="Q29" s="41"/>
    </row>
    <row r="30" spans="1:18" s="1" customFormat="1" x14ac:dyDescent="0.25">
      <c r="A30" s="34"/>
      <c r="B30" s="45" t="s">
        <v>27</v>
      </c>
      <c r="C30" s="45">
        <v>0</v>
      </c>
      <c r="D30" s="46" t="s">
        <v>33</v>
      </c>
      <c r="E30" s="39"/>
      <c r="F30" s="47" t="s">
        <v>21</v>
      </c>
      <c r="G30" s="47" t="s">
        <v>21</v>
      </c>
      <c r="H30" s="47" t="s">
        <v>21</v>
      </c>
      <c r="I30" s="47" t="s">
        <v>21</v>
      </c>
      <c r="J30" s="47" t="s">
        <v>21</v>
      </c>
      <c r="K30" s="39"/>
      <c r="L30" s="39"/>
      <c r="M30" s="41"/>
      <c r="N30" s="41"/>
      <c r="O30" s="41"/>
      <c r="P30" s="41"/>
      <c r="Q30" s="41"/>
    </row>
    <row r="31" spans="1:18" s="1" customFormat="1" ht="15.75" thickBot="1" x14ac:dyDescent="0.3">
      <c r="A31" s="34"/>
      <c r="B31" s="45" t="s">
        <v>30</v>
      </c>
      <c r="C31" s="45">
        <v>100000000</v>
      </c>
      <c r="D31" s="46" t="s">
        <v>33</v>
      </c>
      <c r="E31" s="39"/>
      <c r="F31" s="48">
        <f>IRR(C26:R26)</f>
        <v>0.47219885237639825</v>
      </c>
      <c r="G31" s="48">
        <f>IRR(C26:R26)</f>
        <v>0.47219885237639825</v>
      </c>
      <c r="H31" s="48">
        <f>IRR(C26:R26)</f>
        <v>0.47219885237639825</v>
      </c>
      <c r="I31" s="48">
        <f>IRR(C26:R26)</f>
        <v>0.47219885237639825</v>
      </c>
      <c r="J31" s="48">
        <f>IRR(C26:R26)</f>
        <v>0.47219885237639825</v>
      </c>
      <c r="K31" s="39"/>
      <c r="L31" s="39"/>
      <c r="M31" s="41"/>
      <c r="N31" s="41"/>
      <c r="O31" s="41"/>
      <c r="P31" s="41"/>
      <c r="Q31" s="41"/>
    </row>
    <row r="32" spans="1:18" s="1" customFormat="1" x14ac:dyDescent="0.25">
      <c r="A32" s="34"/>
      <c r="B32" s="45" t="s">
        <v>29</v>
      </c>
      <c r="C32" s="45">
        <v>0</v>
      </c>
      <c r="D32" s="46" t="s">
        <v>33</v>
      </c>
      <c r="E32" s="53"/>
      <c r="F32" s="53"/>
      <c r="G32" s="53"/>
      <c r="H32" s="53"/>
      <c r="I32" s="53"/>
      <c r="J32" s="39"/>
      <c r="K32" s="39"/>
      <c r="L32" s="39"/>
      <c r="M32" s="41"/>
      <c r="N32" s="41"/>
      <c r="O32" s="41"/>
      <c r="P32" s="41"/>
      <c r="Q32" s="41"/>
    </row>
    <row r="33" spans="1:17" s="1" customFormat="1" x14ac:dyDescent="0.25">
      <c r="A33" s="34"/>
      <c r="B33" s="45" t="s">
        <v>22</v>
      </c>
      <c r="C33" s="45">
        <f>+C30+C31+C32</f>
        <v>100000000</v>
      </c>
      <c r="D33" s="46" t="s">
        <v>33</v>
      </c>
      <c r="E33" s="39"/>
      <c r="F33" s="39"/>
      <c r="G33" s="53"/>
      <c r="H33" s="39"/>
      <c r="I33" s="39"/>
      <c r="J33" s="39"/>
      <c r="K33" s="39"/>
      <c r="L33" s="39"/>
      <c r="M33" s="41"/>
      <c r="N33" s="41"/>
      <c r="O33" s="41"/>
      <c r="P33" s="41"/>
      <c r="Q33" s="41"/>
    </row>
    <row r="34" spans="1:17" s="1" customFormat="1" ht="15" customHeight="1" x14ac:dyDescent="0.25">
      <c r="A34" s="34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41"/>
      <c r="N34" s="41"/>
      <c r="O34" s="41"/>
      <c r="P34" s="41"/>
      <c r="Q34" s="41"/>
    </row>
    <row r="35" spans="1:17" x14ac:dyDescent="0.25">
      <c r="A35" s="35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13"/>
      <c r="N35" s="13"/>
      <c r="O35" s="13"/>
      <c r="P35" s="13"/>
      <c r="Q35" s="13"/>
    </row>
    <row r="36" spans="1:17" x14ac:dyDescent="0.25">
      <c r="A36" s="35"/>
      <c r="B36" s="42" t="s">
        <v>220</v>
      </c>
      <c r="C36" s="49" t="s">
        <v>23</v>
      </c>
      <c r="D36" s="43" t="s">
        <v>34</v>
      </c>
      <c r="E36" s="37"/>
      <c r="F36" s="42" t="s">
        <v>220</v>
      </c>
      <c r="G36" s="49" t="s">
        <v>23</v>
      </c>
      <c r="H36" s="43" t="s">
        <v>34</v>
      </c>
      <c r="I36" s="37"/>
      <c r="J36" s="37"/>
      <c r="K36" s="37"/>
      <c r="L36" s="37"/>
      <c r="M36" s="13"/>
      <c r="N36" s="13"/>
      <c r="O36" s="13"/>
      <c r="P36" s="13"/>
      <c r="Q36" s="13"/>
    </row>
    <row r="37" spans="1:17" x14ac:dyDescent="0.25">
      <c r="A37" s="35"/>
      <c r="B37" s="45" t="s">
        <v>223</v>
      </c>
      <c r="C37" s="45">
        <v>463565075.19999999</v>
      </c>
      <c r="D37" s="46" t="s">
        <v>33</v>
      </c>
      <c r="E37" s="37"/>
      <c r="F37" s="45" t="s">
        <v>221</v>
      </c>
      <c r="G37" s="45">
        <f>+G40-R53</f>
        <v>873379001.60000002</v>
      </c>
      <c r="H37" s="46" t="s">
        <v>33</v>
      </c>
      <c r="I37" s="37"/>
      <c r="J37" s="37"/>
      <c r="K37" s="37"/>
      <c r="L37" s="37"/>
      <c r="M37" s="13"/>
      <c r="N37" s="13"/>
      <c r="O37" s="13"/>
      <c r="P37" s="13"/>
      <c r="Q37" s="13"/>
    </row>
    <row r="38" spans="1:17" x14ac:dyDescent="0.25">
      <c r="A38" s="35"/>
      <c r="B38" s="39" t="s">
        <v>224</v>
      </c>
      <c r="C38" s="39">
        <f>+C37-'COSTOS&amp;GASTOS'!F25</f>
        <v>451715075.19999999</v>
      </c>
      <c r="D38" s="46" t="s">
        <v>33</v>
      </c>
      <c r="E38" s="37"/>
      <c r="F38" s="37"/>
      <c r="G38" s="37"/>
      <c r="H38" s="37"/>
      <c r="I38" s="37"/>
      <c r="J38" s="37"/>
      <c r="K38" s="37"/>
      <c r="L38" s="37"/>
      <c r="M38" s="13"/>
      <c r="N38" s="13"/>
      <c r="O38" s="13"/>
      <c r="P38" s="13"/>
      <c r="Q38" s="13"/>
    </row>
    <row r="39" spans="1:17" x14ac:dyDescent="0.25">
      <c r="A39" s="35"/>
      <c r="B39" s="49" t="s">
        <v>24</v>
      </c>
      <c r="C39" s="49" t="s">
        <v>23</v>
      </c>
      <c r="D39" s="43" t="s">
        <v>34</v>
      </c>
      <c r="E39" s="37"/>
      <c r="F39" s="151" t="s">
        <v>142</v>
      </c>
      <c r="G39" s="151" t="s">
        <v>23</v>
      </c>
      <c r="H39" s="37"/>
      <c r="I39" s="37"/>
      <c r="J39" s="37"/>
      <c r="K39" s="37"/>
      <c r="L39" s="37"/>
      <c r="M39" s="13"/>
      <c r="N39" s="13"/>
      <c r="O39" s="13"/>
      <c r="P39" s="13"/>
      <c r="Q39" s="13"/>
    </row>
    <row r="40" spans="1:17" x14ac:dyDescent="0.25">
      <c r="A40" s="35"/>
      <c r="B40" s="45" t="s">
        <v>25</v>
      </c>
      <c r="C40" s="45">
        <v>1438331752</v>
      </c>
      <c r="D40" s="46" t="s">
        <v>33</v>
      </c>
      <c r="E40" s="37"/>
      <c r="F40" s="153" t="s">
        <v>213</v>
      </c>
      <c r="G40" s="153">
        <v>1091723752</v>
      </c>
      <c r="H40" s="37"/>
      <c r="I40" s="37"/>
      <c r="J40" s="37"/>
      <c r="K40" s="37"/>
      <c r="L40" s="37"/>
      <c r="M40" s="13"/>
      <c r="N40" s="13"/>
      <c r="O40" s="13"/>
      <c r="P40" s="13"/>
      <c r="Q40" s="13"/>
    </row>
    <row r="41" spans="1:17" x14ac:dyDescent="0.25">
      <c r="A41" s="35"/>
      <c r="B41" s="50"/>
      <c r="C41" s="50"/>
      <c r="D41" s="37"/>
      <c r="E41" s="37"/>
      <c r="F41" s="153" t="s">
        <v>216</v>
      </c>
      <c r="G41" s="153">
        <v>72781583.466666669</v>
      </c>
      <c r="H41" s="37"/>
      <c r="I41" s="37"/>
      <c r="J41" s="37"/>
      <c r="K41" s="37"/>
      <c r="L41" s="37"/>
      <c r="M41" s="13"/>
      <c r="N41" s="13"/>
      <c r="O41" s="13"/>
      <c r="P41" s="13"/>
      <c r="Q41" s="13"/>
    </row>
    <row r="42" spans="1:17" x14ac:dyDescent="0.25">
      <c r="A42" s="35"/>
      <c r="B42" s="49" t="s">
        <v>35</v>
      </c>
      <c r="C42" s="49" t="s">
        <v>23</v>
      </c>
      <c r="D42" s="43" t="s">
        <v>34</v>
      </c>
      <c r="E42" s="37"/>
      <c r="F42" s="153" t="s">
        <v>217</v>
      </c>
      <c r="G42" s="153">
        <v>14556316.693333335</v>
      </c>
      <c r="H42" s="37"/>
      <c r="I42" s="37"/>
      <c r="J42" s="37"/>
      <c r="K42" s="37"/>
      <c r="L42" s="37"/>
      <c r="M42" s="13"/>
      <c r="N42" s="13"/>
      <c r="O42" s="13"/>
      <c r="P42" s="13"/>
      <c r="Q42" s="13"/>
    </row>
    <row r="43" spans="1:17" x14ac:dyDescent="0.25">
      <c r="A43" s="35"/>
      <c r="B43" s="51" t="s">
        <v>36</v>
      </c>
      <c r="C43" s="46">
        <v>15</v>
      </c>
      <c r="D43" s="46" t="s">
        <v>31</v>
      </c>
      <c r="E43" s="37"/>
      <c r="F43" s="37"/>
      <c r="G43" s="37"/>
      <c r="H43" s="37"/>
      <c r="I43" s="37"/>
      <c r="J43" s="37"/>
      <c r="K43" s="37"/>
      <c r="L43" s="37"/>
      <c r="M43" s="13"/>
      <c r="N43" s="13"/>
      <c r="O43" s="13"/>
      <c r="P43" s="13"/>
      <c r="Q43" s="13"/>
    </row>
    <row r="44" spans="1:17" x14ac:dyDescent="0.25">
      <c r="A44" s="35"/>
      <c r="B44" s="51" t="s">
        <v>32</v>
      </c>
      <c r="C44" s="45">
        <f>+'COSTOS&amp;GASTOS'!N54</f>
        <v>16776316.693333335</v>
      </c>
      <c r="D44" s="46" t="s">
        <v>33</v>
      </c>
      <c r="E44" s="37"/>
      <c r="F44" s="37"/>
      <c r="G44" s="37"/>
      <c r="H44" s="37"/>
      <c r="I44" s="37"/>
      <c r="J44" s="37"/>
      <c r="K44" s="37"/>
      <c r="L44" s="37"/>
      <c r="M44" s="13"/>
      <c r="N44" s="13"/>
      <c r="O44" s="13"/>
      <c r="P44" s="13"/>
      <c r="Q44" s="13"/>
    </row>
    <row r="45" spans="1:17" x14ac:dyDescent="0.25">
      <c r="A45" s="35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13"/>
      <c r="N45" s="13"/>
      <c r="O45" s="13"/>
      <c r="P45" s="13"/>
      <c r="Q45" s="13"/>
    </row>
    <row r="46" spans="1:17" x14ac:dyDescent="0.25">
      <c r="A46" s="35"/>
      <c r="B46" s="49" t="s">
        <v>37</v>
      </c>
      <c r="C46" s="49" t="s">
        <v>38</v>
      </c>
      <c r="D46" s="49" t="s">
        <v>39</v>
      </c>
      <c r="E46" s="49" t="s">
        <v>40</v>
      </c>
      <c r="F46" s="49" t="s">
        <v>41</v>
      </c>
      <c r="G46" s="49" t="s">
        <v>42</v>
      </c>
      <c r="H46" s="49" t="s">
        <v>43</v>
      </c>
      <c r="I46" s="49" t="s">
        <v>44</v>
      </c>
      <c r="J46" s="49" t="s">
        <v>45</v>
      </c>
      <c r="K46" s="49" t="s">
        <v>46</v>
      </c>
      <c r="L46" s="49" t="s">
        <v>47</v>
      </c>
      <c r="M46" s="49" t="s">
        <v>48</v>
      </c>
      <c r="N46" s="49" t="s">
        <v>49</v>
      </c>
      <c r="O46" s="49" t="s">
        <v>50</v>
      </c>
      <c r="P46" s="49" t="s">
        <v>51</v>
      </c>
      <c r="Q46" s="49" t="s">
        <v>52</v>
      </c>
    </row>
    <row r="47" spans="1:17" x14ac:dyDescent="0.25">
      <c r="A47" s="35"/>
      <c r="B47" s="45" t="s">
        <v>207</v>
      </c>
      <c r="C47" s="52">
        <f>+C31*12</f>
        <v>1200000000</v>
      </c>
      <c r="D47" s="52">
        <f>+$C$47</f>
        <v>1200000000</v>
      </c>
      <c r="E47" s="52">
        <f t="shared" ref="E47:Q47" si="10">+$C$47</f>
        <v>1200000000</v>
      </c>
      <c r="F47" s="52">
        <f t="shared" si="10"/>
        <v>1200000000</v>
      </c>
      <c r="G47" s="52">
        <f t="shared" si="10"/>
        <v>1200000000</v>
      </c>
      <c r="H47" s="52">
        <f t="shared" si="10"/>
        <v>1200000000</v>
      </c>
      <c r="I47" s="52">
        <f t="shared" si="10"/>
        <v>1200000000</v>
      </c>
      <c r="J47" s="52">
        <f t="shared" si="10"/>
        <v>1200000000</v>
      </c>
      <c r="K47" s="52">
        <f t="shared" si="10"/>
        <v>1200000000</v>
      </c>
      <c r="L47" s="52">
        <f t="shared" si="10"/>
        <v>1200000000</v>
      </c>
      <c r="M47" s="52">
        <f t="shared" si="10"/>
        <v>1200000000</v>
      </c>
      <c r="N47" s="52">
        <f t="shared" si="10"/>
        <v>1200000000</v>
      </c>
      <c r="O47" s="52">
        <f t="shared" si="10"/>
        <v>1200000000</v>
      </c>
      <c r="P47" s="52">
        <f t="shared" si="10"/>
        <v>1200000000</v>
      </c>
      <c r="Q47" s="52">
        <f t="shared" si="10"/>
        <v>1200000000</v>
      </c>
    </row>
    <row r="48" spans="1:17" x14ac:dyDescent="0.25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13"/>
      <c r="N48" s="13"/>
      <c r="O48" s="13"/>
      <c r="P48" s="13"/>
      <c r="Q48" s="13"/>
    </row>
    <row r="49" spans="2:18" x14ac:dyDescent="0.25">
      <c r="B49" s="49" t="s">
        <v>208</v>
      </c>
      <c r="C49" s="49" t="s">
        <v>38</v>
      </c>
      <c r="D49" s="49" t="s">
        <v>39</v>
      </c>
      <c r="E49" s="49" t="s">
        <v>40</v>
      </c>
      <c r="F49" s="49" t="s">
        <v>41</v>
      </c>
      <c r="G49" s="49" t="s">
        <v>42</v>
      </c>
      <c r="H49" s="49" t="s">
        <v>43</v>
      </c>
      <c r="I49" s="49" t="s">
        <v>44</v>
      </c>
      <c r="J49" s="49" t="s">
        <v>45</v>
      </c>
      <c r="K49" s="49" t="s">
        <v>46</v>
      </c>
      <c r="L49" s="49" t="s">
        <v>47</v>
      </c>
      <c r="M49" s="49" t="s">
        <v>48</v>
      </c>
      <c r="N49" s="49" t="s">
        <v>49</v>
      </c>
      <c r="O49" s="49" t="s">
        <v>50</v>
      </c>
      <c r="P49" s="49" t="s">
        <v>51</v>
      </c>
      <c r="Q49" s="49" t="s">
        <v>52</v>
      </c>
    </row>
    <row r="50" spans="2:18" x14ac:dyDescent="0.25">
      <c r="B50" s="46" t="s">
        <v>53</v>
      </c>
      <c r="C50" s="45">
        <f>+C37</f>
        <v>463565075.19999999</v>
      </c>
      <c r="D50" s="52">
        <f>+C38+C50*0.06</f>
        <v>479528979.71200001</v>
      </c>
      <c r="E50" s="52">
        <f t="shared" ref="E50:Q50" si="11">+D50*0.06+D50</f>
        <v>508300718.49471998</v>
      </c>
      <c r="F50" s="52">
        <f t="shared" si="11"/>
        <v>538798761.60440314</v>
      </c>
      <c r="G50" s="52">
        <f t="shared" si="11"/>
        <v>571126687.30066729</v>
      </c>
      <c r="H50" s="52">
        <f t="shared" si="11"/>
        <v>605394288.53870738</v>
      </c>
      <c r="I50" s="52">
        <f t="shared" si="11"/>
        <v>641717945.85102987</v>
      </c>
      <c r="J50" s="52">
        <f t="shared" si="11"/>
        <v>680221022.60209167</v>
      </c>
      <c r="K50" s="52">
        <f t="shared" si="11"/>
        <v>721034283.95821714</v>
      </c>
      <c r="L50" s="52">
        <f t="shared" si="11"/>
        <v>764296340.99571013</v>
      </c>
      <c r="M50" s="52">
        <f t="shared" si="11"/>
        <v>810154121.45545268</v>
      </c>
      <c r="N50" s="52">
        <f t="shared" si="11"/>
        <v>858763368.74277985</v>
      </c>
      <c r="O50" s="52">
        <f t="shared" si="11"/>
        <v>910289170.86734664</v>
      </c>
      <c r="P50" s="52">
        <f t="shared" si="11"/>
        <v>964906521.11938739</v>
      </c>
      <c r="Q50" s="52">
        <f t="shared" si="11"/>
        <v>1022800912.3865507</v>
      </c>
    </row>
    <row r="51" spans="2:18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</row>
    <row r="52" spans="2:18" x14ac:dyDescent="0.25">
      <c r="B52" s="49" t="s">
        <v>5</v>
      </c>
      <c r="C52" s="49" t="s">
        <v>38</v>
      </c>
      <c r="D52" s="49" t="s">
        <v>39</v>
      </c>
      <c r="E52" s="49" t="s">
        <v>40</v>
      </c>
      <c r="F52" s="49" t="s">
        <v>41</v>
      </c>
      <c r="G52" s="49" t="s">
        <v>42</v>
      </c>
      <c r="H52" s="49" t="s">
        <v>43</v>
      </c>
      <c r="I52" s="49" t="s">
        <v>44</v>
      </c>
      <c r="J52" s="49" t="s">
        <v>45</v>
      </c>
      <c r="K52" s="49" t="s">
        <v>46</v>
      </c>
      <c r="L52" s="49" t="s">
        <v>47</v>
      </c>
      <c r="M52" s="49" t="s">
        <v>48</v>
      </c>
      <c r="N52" s="49" t="s">
        <v>49</v>
      </c>
      <c r="O52" s="49" t="s">
        <v>50</v>
      </c>
      <c r="P52" s="49" t="s">
        <v>51</v>
      </c>
      <c r="Q52" s="49" t="s">
        <v>52</v>
      </c>
    </row>
    <row r="53" spans="2:18" x14ac:dyDescent="0.25">
      <c r="B53" s="46" t="s">
        <v>222</v>
      </c>
      <c r="C53" s="45">
        <f>+G42</f>
        <v>14556316.693333335</v>
      </c>
      <c r="D53" s="52">
        <f>+$C$53</f>
        <v>14556316.693333335</v>
      </c>
      <c r="E53" s="52">
        <f t="shared" ref="E53:Q53" si="12">+$C$53</f>
        <v>14556316.693333335</v>
      </c>
      <c r="F53" s="52">
        <f t="shared" si="12"/>
        <v>14556316.693333335</v>
      </c>
      <c r="G53" s="52">
        <f t="shared" si="12"/>
        <v>14556316.693333335</v>
      </c>
      <c r="H53" s="52">
        <f t="shared" si="12"/>
        <v>14556316.693333335</v>
      </c>
      <c r="I53" s="52">
        <f t="shared" si="12"/>
        <v>14556316.693333335</v>
      </c>
      <c r="J53" s="52">
        <f t="shared" si="12"/>
        <v>14556316.693333335</v>
      </c>
      <c r="K53" s="52">
        <f t="shared" si="12"/>
        <v>14556316.693333335</v>
      </c>
      <c r="L53" s="52">
        <f t="shared" si="12"/>
        <v>14556316.693333335</v>
      </c>
      <c r="M53" s="52">
        <f t="shared" si="12"/>
        <v>14556316.693333335</v>
      </c>
      <c r="N53" s="52">
        <f t="shared" si="12"/>
        <v>14556316.693333335</v>
      </c>
      <c r="O53" s="52">
        <f t="shared" si="12"/>
        <v>14556316.693333335</v>
      </c>
      <c r="P53" s="52">
        <f t="shared" si="12"/>
        <v>14556316.693333335</v>
      </c>
      <c r="Q53" s="52">
        <f t="shared" si="12"/>
        <v>14556316.693333335</v>
      </c>
      <c r="R53" s="1">
        <f>SUM(C53:Q53)</f>
        <v>218344750.39999995</v>
      </c>
    </row>
    <row r="54" spans="2:18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18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</row>
    <row r="56" spans="2:18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</row>
    <row r="57" spans="2:18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</row>
    <row r="58" spans="2:18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</row>
    <row r="59" spans="2:18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</row>
    <row r="60" spans="2:18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</row>
  </sheetData>
  <mergeCells count="1">
    <mergeCell ref="C1:R1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E275D-9751-4425-B2FF-9318D32B4B98}">
  <dimension ref="A1:R60"/>
  <sheetViews>
    <sheetView zoomScale="70" zoomScaleNormal="70" workbookViewId="0">
      <selection activeCell="B2" sqref="B2"/>
    </sheetView>
  </sheetViews>
  <sheetFormatPr baseColWidth="10" defaultColWidth="11.5703125" defaultRowHeight="15" x14ac:dyDescent="0.25"/>
  <cols>
    <col min="1" max="1" width="2.85546875" customWidth="1"/>
    <col min="2" max="2" width="41.42578125" customWidth="1"/>
    <col min="3" max="3" width="16.140625" bestFit="1" customWidth="1"/>
    <col min="4" max="4" width="14.28515625" customWidth="1"/>
    <col min="5" max="5" width="13" customWidth="1"/>
    <col min="6" max="6" width="19.7109375" customWidth="1"/>
    <col min="7" max="7" width="17.5703125" bestFit="1" customWidth="1"/>
    <col min="8" max="8" width="13.5703125" customWidth="1"/>
    <col min="9" max="10" width="13.28515625" bestFit="1" customWidth="1"/>
    <col min="11" max="11" width="13.28515625" customWidth="1"/>
    <col min="12" max="12" width="13.7109375" customWidth="1"/>
    <col min="13" max="13" width="13" customWidth="1"/>
    <col min="14" max="16" width="13.28515625" bestFit="1" customWidth="1"/>
    <col min="17" max="17" width="14.28515625" customWidth="1"/>
    <col min="18" max="18" width="13.140625" bestFit="1" customWidth="1"/>
  </cols>
  <sheetData>
    <row r="1" spans="1:18" ht="15.75" thickBot="1" x14ac:dyDescent="0.3">
      <c r="B1" s="38" t="s">
        <v>56</v>
      </c>
      <c r="C1" s="172" t="s">
        <v>54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1:18" x14ac:dyDescent="0.25">
      <c r="A2" s="7"/>
      <c r="B2" s="14"/>
      <c r="C2" s="15">
        <v>0</v>
      </c>
      <c r="D2" s="16">
        <v>1</v>
      </c>
      <c r="E2" s="16">
        <v>2</v>
      </c>
      <c r="F2" s="16">
        <v>3</v>
      </c>
      <c r="G2" s="16">
        <v>4</v>
      </c>
      <c r="H2" s="16">
        <v>5</v>
      </c>
      <c r="I2" s="16">
        <v>6</v>
      </c>
      <c r="J2" s="16">
        <v>7</v>
      </c>
      <c r="K2" s="16">
        <v>8</v>
      </c>
      <c r="L2" s="16">
        <v>9</v>
      </c>
      <c r="M2" s="16">
        <v>10</v>
      </c>
      <c r="N2" s="16">
        <v>11</v>
      </c>
      <c r="O2" s="16">
        <v>12</v>
      </c>
      <c r="P2" s="16">
        <v>13</v>
      </c>
      <c r="Q2" s="16">
        <v>14</v>
      </c>
      <c r="R2" s="16">
        <v>15</v>
      </c>
    </row>
    <row r="3" spans="1:18" x14ac:dyDescent="0.25">
      <c r="A3" s="4" t="s">
        <v>0</v>
      </c>
      <c r="B3" s="8" t="s">
        <v>214</v>
      </c>
      <c r="C3" s="17"/>
      <c r="D3" s="18">
        <f>+C30</f>
        <v>450000000</v>
      </c>
      <c r="E3" s="18">
        <f>+$D$3</f>
        <v>450000000</v>
      </c>
      <c r="F3" s="18">
        <f t="shared" ref="F3:H3" si="0">+$D$3</f>
        <v>450000000</v>
      </c>
      <c r="G3" s="18">
        <f t="shared" si="0"/>
        <v>450000000</v>
      </c>
      <c r="H3" s="18">
        <f t="shared" si="0"/>
        <v>450000000</v>
      </c>
      <c r="I3" s="18"/>
      <c r="J3" s="18"/>
      <c r="K3" s="18"/>
      <c r="L3" s="18"/>
      <c r="M3" s="18"/>
      <c r="N3" s="18"/>
      <c r="O3" s="18"/>
      <c r="P3" s="18"/>
      <c r="Q3" s="18"/>
      <c r="R3" s="18"/>
    </row>
    <row r="4" spans="1:18" x14ac:dyDescent="0.25">
      <c r="A4" s="4" t="s">
        <v>0</v>
      </c>
      <c r="B4" s="8" t="s">
        <v>1</v>
      </c>
      <c r="C4" s="17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s="1" customFormat="1" x14ac:dyDescent="0.25">
      <c r="A5" s="3" t="s">
        <v>2</v>
      </c>
      <c r="B5" s="9" t="s">
        <v>3</v>
      </c>
      <c r="C5" s="20"/>
      <c r="D5" s="21">
        <f t="shared" ref="D5:R5" si="1">C50</f>
        <v>463565075.19999999</v>
      </c>
      <c r="E5" s="21">
        <f t="shared" si="1"/>
        <v>479528979.71200001</v>
      </c>
      <c r="F5" s="21">
        <f t="shared" si="1"/>
        <v>508300718.49471998</v>
      </c>
      <c r="G5" s="21">
        <f t="shared" si="1"/>
        <v>538798761.60440314</v>
      </c>
      <c r="H5" s="21">
        <f t="shared" si="1"/>
        <v>571126687.30066729</v>
      </c>
      <c r="I5" s="21">
        <f t="shared" si="1"/>
        <v>605394288.53870738</v>
      </c>
      <c r="J5" s="21">
        <f t="shared" si="1"/>
        <v>641717945.85102987</v>
      </c>
      <c r="K5" s="21">
        <f t="shared" si="1"/>
        <v>680221022.60209167</v>
      </c>
      <c r="L5" s="21">
        <f t="shared" si="1"/>
        <v>721034283.95821714</v>
      </c>
      <c r="M5" s="21">
        <f t="shared" si="1"/>
        <v>764296340.99571013</v>
      </c>
      <c r="N5" s="21">
        <f t="shared" si="1"/>
        <v>810154121.45545268</v>
      </c>
      <c r="O5" s="21">
        <f t="shared" si="1"/>
        <v>858763368.74277985</v>
      </c>
      <c r="P5" s="21">
        <f t="shared" si="1"/>
        <v>910289170.86734664</v>
      </c>
      <c r="Q5" s="21">
        <f t="shared" si="1"/>
        <v>964906521.11938739</v>
      </c>
      <c r="R5" s="21">
        <f t="shared" si="1"/>
        <v>1022800912.3865507</v>
      </c>
    </row>
    <row r="6" spans="1:18" s="1" customFormat="1" x14ac:dyDescent="0.25">
      <c r="A6" s="3" t="s">
        <v>2</v>
      </c>
      <c r="B6" s="9" t="s">
        <v>4</v>
      </c>
      <c r="C6" s="20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5.75" thickBot="1" x14ac:dyDescent="0.3">
      <c r="A7" s="4" t="s">
        <v>2</v>
      </c>
      <c r="B7" s="8" t="s">
        <v>5</v>
      </c>
      <c r="C7" s="22"/>
      <c r="D7" s="23">
        <f>+$C$44</f>
        <v>16776316.693333335</v>
      </c>
      <c r="E7" s="23">
        <f>+$D$7</f>
        <v>16776316.693333335</v>
      </c>
      <c r="F7" s="23">
        <f t="shared" ref="F7:R7" si="2">+$D$7</f>
        <v>16776316.693333335</v>
      </c>
      <c r="G7" s="23">
        <f t="shared" si="2"/>
        <v>16776316.693333335</v>
      </c>
      <c r="H7" s="23">
        <f t="shared" si="2"/>
        <v>16776316.693333335</v>
      </c>
      <c r="I7" s="23">
        <f t="shared" si="2"/>
        <v>16776316.693333335</v>
      </c>
      <c r="J7" s="23">
        <f t="shared" si="2"/>
        <v>16776316.693333335</v>
      </c>
      <c r="K7" s="23">
        <f t="shared" si="2"/>
        <v>16776316.693333335</v>
      </c>
      <c r="L7" s="23">
        <f t="shared" si="2"/>
        <v>16776316.693333335</v>
      </c>
      <c r="M7" s="23">
        <f t="shared" si="2"/>
        <v>16776316.693333335</v>
      </c>
      <c r="N7" s="23">
        <f t="shared" si="2"/>
        <v>16776316.693333335</v>
      </c>
      <c r="O7" s="23">
        <f t="shared" si="2"/>
        <v>16776316.693333335</v>
      </c>
      <c r="P7" s="23">
        <f t="shared" si="2"/>
        <v>16776316.693333335</v>
      </c>
      <c r="Q7" s="23">
        <f t="shared" si="2"/>
        <v>16776316.693333335</v>
      </c>
      <c r="R7" s="23">
        <f t="shared" si="2"/>
        <v>16776316.693333335</v>
      </c>
    </row>
    <row r="8" spans="1:18" s="2" customFormat="1" ht="15.75" thickBot="1" x14ac:dyDescent="0.3">
      <c r="A8" s="5"/>
      <c r="B8" s="10" t="s">
        <v>6</v>
      </c>
      <c r="C8" s="24">
        <f>C3+C4-C5-C6-C7</f>
        <v>0</v>
      </c>
      <c r="D8" s="25">
        <f>D3+D4-D5-D6-D7</f>
        <v>-30341391.893333323</v>
      </c>
      <c r="E8" s="25">
        <f t="shared" ref="E8:R8" si="3">E3+E4-E5-E6-E7</f>
        <v>-46305296.405333348</v>
      </c>
      <c r="F8" s="25">
        <f t="shared" si="3"/>
        <v>-75077035.18805331</v>
      </c>
      <c r="G8" s="25">
        <f t="shared" si="3"/>
        <v>-105575078.29773647</v>
      </c>
      <c r="H8" s="25">
        <f t="shared" si="3"/>
        <v>-137903003.99400061</v>
      </c>
      <c r="I8" s="25">
        <f t="shared" si="3"/>
        <v>-622170605.23204076</v>
      </c>
      <c r="J8" s="25">
        <f t="shared" si="3"/>
        <v>-658494262.54436326</v>
      </c>
      <c r="K8" s="25">
        <f t="shared" si="3"/>
        <v>-696997339.29542506</v>
      </c>
      <c r="L8" s="25">
        <f t="shared" si="3"/>
        <v>-737810600.65155053</v>
      </c>
      <c r="M8" s="25">
        <f t="shared" si="3"/>
        <v>-781072657.68904352</v>
      </c>
      <c r="N8" s="25">
        <f t="shared" si="3"/>
        <v>-826930438.14878607</v>
      </c>
      <c r="O8" s="25">
        <f t="shared" si="3"/>
        <v>-875539685.43611324</v>
      </c>
      <c r="P8" s="25">
        <f t="shared" si="3"/>
        <v>-927065487.56068003</v>
      </c>
      <c r="Q8" s="25">
        <f t="shared" si="3"/>
        <v>-981682837.81272078</v>
      </c>
      <c r="R8" s="25">
        <f t="shared" si="3"/>
        <v>-1039577229.0798841</v>
      </c>
    </row>
    <row r="9" spans="1:18" x14ac:dyDescent="0.25">
      <c r="A9" s="4"/>
      <c r="B9" s="8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s="1" customFormat="1" x14ac:dyDescent="0.25">
      <c r="A10" s="3" t="s">
        <v>2</v>
      </c>
      <c r="B10" s="9" t="s">
        <v>7</v>
      </c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  <row r="11" spans="1:18" x14ac:dyDescent="0.25">
      <c r="A11" s="4" t="s">
        <v>0</v>
      </c>
      <c r="B11" s="8" t="s">
        <v>8</v>
      </c>
      <c r="C11" s="17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>
        <f>+G37</f>
        <v>873379001.60000002</v>
      </c>
    </row>
    <row r="12" spans="1:18" x14ac:dyDescent="0.25">
      <c r="A12" s="4" t="s">
        <v>2</v>
      </c>
      <c r="B12" s="8" t="s">
        <v>9</v>
      </c>
      <c r="C12" s="17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>
        <f>+R11*0.3</f>
        <v>262013700.47999999</v>
      </c>
    </row>
    <row r="13" spans="1:18" x14ac:dyDescent="0.25">
      <c r="A13" s="4" t="s">
        <v>0</v>
      </c>
      <c r="B13" s="8" t="s">
        <v>28</v>
      </c>
      <c r="C13" s="17"/>
      <c r="D13" s="19">
        <f t="shared" ref="D13:R13" si="4">C47</f>
        <v>960000000</v>
      </c>
      <c r="E13" s="19">
        <f t="shared" si="4"/>
        <v>960000000</v>
      </c>
      <c r="F13" s="19">
        <f t="shared" si="4"/>
        <v>960000000</v>
      </c>
      <c r="G13" s="19">
        <f t="shared" si="4"/>
        <v>960000000</v>
      </c>
      <c r="H13" s="19">
        <f t="shared" si="4"/>
        <v>960000000</v>
      </c>
      <c r="I13" s="19">
        <f t="shared" si="4"/>
        <v>960000000</v>
      </c>
      <c r="J13" s="19">
        <f t="shared" si="4"/>
        <v>960000000</v>
      </c>
      <c r="K13" s="19">
        <f t="shared" si="4"/>
        <v>960000000</v>
      </c>
      <c r="L13" s="19">
        <f t="shared" si="4"/>
        <v>960000000</v>
      </c>
      <c r="M13" s="19">
        <f t="shared" si="4"/>
        <v>960000000</v>
      </c>
      <c r="N13" s="19">
        <f t="shared" si="4"/>
        <v>960000000</v>
      </c>
      <c r="O13" s="19">
        <f t="shared" si="4"/>
        <v>960000000</v>
      </c>
      <c r="P13" s="19">
        <f t="shared" si="4"/>
        <v>960000000</v>
      </c>
      <c r="Q13" s="19">
        <f t="shared" si="4"/>
        <v>960000000</v>
      </c>
      <c r="R13" s="19">
        <f t="shared" si="4"/>
        <v>960000000</v>
      </c>
    </row>
    <row r="14" spans="1:18" x14ac:dyDescent="0.25">
      <c r="A14" s="4" t="s">
        <v>2</v>
      </c>
      <c r="B14" s="8" t="s">
        <v>10</v>
      </c>
      <c r="C14" s="17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ht="15.75" thickBot="1" x14ac:dyDescent="0.3">
      <c r="A15" s="4" t="s">
        <v>0</v>
      </c>
      <c r="B15" s="8" t="s">
        <v>11</v>
      </c>
      <c r="C15" s="22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</row>
    <row r="16" spans="1:18" s="1" customFormat="1" ht="15.75" thickBot="1" x14ac:dyDescent="0.3">
      <c r="A16" s="3"/>
      <c r="B16" s="11" t="s">
        <v>12</v>
      </c>
      <c r="C16" s="28"/>
      <c r="D16" s="29">
        <f t="shared" ref="D16:R16" si="5">D8-D10+D11-D12+D13-D14+D15</f>
        <v>929658608.10666668</v>
      </c>
      <c r="E16" s="29">
        <f t="shared" si="5"/>
        <v>913694703.5946666</v>
      </c>
      <c r="F16" s="29">
        <f t="shared" si="5"/>
        <v>884922964.81194663</v>
      </c>
      <c r="G16" s="29">
        <f t="shared" si="5"/>
        <v>854424921.70226359</v>
      </c>
      <c r="H16" s="29">
        <f t="shared" si="5"/>
        <v>822096996.00599933</v>
      </c>
      <c r="I16" s="29">
        <f t="shared" si="5"/>
        <v>337829394.76795924</v>
      </c>
      <c r="J16" s="29">
        <f t="shared" si="5"/>
        <v>301505737.45563674</v>
      </c>
      <c r="K16" s="29">
        <f t="shared" si="5"/>
        <v>263002660.70457494</v>
      </c>
      <c r="L16" s="29">
        <f t="shared" si="5"/>
        <v>222189399.34844947</v>
      </c>
      <c r="M16" s="29">
        <f t="shared" si="5"/>
        <v>178927342.31095648</v>
      </c>
      <c r="N16" s="29">
        <f t="shared" si="5"/>
        <v>133069561.85121393</v>
      </c>
      <c r="O16" s="29">
        <f t="shared" si="5"/>
        <v>84460314.563886762</v>
      </c>
      <c r="P16" s="29">
        <f t="shared" si="5"/>
        <v>32934512.439319968</v>
      </c>
      <c r="Q16" s="29">
        <f t="shared" si="5"/>
        <v>-21682837.812720776</v>
      </c>
      <c r="R16" s="29">
        <f t="shared" si="5"/>
        <v>531788072.04011595</v>
      </c>
    </row>
    <row r="17" spans="1:18" x14ac:dyDescent="0.25">
      <c r="A17" s="4"/>
      <c r="B17" s="8"/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1:18" x14ac:dyDescent="0.25">
      <c r="A18" s="4" t="s">
        <v>0</v>
      </c>
      <c r="B18" s="8" t="s">
        <v>5</v>
      </c>
      <c r="C18" s="17"/>
      <c r="D18" s="19">
        <f>D7</f>
        <v>16776316.693333335</v>
      </c>
      <c r="E18" s="19">
        <f>+$D$18</f>
        <v>16776316.693333335</v>
      </c>
      <c r="F18" s="19">
        <f t="shared" ref="F18:R18" si="6">+$D$18</f>
        <v>16776316.693333335</v>
      </c>
      <c r="G18" s="19">
        <f t="shared" si="6"/>
        <v>16776316.693333335</v>
      </c>
      <c r="H18" s="19">
        <f t="shared" si="6"/>
        <v>16776316.693333335</v>
      </c>
      <c r="I18" s="19">
        <f t="shared" si="6"/>
        <v>16776316.693333335</v>
      </c>
      <c r="J18" s="19">
        <f t="shared" si="6"/>
        <v>16776316.693333335</v>
      </c>
      <c r="K18" s="19">
        <f t="shared" si="6"/>
        <v>16776316.693333335</v>
      </c>
      <c r="L18" s="19">
        <f t="shared" si="6"/>
        <v>16776316.693333335</v>
      </c>
      <c r="M18" s="19">
        <f t="shared" si="6"/>
        <v>16776316.693333335</v>
      </c>
      <c r="N18" s="19">
        <f t="shared" si="6"/>
        <v>16776316.693333335</v>
      </c>
      <c r="O18" s="19">
        <f t="shared" si="6"/>
        <v>16776316.693333335</v>
      </c>
      <c r="P18" s="19">
        <f t="shared" si="6"/>
        <v>16776316.693333335</v>
      </c>
      <c r="Q18" s="19">
        <f t="shared" si="6"/>
        <v>16776316.693333335</v>
      </c>
      <c r="R18" s="19">
        <f t="shared" si="6"/>
        <v>16776316.693333335</v>
      </c>
    </row>
    <row r="19" spans="1:18" x14ac:dyDescent="0.25">
      <c r="A19" s="4" t="s">
        <v>0</v>
      </c>
      <c r="B19" s="8" t="s">
        <v>13</v>
      </c>
      <c r="C19" s="17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</row>
    <row r="20" spans="1:18" x14ac:dyDescent="0.25">
      <c r="A20" s="4" t="s">
        <v>2</v>
      </c>
      <c r="B20" s="8" t="s">
        <v>14</v>
      </c>
      <c r="C20" s="1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 x14ac:dyDescent="0.25">
      <c r="A21" s="4" t="s">
        <v>2</v>
      </c>
      <c r="B21" s="8" t="s">
        <v>15</v>
      </c>
      <c r="C21" s="17">
        <f>+C40/2</f>
        <v>719165876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</row>
    <row r="22" spans="1:18" x14ac:dyDescent="0.25">
      <c r="A22" s="4" t="s">
        <v>0</v>
      </c>
      <c r="B22" s="8" t="s">
        <v>16</v>
      </c>
      <c r="C22" s="17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</row>
    <row r="23" spans="1:18" x14ac:dyDescent="0.25">
      <c r="A23" s="4" t="s">
        <v>2</v>
      </c>
      <c r="B23" s="8" t="s">
        <v>17</v>
      </c>
      <c r="C23" s="17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</row>
    <row r="24" spans="1:18" x14ac:dyDescent="0.25">
      <c r="A24" s="4" t="s">
        <v>0</v>
      </c>
      <c r="B24" s="8" t="s">
        <v>18</v>
      </c>
      <c r="C24" s="17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18" ht="15.75" thickBot="1" x14ac:dyDescent="0.3">
      <c r="A25" s="4" t="s">
        <v>2</v>
      </c>
      <c r="B25" s="8" t="s">
        <v>19</v>
      </c>
      <c r="C25" s="22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</row>
    <row r="26" spans="1:18" ht="15.75" thickBot="1" x14ac:dyDescent="0.3">
      <c r="A26" s="6"/>
      <c r="B26" s="12" t="s">
        <v>20</v>
      </c>
      <c r="C26" s="32">
        <f>C16+C18+C19-C20-C21+C22-C23+C24-C25</f>
        <v>-719165876</v>
      </c>
      <c r="D26" s="33">
        <f t="shared" ref="D26:R26" si="7">D16+D18+D19-D20-D21+D22-D23+D24-D25</f>
        <v>946434924.80000007</v>
      </c>
      <c r="E26" s="33">
        <f t="shared" si="7"/>
        <v>930471020.28799999</v>
      </c>
      <c r="F26" s="33">
        <f t="shared" si="7"/>
        <v>901699281.50528002</v>
      </c>
      <c r="G26" s="33">
        <f t="shared" si="7"/>
        <v>871201238.39559698</v>
      </c>
      <c r="H26" s="33">
        <f t="shared" si="7"/>
        <v>838873312.69933271</v>
      </c>
      <c r="I26" s="33">
        <f t="shared" si="7"/>
        <v>354605711.46129256</v>
      </c>
      <c r="J26" s="33">
        <f t="shared" si="7"/>
        <v>318282054.14897007</v>
      </c>
      <c r="K26" s="33">
        <f t="shared" si="7"/>
        <v>279778977.39790827</v>
      </c>
      <c r="L26" s="33">
        <f t="shared" si="7"/>
        <v>238965716.0417828</v>
      </c>
      <c r="M26" s="33">
        <f t="shared" si="7"/>
        <v>195703659.00428981</v>
      </c>
      <c r="N26" s="33">
        <f t="shared" si="7"/>
        <v>149845878.54454726</v>
      </c>
      <c r="O26" s="33">
        <f t="shared" si="7"/>
        <v>101236631.25722009</v>
      </c>
      <c r="P26" s="33">
        <f t="shared" si="7"/>
        <v>49710829.132653303</v>
      </c>
      <c r="Q26" s="33">
        <f t="shared" si="7"/>
        <v>-4906521.1193874404</v>
      </c>
      <c r="R26" s="33">
        <f t="shared" si="7"/>
        <v>548564388.73344934</v>
      </c>
    </row>
    <row r="27" spans="1:18" ht="15.75" thickBot="1" x14ac:dyDescent="0.3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8" s="1" customFormat="1" x14ac:dyDescent="0.25">
      <c r="A28" s="34"/>
      <c r="B28" s="39"/>
      <c r="C28" s="39"/>
      <c r="D28" s="39"/>
      <c r="E28" s="39"/>
      <c r="F28" s="40" t="s">
        <v>26</v>
      </c>
      <c r="G28" s="40" t="s">
        <v>209</v>
      </c>
      <c r="H28" s="40" t="s">
        <v>210</v>
      </c>
      <c r="I28" s="40" t="s">
        <v>211</v>
      </c>
      <c r="J28" s="40" t="s">
        <v>212</v>
      </c>
      <c r="K28" s="39"/>
      <c r="L28" s="39"/>
      <c r="M28" s="41"/>
      <c r="N28" s="41"/>
      <c r="O28" s="41"/>
      <c r="P28" s="41"/>
      <c r="Q28" s="41"/>
    </row>
    <row r="29" spans="1:18" s="1" customFormat="1" x14ac:dyDescent="0.25">
      <c r="A29" s="34"/>
      <c r="B29" s="42" t="s">
        <v>215</v>
      </c>
      <c r="C29" s="42" t="s">
        <v>23</v>
      </c>
      <c r="D29" s="43" t="s">
        <v>34</v>
      </c>
      <c r="E29" s="39"/>
      <c r="F29" s="44">
        <f>NPV(0.1,D26:R26)+C26</f>
        <v>3603607563.0472946</v>
      </c>
      <c r="G29" s="44">
        <f>NPV(0.2,D26:R26)+C26</f>
        <v>2416733011.2238894</v>
      </c>
      <c r="H29" s="44">
        <f>NPV(0.3,D26:R26)+C26</f>
        <v>1720981142.1382217</v>
      </c>
      <c r="I29" s="44">
        <f>NPV(0.4,D26:R26)+C26</f>
        <v>1267126055.7602217</v>
      </c>
      <c r="J29" s="44">
        <f>NPV(0.5,D26:R26)+C26</f>
        <v>949351667.89953113</v>
      </c>
      <c r="K29" s="39"/>
      <c r="L29" s="39"/>
      <c r="M29" s="41"/>
      <c r="N29" s="41"/>
      <c r="O29" s="41"/>
      <c r="P29" s="41"/>
      <c r="Q29" s="41"/>
    </row>
    <row r="30" spans="1:18" s="1" customFormat="1" x14ac:dyDescent="0.25">
      <c r="A30" s="34"/>
      <c r="B30" s="45" t="s">
        <v>226</v>
      </c>
      <c r="C30" s="45">
        <v>450000000</v>
      </c>
      <c r="D30" s="46" t="s">
        <v>33</v>
      </c>
      <c r="E30" s="39"/>
      <c r="F30" s="47" t="s">
        <v>21</v>
      </c>
      <c r="G30" s="47" t="s">
        <v>21</v>
      </c>
      <c r="H30" s="47" t="s">
        <v>21</v>
      </c>
      <c r="I30" s="47" t="s">
        <v>21</v>
      </c>
      <c r="J30" s="47" t="s">
        <v>21</v>
      </c>
      <c r="K30" s="39"/>
      <c r="L30" s="39"/>
      <c r="M30" s="41"/>
      <c r="N30" s="41"/>
      <c r="O30" s="41"/>
      <c r="P30" s="41"/>
      <c r="Q30" s="41"/>
    </row>
    <row r="31" spans="1:18" s="1" customFormat="1" ht="15.75" thickBot="1" x14ac:dyDescent="0.3">
      <c r="A31" s="34"/>
      <c r="B31" s="45" t="s">
        <v>30</v>
      </c>
      <c r="C31" s="45">
        <v>80000000</v>
      </c>
      <c r="D31" s="46" t="s">
        <v>33</v>
      </c>
      <c r="E31" s="39"/>
      <c r="F31" s="48">
        <f>IRR(C26:R26)</f>
        <v>1.2818304261673013</v>
      </c>
      <c r="G31" s="48">
        <f>IRR(C26:R26)</f>
        <v>1.2818304261673013</v>
      </c>
      <c r="H31" s="48">
        <f>IRR(C26:R26)</f>
        <v>1.2818304261673013</v>
      </c>
      <c r="I31" s="48">
        <f>IRR(C26:R26)</f>
        <v>1.2818304261673013</v>
      </c>
      <c r="J31" s="48">
        <f>IRR(C26:R26)</f>
        <v>1.2818304261673013</v>
      </c>
      <c r="K31" s="39"/>
      <c r="L31" s="39"/>
      <c r="M31" s="41"/>
      <c r="N31" s="41"/>
      <c r="O31" s="41"/>
      <c r="P31" s="41"/>
      <c r="Q31" s="41"/>
    </row>
    <row r="32" spans="1:18" s="1" customFormat="1" x14ac:dyDescent="0.25">
      <c r="A32" s="34"/>
      <c r="B32" s="45" t="s">
        <v>29</v>
      </c>
      <c r="C32" s="45">
        <v>0</v>
      </c>
      <c r="D32" s="46" t="s">
        <v>33</v>
      </c>
      <c r="E32" s="53"/>
      <c r="F32" s="53"/>
      <c r="G32" s="53"/>
      <c r="H32" s="53"/>
      <c r="I32" s="53"/>
      <c r="J32" s="39"/>
      <c r="K32" s="39"/>
      <c r="L32" s="39"/>
      <c r="M32" s="41"/>
      <c r="N32" s="41"/>
      <c r="O32" s="41"/>
      <c r="P32" s="41"/>
      <c r="Q32" s="41"/>
    </row>
    <row r="33" spans="1:17" s="1" customFormat="1" x14ac:dyDescent="0.25">
      <c r="A33" s="34"/>
      <c r="B33" s="45" t="s">
        <v>22</v>
      </c>
      <c r="C33" s="45">
        <f>+C30+C31+C32</f>
        <v>530000000</v>
      </c>
      <c r="D33" s="46" t="s">
        <v>33</v>
      </c>
      <c r="E33" s="39"/>
      <c r="F33" s="39"/>
      <c r="G33" s="53"/>
      <c r="H33" s="39"/>
      <c r="I33" s="39"/>
      <c r="J33" s="39"/>
      <c r="K33" s="39"/>
      <c r="L33" s="39"/>
      <c r="M33" s="41"/>
      <c r="N33" s="41"/>
      <c r="O33" s="41"/>
      <c r="P33" s="41"/>
      <c r="Q33" s="41"/>
    </row>
    <row r="34" spans="1:17" s="1" customFormat="1" ht="15" customHeight="1" x14ac:dyDescent="0.25">
      <c r="A34" s="34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41"/>
      <c r="N34" s="41"/>
      <c r="O34" s="41"/>
      <c r="P34" s="41"/>
      <c r="Q34" s="41"/>
    </row>
    <row r="35" spans="1:17" x14ac:dyDescent="0.25">
      <c r="A35" s="35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13"/>
      <c r="N35" s="13"/>
      <c r="O35" s="13"/>
      <c r="P35" s="13"/>
      <c r="Q35" s="13"/>
    </row>
    <row r="36" spans="1:17" x14ac:dyDescent="0.25">
      <c r="A36" s="35"/>
      <c r="B36" s="42" t="s">
        <v>220</v>
      </c>
      <c r="C36" s="49" t="s">
        <v>23</v>
      </c>
      <c r="D36" s="43" t="s">
        <v>34</v>
      </c>
      <c r="E36" s="37"/>
      <c r="F36" s="42" t="s">
        <v>220</v>
      </c>
      <c r="G36" s="49" t="s">
        <v>23</v>
      </c>
      <c r="H36" s="43" t="s">
        <v>34</v>
      </c>
      <c r="I36" s="37"/>
      <c r="J36" s="37"/>
      <c r="K36" s="37"/>
      <c r="L36" s="37"/>
      <c r="M36" s="13"/>
      <c r="N36" s="13"/>
      <c r="O36" s="13"/>
      <c r="P36" s="13"/>
      <c r="Q36" s="13"/>
    </row>
    <row r="37" spans="1:17" x14ac:dyDescent="0.25">
      <c r="A37" s="35"/>
      <c r="B37" s="45" t="s">
        <v>223</v>
      </c>
      <c r="C37" s="45">
        <v>463565075.19999999</v>
      </c>
      <c r="D37" s="46" t="s">
        <v>33</v>
      </c>
      <c r="E37" s="37"/>
      <c r="F37" s="45" t="s">
        <v>221</v>
      </c>
      <c r="G37" s="45">
        <f>+G40-R53</f>
        <v>873379001.60000002</v>
      </c>
      <c r="H37" s="46" t="s">
        <v>33</v>
      </c>
      <c r="I37" s="37"/>
      <c r="J37" s="37"/>
      <c r="K37" s="37"/>
      <c r="L37" s="37"/>
      <c r="M37" s="13"/>
      <c r="N37" s="13"/>
      <c r="O37" s="13"/>
      <c r="P37" s="13"/>
      <c r="Q37" s="13"/>
    </row>
    <row r="38" spans="1:17" x14ac:dyDescent="0.25">
      <c r="A38" s="35"/>
      <c r="B38" s="39" t="s">
        <v>224</v>
      </c>
      <c r="C38" s="39">
        <f>+C37-'COSTOS&amp;GASTOS'!F25</f>
        <v>451715075.19999999</v>
      </c>
      <c r="D38" s="46" t="s">
        <v>33</v>
      </c>
      <c r="E38" s="37"/>
      <c r="F38" s="37"/>
      <c r="G38" s="37"/>
      <c r="H38" s="37"/>
      <c r="I38" s="37"/>
      <c r="J38" s="37"/>
      <c r="K38" s="37"/>
      <c r="L38" s="37"/>
      <c r="M38" s="13"/>
      <c r="N38" s="13"/>
      <c r="O38" s="13"/>
      <c r="P38" s="13"/>
      <c r="Q38" s="13"/>
    </row>
    <row r="39" spans="1:17" x14ac:dyDescent="0.25">
      <c r="A39" s="35"/>
      <c r="B39" s="49" t="s">
        <v>24</v>
      </c>
      <c r="C39" s="49" t="s">
        <v>23</v>
      </c>
      <c r="D39" s="43" t="s">
        <v>34</v>
      </c>
      <c r="E39" s="37"/>
      <c r="F39" s="151" t="s">
        <v>142</v>
      </c>
      <c r="G39" s="151" t="s">
        <v>23</v>
      </c>
      <c r="H39" s="37"/>
      <c r="I39" s="37"/>
      <c r="J39" s="37"/>
      <c r="K39" s="37"/>
      <c r="L39" s="37"/>
      <c r="M39" s="13"/>
      <c r="N39" s="13"/>
      <c r="O39" s="13"/>
      <c r="P39" s="13"/>
      <c r="Q39" s="13"/>
    </row>
    <row r="40" spans="1:17" x14ac:dyDescent="0.25">
      <c r="A40" s="35"/>
      <c r="B40" s="45" t="s">
        <v>25</v>
      </c>
      <c r="C40" s="45">
        <v>1438331752</v>
      </c>
      <c r="D40" s="46" t="s">
        <v>33</v>
      </c>
      <c r="E40" s="37"/>
      <c r="F40" s="153" t="s">
        <v>213</v>
      </c>
      <c r="G40" s="153">
        <v>1091723752</v>
      </c>
      <c r="H40" s="37"/>
      <c r="I40" s="37"/>
      <c r="J40" s="37"/>
      <c r="K40" s="37"/>
      <c r="L40" s="37"/>
      <c r="M40" s="13"/>
      <c r="N40" s="13"/>
      <c r="O40" s="13"/>
      <c r="P40" s="13"/>
      <c r="Q40" s="13"/>
    </row>
    <row r="41" spans="1:17" x14ac:dyDescent="0.25">
      <c r="A41" s="35"/>
      <c r="B41" s="50"/>
      <c r="C41" s="50"/>
      <c r="D41" s="37"/>
      <c r="E41" s="37"/>
      <c r="F41" s="153" t="s">
        <v>216</v>
      </c>
      <c r="G41" s="153">
        <v>72781583.466666669</v>
      </c>
      <c r="H41" s="37"/>
      <c r="I41" s="37"/>
      <c r="J41" s="37"/>
      <c r="K41" s="37"/>
      <c r="L41" s="37"/>
      <c r="M41" s="13"/>
      <c r="N41" s="13"/>
      <c r="O41" s="13"/>
      <c r="P41" s="13"/>
      <c r="Q41" s="13"/>
    </row>
    <row r="42" spans="1:17" x14ac:dyDescent="0.25">
      <c r="A42" s="35"/>
      <c r="B42" s="49" t="s">
        <v>35</v>
      </c>
      <c r="C42" s="49" t="s">
        <v>23</v>
      </c>
      <c r="D42" s="43" t="s">
        <v>34</v>
      </c>
      <c r="E42" s="37"/>
      <c r="F42" s="153" t="s">
        <v>217</v>
      </c>
      <c r="G42" s="153">
        <v>14556316.693333335</v>
      </c>
      <c r="H42" s="37"/>
      <c r="I42" s="37"/>
      <c r="J42" s="37"/>
      <c r="K42" s="37"/>
      <c r="L42" s="37"/>
      <c r="M42" s="13"/>
      <c r="N42" s="13"/>
      <c r="O42" s="13"/>
      <c r="P42" s="13"/>
      <c r="Q42" s="13"/>
    </row>
    <row r="43" spans="1:17" x14ac:dyDescent="0.25">
      <c r="A43" s="35"/>
      <c r="B43" s="51" t="s">
        <v>36</v>
      </c>
      <c r="C43" s="46">
        <v>15</v>
      </c>
      <c r="D43" s="46" t="s">
        <v>31</v>
      </c>
      <c r="E43" s="37"/>
      <c r="F43" s="37"/>
      <c r="G43" s="37"/>
      <c r="H43" s="37"/>
      <c r="I43" s="37"/>
      <c r="J43" s="37"/>
      <c r="K43" s="37"/>
      <c r="L43" s="37"/>
      <c r="M43" s="13"/>
      <c r="N43" s="13"/>
      <c r="O43" s="13"/>
      <c r="P43" s="13"/>
      <c r="Q43" s="13"/>
    </row>
    <row r="44" spans="1:17" x14ac:dyDescent="0.25">
      <c r="A44" s="35"/>
      <c r="B44" s="51" t="s">
        <v>32</v>
      </c>
      <c r="C44" s="45">
        <f>+'COSTOS&amp;GASTOS'!N54</f>
        <v>16776316.693333335</v>
      </c>
      <c r="D44" s="46" t="s">
        <v>33</v>
      </c>
      <c r="E44" s="37"/>
      <c r="F44" s="37"/>
      <c r="G44" s="37"/>
      <c r="H44" s="37"/>
      <c r="I44" s="37"/>
      <c r="J44" s="37"/>
      <c r="K44" s="37"/>
      <c r="L44" s="37"/>
      <c r="M44" s="13"/>
      <c r="N44" s="13"/>
      <c r="O44" s="13"/>
      <c r="P44" s="13"/>
      <c r="Q44" s="13"/>
    </row>
    <row r="45" spans="1:17" x14ac:dyDescent="0.25">
      <c r="A45" s="35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13"/>
      <c r="N45" s="13"/>
      <c r="O45" s="13"/>
      <c r="P45" s="13"/>
      <c r="Q45" s="13"/>
    </row>
    <row r="46" spans="1:17" x14ac:dyDescent="0.25">
      <c r="A46" s="35"/>
      <c r="B46" s="49" t="s">
        <v>37</v>
      </c>
      <c r="C46" s="49" t="s">
        <v>38</v>
      </c>
      <c r="D46" s="49" t="s">
        <v>39</v>
      </c>
      <c r="E46" s="49" t="s">
        <v>40</v>
      </c>
      <c r="F46" s="49" t="s">
        <v>41</v>
      </c>
      <c r="G46" s="49" t="s">
        <v>42</v>
      </c>
      <c r="H46" s="49" t="s">
        <v>43</v>
      </c>
      <c r="I46" s="49" t="s">
        <v>44</v>
      </c>
      <c r="J46" s="49" t="s">
        <v>45</v>
      </c>
      <c r="K46" s="49" t="s">
        <v>46</v>
      </c>
      <c r="L46" s="49" t="s">
        <v>47</v>
      </c>
      <c r="M46" s="49" t="s">
        <v>48</v>
      </c>
      <c r="N46" s="49" t="s">
        <v>49</v>
      </c>
      <c r="O46" s="49" t="s">
        <v>50</v>
      </c>
      <c r="P46" s="49" t="s">
        <v>51</v>
      </c>
      <c r="Q46" s="49" t="s">
        <v>52</v>
      </c>
    </row>
    <row r="47" spans="1:17" x14ac:dyDescent="0.25">
      <c r="A47" s="35"/>
      <c r="B47" s="45" t="s">
        <v>207</v>
      </c>
      <c r="C47" s="52">
        <f>+C31*12</f>
        <v>960000000</v>
      </c>
      <c r="D47" s="52">
        <f>+$C$47</f>
        <v>960000000</v>
      </c>
      <c r="E47" s="52">
        <f t="shared" ref="E47:Q47" si="8">+$C$47</f>
        <v>960000000</v>
      </c>
      <c r="F47" s="52">
        <f t="shared" si="8"/>
        <v>960000000</v>
      </c>
      <c r="G47" s="52">
        <f t="shared" si="8"/>
        <v>960000000</v>
      </c>
      <c r="H47" s="52">
        <f t="shared" si="8"/>
        <v>960000000</v>
      </c>
      <c r="I47" s="52">
        <f t="shared" si="8"/>
        <v>960000000</v>
      </c>
      <c r="J47" s="52">
        <f t="shared" si="8"/>
        <v>960000000</v>
      </c>
      <c r="K47" s="52">
        <f t="shared" si="8"/>
        <v>960000000</v>
      </c>
      <c r="L47" s="52">
        <f t="shared" si="8"/>
        <v>960000000</v>
      </c>
      <c r="M47" s="52">
        <f t="shared" si="8"/>
        <v>960000000</v>
      </c>
      <c r="N47" s="52">
        <f t="shared" si="8"/>
        <v>960000000</v>
      </c>
      <c r="O47" s="52">
        <f t="shared" si="8"/>
        <v>960000000</v>
      </c>
      <c r="P47" s="52">
        <f t="shared" si="8"/>
        <v>960000000</v>
      </c>
      <c r="Q47" s="52">
        <f t="shared" si="8"/>
        <v>960000000</v>
      </c>
    </row>
    <row r="48" spans="1:17" x14ac:dyDescent="0.25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13"/>
      <c r="N48" s="13"/>
      <c r="O48" s="13"/>
      <c r="P48" s="13"/>
      <c r="Q48" s="13"/>
    </row>
    <row r="49" spans="2:18" x14ac:dyDescent="0.25">
      <c r="B49" s="49" t="s">
        <v>208</v>
      </c>
      <c r="C49" s="49" t="s">
        <v>38</v>
      </c>
      <c r="D49" s="49" t="s">
        <v>39</v>
      </c>
      <c r="E49" s="49" t="s">
        <v>40</v>
      </c>
      <c r="F49" s="49" t="s">
        <v>41</v>
      </c>
      <c r="G49" s="49" t="s">
        <v>42</v>
      </c>
      <c r="H49" s="49" t="s">
        <v>43</v>
      </c>
      <c r="I49" s="49" t="s">
        <v>44</v>
      </c>
      <c r="J49" s="49" t="s">
        <v>45</v>
      </c>
      <c r="K49" s="49" t="s">
        <v>46</v>
      </c>
      <c r="L49" s="49" t="s">
        <v>47</v>
      </c>
      <c r="M49" s="49" t="s">
        <v>48</v>
      </c>
      <c r="N49" s="49" t="s">
        <v>49</v>
      </c>
      <c r="O49" s="49" t="s">
        <v>50</v>
      </c>
      <c r="P49" s="49" t="s">
        <v>51</v>
      </c>
      <c r="Q49" s="49" t="s">
        <v>52</v>
      </c>
    </row>
    <row r="50" spans="2:18" x14ac:dyDescent="0.25">
      <c r="B50" s="46" t="s">
        <v>53</v>
      </c>
      <c r="C50" s="45">
        <f>+C37</f>
        <v>463565075.19999999</v>
      </c>
      <c r="D50" s="52">
        <f>+C38+C50*0.06</f>
        <v>479528979.71200001</v>
      </c>
      <c r="E50" s="52">
        <f t="shared" ref="E50:Q50" si="9">+D50*0.06+D50</f>
        <v>508300718.49471998</v>
      </c>
      <c r="F50" s="52">
        <f t="shared" si="9"/>
        <v>538798761.60440314</v>
      </c>
      <c r="G50" s="52">
        <f t="shared" si="9"/>
        <v>571126687.30066729</v>
      </c>
      <c r="H50" s="52">
        <f t="shared" si="9"/>
        <v>605394288.53870738</v>
      </c>
      <c r="I50" s="52">
        <f t="shared" si="9"/>
        <v>641717945.85102987</v>
      </c>
      <c r="J50" s="52">
        <f t="shared" si="9"/>
        <v>680221022.60209167</v>
      </c>
      <c r="K50" s="52">
        <f t="shared" si="9"/>
        <v>721034283.95821714</v>
      </c>
      <c r="L50" s="52">
        <f t="shared" si="9"/>
        <v>764296340.99571013</v>
      </c>
      <c r="M50" s="52">
        <f t="shared" si="9"/>
        <v>810154121.45545268</v>
      </c>
      <c r="N50" s="52">
        <f t="shared" si="9"/>
        <v>858763368.74277985</v>
      </c>
      <c r="O50" s="52">
        <f t="shared" si="9"/>
        <v>910289170.86734664</v>
      </c>
      <c r="P50" s="52">
        <f t="shared" si="9"/>
        <v>964906521.11938739</v>
      </c>
      <c r="Q50" s="52">
        <f t="shared" si="9"/>
        <v>1022800912.3865507</v>
      </c>
    </row>
    <row r="51" spans="2:18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</row>
    <row r="52" spans="2:18" x14ac:dyDescent="0.25">
      <c r="B52" s="49" t="s">
        <v>5</v>
      </c>
      <c r="C52" s="49" t="s">
        <v>38</v>
      </c>
      <c r="D52" s="49" t="s">
        <v>39</v>
      </c>
      <c r="E52" s="49" t="s">
        <v>40</v>
      </c>
      <c r="F52" s="49" t="s">
        <v>41</v>
      </c>
      <c r="G52" s="49" t="s">
        <v>42</v>
      </c>
      <c r="H52" s="49" t="s">
        <v>43</v>
      </c>
      <c r="I52" s="49" t="s">
        <v>44</v>
      </c>
      <c r="J52" s="49" t="s">
        <v>45</v>
      </c>
      <c r="K52" s="49" t="s">
        <v>46</v>
      </c>
      <c r="L52" s="49" t="s">
        <v>47</v>
      </c>
      <c r="M52" s="49" t="s">
        <v>48</v>
      </c>
      <c r="N52" s="49" t="s">
        <v>49</v>
      </c>
      <c r="O52" s="49" t="s">
        <v>50</v>
      </c>
      <c r="P52" s="49" t="s">
        <v>51</v>
      </c>
      <c r="Q52" s="49" t="s">
        <v>52</v>
      </c>
    </row>
    <row r="53" spans="2:18" x14ac:dyDescent="0.25">
      <c r="B53" s="46" t="s">
        <v>222</v>
      </c>
      <c r="C53" s="45">
        <f>+G42</f>
        <v>14556316.693333335</v>
      </c>
      <c r="D53" s="52">
        <f>+$C$53</f>
        <v>14556316.693333335</v>
      </c>
      <c r="E53" s="52">
        <f t="shared" ref="E53:Q53" si="10">+$C$53</f>
        <v>14556316.693333335</v>
      </c>
      <c r="F53" s="52">
        <f t="shared" si="10"/>
        <v>14556316.693333335</v>
      </c>
      <c r="G53" s="52">
        <f t="shared" si="10"/>
        <v>14556316.693333335</v>
      </c>
      <c r="H53" s="52">
        <f t="shared" si="10"/>
        <v>14556316.693333335</v>
      </c>
      <c r="I53" s="52">
        <f t="shared" si="10"/>
        <v>14556316.693333335</v>
      </c>
      <c r="J53" s="52">
        <f t="shared" si="10"/>
        <v>14556316.693333335</v>
      </c>
      <c r="K53" s="52">
        <f t="shared" si="10"/>
        <v>14556316.693333335</v>
      </c>
      <c r="L53" s="52">
        <f t="shared" si="10"/>
        <v>14556316.693333335</v>
      </c>
      <c r="M53" s="52">
        <f t="shared" si="10"/>
        <v>14556316.693333335</v>
      </c>
      <c r="N53" s="52">
        <f t="shared" si="10"/>
        <v>14556316.693333335</v>
      </c>
      <c r="O53" s="52">
        <f t="shared" si="10"/>
        <v>14556316.693333335</v>
      </c>
      <c r="P53" s="52">
        <f t="shared" si="10"/>
        <v>14556316.693333335</v>
      </c>
      <c r="Q53" s="52">
        <f t="shared" si="10"/>
        <v>14556316.693333335</v>
      </c>
      <c r="R53" s="1">
        <f>SUM(C53:Q53)</f>
        <v>218344750.39999995</v>
      </c>
    </row>
    <row r="54" spans="2:18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18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</row>
    <row r="56" spans="2:18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</row>
    <row r="57" spans="2:18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</row>
    <row r="58" spans="2:18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</row>
    <row r="59" spans="2:18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</row>
    <row r="60" spans="2:18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</row>
  </sheetData>
  <mergeCells count="1">
    <mergeCell ref="C1:R1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E7315-D995-4B24-8306-588F1D8831D4}">
  <dimension ref="A1:R60"/>
  <sheetViews>
    <sheetView tabSelected="1" zoomScale="70" zoomScaleNormal="70" workbookViewId="0">
      <selection activeCell="Q38" sqref="Q38"/>
    </sheetView>
  </sheetViews>
  <sheetFormatPr baseColWidth="10" defaultColWidth="11.5703125" defaultRowHeight="15" x14ac:dyDescent="0.25"/>
  <cols>
    <col min="1" max="1" width="2.85546875" customWidth="1"/>
    <col min="2" max="2" width="41.42578125" customWidth="1"/>
    <col min="3" max="3" width="16.140625" bestFit="1" customWidth="1"/>
    <col min="4" max="4" width="14.28515625" customWidth="1"/>
    <col min="5" max="5" width="13" customWidth="1"/>
    <col min="6" max="6" width="19.7109375" customWidth="1"/>
    <col min="7" max="7" width="17.5703125" bestFit="1" customWidth="1"/>
    <col min="8" max="8" width="13.5703125" customWidth="1"/>
    <col min="9" max="10" width="13.28515625" bestFit="1" customWidth="1"/>
    <col min="11" max="11" width="13.28515625" customWidth="1"/>
    <col min="12" max="12" width="13.7109375" customWidth="1"/>
    <col min="13" max="13" width="13" customWidth="1"/>
    <col min="14" max="16" width="13.28515625" bestFit="1" customWidth="1"/>
    <col min="17" max="17" width="14.28515625" customWidth="1"/>
    <col min="18" max="18" width="13.140625" bestFit="1" customWidth="1"/>
  </cols>
  <sheetData>
    <row r="1" spans="1:18" ht="15.75" thickBot="1" x14ac:dyDescent="0.3">
      <c r="B1" s="38" t="s">
        <v>57</v>
      </c>
      <c r="C1" s="172" t="s">
        <v>54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1:18" x14ac:dyDescent="0.25">
      <c r="A2" s="7"/>
      <c r="B2" s="14"/>
      <c r="C2" s="15">
        <v>0</v>
      </c>
      <c r="D2" s="16">
        <v>1</v>
      </c>
      <c r="E2" s="16">
        <v>2</v>
      </c>
      <c r="F2" s="16">
        <v>3</v>
      </c>
      <c r="G2" s="16">
        <v>4</v>
      </c>
      <c r="H2" s="16">
        <v>5</v>
      </c>
      <c r="I2" s="16">
        <v>6</v>
      </c>
      <c r="J2" s="16">
        <v>7</v>
      </c>
      <c r="K2" s="16">
        <v>8</v>
      </c>
      <c r="L2" s="16">
        <v>9</v>
      </c>
      <c r="M2" s="16">
        <v>10</v>
      </c>
      <c r="N2" s="16">
        <v>11</v>
      </c>
      <c r="O2" s="16">
        <v>12</v>
      </c>
      <c r="P2" s="16">
        <v>13</v>
      </c>
      <c r="Q2" s="16">
        <v>14</v>
      </c>
      <c r="R2" s="16">
        <v>15</v>
      </c>
    </row>
    <row r="3" spans="1:18" x14ac:dyDescent="0.25">
      <c r="A3" s="4" t="s">
        <v>0</v>
      </c>
      <c r="B3" s="8" t="s">
        <v>214</v>
      </c>
      <c r="C3" s="17"/>
      <c r="D3" s="18">
        <f>+C30</f>
        <v>225000000</v>
      </c>
      <c r="E3" s="18">
        <f>+$D$3</f>
        <v>225000000</v>
      </c>
      <c r="F3" s="18">
        <f t="shared" ref="F3:H3" si="0">+$D$3</f>
        <v>225000000</v>
      </c>
      <c r="G3" s="18">
        <f t="shared" si="0"/>
        <v>225000000</v>
      </c>
      <c r="H3" s="18">
        <f t="shared" si="0"/>
        <v>225000000</v>
      </c>
      <c r="I3" s="18"/>
      <c r="J3" s="18"/>
      <c r="K3" s="18"/>
      <c r="L3" s="18"/>
      <c r="M3" s="18"/>
      <c r="N3" s="18"/>
      <c r="O3" s="18"/>
      <c r="P3" s="18"/>
      <c r="Q3" s="18"/>
      <c r="R3" s="18"/>
    </row>
    <row r="4" spans="1:18" x14ac:dyDescent="0.25">
      <c r="A4" s="4" t="s">
        <v>0</v>
      </c>
      <c r="B4" s="8" t="s">
        <v>1</v>
      </c>
      <c r="C4" s="17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s="1" customFormat="1" x14ac:dyDescent="0.25">
      <c r="A5" s="3" t="s">
        <v>2</v>
      </c>
      <c r="B5" s="9" t="s">
        <v>3</v>
      </c>
      <c r="C5" s="20"/>
      <c r="D5" s="21">
        <f t="shared" ref="D5:R5" si="1">C50</f>
        <v>463565075.19999999</v>
      </c>
      <c r="E5" s="21">
        <f t="shared" si="1"/>
        <v>479528979.71200001</v>
      </c>
      <c r="F5" s="21">
        <f t="shared" si="1"/>
        <v>508300718.49471998</v>
      </c>
      <c r="G5" s="21">
        <f t="shared" si="1"/>
        <v>538798761.60440314</v>
      </c>
      <c r="H5" s="21">
        <f t="shared" si="1"/>
        <v>571126687.30066729</v>
      </c>
      <c r="I5" s="21">
        <f t="shared" si="1"/>
        <v>605394288.53870738</v>
      </c>
      <c r="J5" s="21">
        <f t="shared" si="1"/>
        <v>641717945.85102987</v>
      </c>
      <c r="K5" s="21">
        <f t="shared" si="1"/>
        <v>680221022.60209167</v>
      </c>
      <c r="L5" s="21">
        <f t="shared" si="1"/>
        <v>721034283.95821714</v>
      </c>
      <c r="M5" s="21">
        <f t="shared" si="1"/>
        <v>764296340.99571013</v>
      </c>
      <c r="N5" s="21">
        <f t="shared" si="1"/>
        <v>810154121.45545268</v>
      </c>
      <c r="O5" s="21">
        <f t="shared" si="1"/>
        <v>858763368.74277985</v>
      </c>
      <c r="P5" s="21">
        <f t="shared" si="1"/>
        <v>910289170.86734664</v>
      </c>
      <c r="Q5" s="21">
        <f t="shared" si="1"/>
        <v>964906521.11938739</v>
      </c>
      <c r="R5" s="21">
        <f t="shared" si="1"/>
        <v>1022800912.3865507</v>
      </c>
    </row>
    <row r="6" spans="1:18" s="1" customFormat="1" x14ac:dyDescent="0.25">
      <c r="A6" s="3" t="s">
        <v>2</v>
      </c>
      <c r="B6" s="9" t="s">
        <v>4</v>
      </c>
      <c r="C6" s="20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5.75" thickBot="1" x14ac:dyDescent="0.3">
      <c r="A7" s="4" t="s">
        <v>2</v>
      </c>
      <c r="B7" s="8" t="s">
        <v>5</v>
      </c>
      <c r="C7" s="22"/>
      <c r="D7" s="23">
        <f>+$C$44</f>
        <v>16776316.693333335</v>
      </c>
      <c r="E7" s="23">
        <f>+$D$7</f>
        <v>16776316.693333335</v>
      </c>
      <c r="F7" s="23">
        <f t="shared" ref="F7:R7" si="2">+$D$7</f>
        <v>16776316.693333335</v>
      </c>
      <c r="G7" s="23">
        <f t="shared" si="2"/>
        <v>16776316.693333335</v>
      </c>
      <c r="H7" s="23">
        <f t="shared" si="2"/>
        <v>16776316.693333335</v>
      </c>
      <c r="I7" s="23">
        <f t="shared" si="2"/>
        <v>16776316.693333335</v>
      </c>
      <c r="J7" s="23">
        <f t="shared" si="2"/>
        <v>16776316.693333335</v>
      </c>
      <c r="K7" s="23">
        <f t="shared" si="2"/>
        <v>16776316.693333335</v>
      </c>
      <c r="L7" s="23">
        <f t="shared" si="2"/>
        <v>16776316.693333335</v>
      </c>
      <c r="M7" s="23">
        <f t="shared" si="2"/>
        <v>16776316.693333335</v>
      </c>
      <c r="N7" s="23">
        <f t="shared" si="2"/>
        <v>16776316.693333335</v>
      </c>
      <c r="O7" s="23">
        <f t="shared" si="2"/>
        <v>16776316.693333335</v>
      </c>
      <c r="P7" s="23">
        <f t="shared" si="2"/>
        <v>16776316.693333335</v>
      </c>
      <c r="Q7" s="23">
        <f t="shared" si="2"/>
        <v>16776316.693333335</v>
      </c>
      <c r="R7" s="23">
        <f t="shared" si="2"/>
        <v>16776316.693333335</v>
      </c>
    </row>
    <row r="8" spans="1:18" s="2" customFormat="1" ht="15.75" thickBot="1" x14ac:dyDescent="0.3">
      <c r="A8" s="5"/>
      <c r="B8" s="10" t="s">
        <v>6</v>
      </c>
      <c r="C8" s="24">
        <f>C3+C4-C5-C6-C7</f>
        <v>0</v>
      </c>
      <c r="D8" s="25">
        <f>D3+D4-D5-D6-D7</f>
        <v>-255341391.89333332</v>
      </c>
      <c r="E8" s="25">
        <f t="shared" ref="E8:R8" si="3">E3+E4-E5-E6-E7</f>
        <v>-271305296.40533334</v>
      </c>
      <c r="F8" s="25">
        <f t="shared" si="3"/>
        <v>-300077035.18805331</v>
      </c>
      <c r="G8" s="25">
        <f t="shared" si="3"/>
        <v>-330575078.29773647</v>
      </c>
      <c r="H8" s="25">
        <f t="shared" si="3"/>
        <v>-362903003.99400061</v>
      </c>
      <c r="I8" s="25">
        <f t="shared" si="3"/>
        <v>-622170605.23204076</v>
      </c>
      <c r="J8" s="25">
        <f t="shared" si="3"/>
        <v>-658494262.54436326</v>
      </c>
      <c r="K8" s="25">
        <f t="shared" si="3"/>
        <v>-696997339.29542506</v>
      </c>
      <c r="L8" s="25">
        <f t="shared" si="3"/>
        <v>-737810600.65155053</v>
      </c>
      <c r="M8" s="25">
        <f t="shared" si="3"/>
        <v>-781072657.68904352</v>
      </c>
      <c r="N8" s="25">
        <f t="shared" si="3"/>
        <v>-826930438.14878607</v>
      </c>
      <c r="O8" s="25">
        <f t="shared" si="3"/>
        <v>-875539685.43611324</v>
      </c>
      <c r="P8" s="25">
        <f t="shared" si="3"/>
        <v>-927065487.56068003</v>
      </c>
      <c r="Q8" s="25">
        <f t="shared" si="3"/>
        <v>-981682837.81272078</v>
      </c>
      <c r="R8" s="25">
        <f t="shared" si="3"/>
        <v>-1039577229.0798841</v>
      </c>
    </row>
    <row r="9" spans="1:18" x14ac:dyDescent="0.25">
      <c r="A9" s="4"/>
      <c r="B9" s="8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s="1" customFormat="1" x14ac:dyDescent="0.25">
      <c r="A10" s="3" t="s">
        <v>2</v>
      </c>
      <c r="B10" s="9" t="s">
        <v>7</v>
      </c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  <row r="11" spans="1:18" x14ac:dyDescent="0.25">
      <c r="A11" s="4" t="s">
        <v>0</v>
      </c>
      <c r="B11" s="8" t="s">
        <v>8</v>
      </c>
      <c r="C11" s="17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>
        <f>+G37</f>
        <v>873379001.60000002</v>
      </c>
    </row>
    <row r="12" spans="1:18" x14ac:dyDescent="0.25">
      <c r="A12" s="4" t="s">
        <v>2</v>
      </c>
      <c r="B12" s="8" t="s">
        <v>9</v>
      </c>
      <c r="C12" s="17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>
        <f>+R11*0.3</f>
        <v>262013700.47999999</v>
      </c>
    </row>
    <row r="13" spans="1:18" x14ac:dyDescent="0.25">
      <c r="A13" s="4" t="s">
        <v>0</v>
      </c>
      <c r="B13" s="8" t="s">
        <v>28</v>
      </c>
      <c r="C13" s="17"/>
      <c r="D13" s="19">
        <f t="shared" ref="D13:R13" si="4">C47</f>
        <v>960000000</v>
      </c>
      <c r="E13" s="19">
        <f t="shared" si="4"/>
        <v>960000000</v>
      </c>
      <c r="F13" s="19">
        <f t="shared" si="4"/>
        <v>960000000</v>
      </c>
      <c r="G13" s="19">
        <f t="shared" si="4"/>
        <v>960000000</v>
      </c>
      <c r="H13" s="19">
        <f t="shared" si="4"/>
        <v>960000000</v>
      </c>
      <c r="I13" s="19">
        <f t="shared" si="4"/>
        <v>960000000</v>
      </c>
      <c r="J13" s="19">
        <f t="shared" si="4"/>
        <v>960000000</v>
      </c>
      <c r="K13" s="19">
        <f t="shared" si="4"/>
        <v>960000000</v>
      </c>
      <c r="L13" s="19">
        <f t="shared" si="4"/>
        <v>960000000</v>
      </c>
      <c r="M13" s="19">
        <f t="shared" si="4"/>
        <v>960000000</v>
      </c>
      <c r="N13" s="19">
        <f t="shared" si="4"/>
        <v>960000000</v>
      </c>
      <c r="O13" s="19">
        <f t="shared" si="4"/>
        <v>960000000</v>
      </c>
      <c r="P13" s="19">
        <f t="shared" si="4"/>
        <v>960000000</v>
      </c>
      <c r="Q13" s="19">
        <f t="shared" si="4"/>
        <v>960000000</v>
      </c>
      <c r="R13" s="19">
        <f t="shared" si="4"/>
        <v>960000000</v>
      </c>
    </row>
    <row r="14" spans="1:18" x14ac:dyDescent="0.25">
      <c r="A14" s="4" t="s">
        <v>2</v>
      </c>
      <c r="B14" s="8" t="s">
        <v>10</v>
      </c>
      <c r="C14" s="17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ht="15.75" thickBot="1" x14ac:dyDescent="0.3">
      <c r="A15" s="4" t="s">
        <v>0</v>
      </c>
      <c r="B15" s="8" t="s">
        <v>11</v>
      </c>
      <c r="C15" s="22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</row>
    <row r="16" spans="1:18" s="1" customFormat="1" ht="15.75" thickBot="1" x14ac:dyDescent="0.3">
      <c r="A16" s="3"/>
      <c r="B16" s="11" t="s">
        <v>12</v>
      </c>
      <c r="C16" s="28"/>
      <c r="D16" s="29">
        <f t="shared" ref="D16:R16" si="5">D8-D10+D11-D12+D13-D14+D15</f>
        <v>704658608.10666668</v>
      </c>
      <c r="E16" s="29">
        <f t="shared" si="5"/>
        <v>688694703.59466672</v>
      </c>
      <c r="F16" s="29">
        <f t="shared" si="5"/>
        <v>659922964.81194663</v>
      </c>
      <c r="G16" s="29">
        <f t="shared" si="5"/>
        <v>629424921.70226359</v>
      </c>
      <c r="H16" s="29">
        <f t="shared" si="5"/>
        <v>597096996.00599933</v>
      </c>
      <c r="I16" s="29">
        <f t="shared" si="5"/>
        <v>337829394.76795924</v>
      </c>
      <c r="J16" s="29">
        <f t="shared" si="5"/>
        <v>301505737.45563674</v>
      </c>
      <c r="K16" s="29">
        <f t="shared" si="5"/>
        <v>263002660.70457494</v>
      </c>
      <c r="L16" s="29">
        <f t="shared" si="5"/>
        <v>222189399.34844947</v>
      </c>
      <c r="M16" s="29">
        <f t="shared" si="5"/>
        <v>178927342.31095648</v>
      </c>
      <c r="N16" s="29">
        <f t="shared" si="5"/>
        <v>133069561.85121393</v>
      </c>
      <c r="O16" s="29">
        <f t="shared" si="5"/>
        <v>84460314.563886762</v>
      </c>
      <c r="P16" s="29">
        <f t="shared" si="5"/>
        <v>32934512.439319968</v>
      </c>
      <c r="Q16" s="29">
        <f t="shared" si="5"/>
        <v>-21682837.812720776</v>
      </c>
      <c r="R16" s="29">
        <f t="shared" si="5"/>
        <v>531788072.04011595</v>
      </c>
    </row>
    <row r="17" spans="1:18" x14ac:dyDescent="0.25">
      <c r="A17" s="4"/>
      <c r="B17" s="8"/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1:18" x14ac:dyDescent="0.25">
      <c r="A18" s="4" t="s">
        <v>0</v>
      </c>
      <c r="B18" s="8" t="s">
        <v>5</v>
      </c>
      <c r="C18" s="17"/>
      <c r="D18" s="19">
        <f>D7</f>
        <v>16776316.693333335</v>
      </c>
      <c r="E18" s="19">
        <f>+$D$18</f>
        <v>16776316.693333335</v>
      </c>
      <c r="F18" s="19">
        <f t="shared" ref="F18:R18" si="6">+$D$18</f>
        <v>16776316.693333335</v>
      </c>
      <c r="G18" s="19">
        <f t="shared" si="6"/>
        <v>16776316.693333335</v>
      </c>
      <c r="H18" s="19">
        <f t="shared" si="6"/>
        <v>16776316.693333335</v>
      </c>
      <c r="I18" s="19">
        <f t="shared" si="6"/>
        <v>16776316.693333335</v>
      </c>
      <c r="J18" s="19">
        <f t="shared" si="6"/>
        <v>16776316.693333335</v>
      </c>
      <c r="K18" s="19">
        <f t="shared" si="6"/>
        <v>16776316.693333335</v>
      </c>
      <c r="L18" s="19">
        <f t="shared" si="6"/>
        <v>16776316.693333335</v>
      </c>
      <c r="M18" s="19">
        <f t="shared" si="6"/>
        <v>16776316.693333335</v>
      </c>
      <c r="N18" s="19">
        <f t="shared" si="6"/>
        <v>16776316.693333335</v>
      </c>
      <c r="O18" s="19">
        <f t="shared" si="6"/>
        <v>16776316.693333335</v>
      </c>
      <c r="P18" s="19">
        <f t="shared" si="6"/>
        <v>16776316.693333335</v>
      </c>
      <c r="Q18" s="19">
        <f t="shared" si="6"/>
        <v>16776316.693333335</v>
      </c>
      <c r="R18" s="19">
        <f t="shared" si="6"/>
        <v>16776316.693333335</v>
      </c>
    </row>
    <row r="19" spans="1:18" x14ac:dyDescent="0.25">
      <c r="A19" s="4" t="s">
        <v>0</v>
      </c>
      <c r="B19" s="8" t="s">
        <v>13</v>
      </c>
      <c r="C19" s="17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</row>
    <row r="20" spans="1:18" x14ac:dyDescent="0.25">
      <c r="A20" s="4" t="s">
        <v>2</v>
      </c>
      <c r="B20" s="8" t="s">
        <v>14</v>
      </c>
      <c r="C20" s="1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 x14ac:dyDescent="0.25">
      <c r="A21" s="4" t="s">
        <v>2</v>
      </c>
      <c r="B21" s="8" t="s">
        <v>15</v>
      </c>
      <c r="C21" s="17">
        <f>+C40*0.75</f>
        <v>1078748814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</row>
    <row r="22" spans="1:18" x14ac:dyDescent="0.25">
      <c r="A22" s="4" t="s">
        <v>0</v>
      </c>
      <c r="B22" s="8" t="s">
        <v>16</v>
      </c>
      <c r="C22" s="17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</row>
    <row r="23" spans="1:18" x14ac:dyDescent="0.25">
      <c r="A23" s="4" t="s">
        <v>2</v>
      </c>
      <c r="B23" s="8" t="s">
        <v>17</v>
      </c>
      <c r="C23" s="17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</row>
    <row r="24" spans="1:18" x14ac:dyDescent="0.25">
      <c r="A24" s="4" t="s">
        <v>0</v>
      </c>
      <c r="B24" s="8" t="s">
        <v>18</v>
      </c>
      <c r="C24" s="17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18" ht="15.75" thickBot="1" x14ac:dyDescent="0.3">
      <c r="A25" s="4" t="s">
        <v>2</v>
      </c>
      <c r="B25" s="8" t="s">
        <v>19</v>
      </c>
      <c r="C25" s="22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</row>
    <row r="26" spans="1:18" ht="15.75" thickBot="1" x14ac:dyDescent="0.3">
      <c r="A26" s="6"/>
      <c r="B26" s="12" t="s">
        <v>20</v>
      </c>
      <c r="C26" s="32">
        <f>C16+C18+C19-C20-C21+C22-C23+C24-C25</f>
        <v>-1078748814</v>
      </c>
      <c r="D26" s="33">
        <f t="shared" ref="D26:R26" si="7">D16+D18+D19-D20-D21+D22-D23+D24-D25</f>
        <v>721434924.80000007</v>
      </c>
      <c r="E26" s="33">
        <f t="shared" si="7"/>
        <v>705471020.28800011</v>
      </c>
      <c r="F26" s="33">
        <f t="shared" si="7"/>
        <v>676699281.50528002</v>
      </c>
      <c r="G26" s="33">
        <f t="shared" si="7"/>
        <v>646201238.39559698</v>
      </c>
      <c r="H26" s="33">
        <f t="shared" si="7"/>
        <v>613873312.69933271</v>
      </c>
      <c r="I26" s="33">
        <f t="shared" si="7"/>
        <v>354605711.46129256</v>
      </c>
      <c r="J26" s="33">
        <f t="shared" si="7"/>
        <v>318282054.14897007</v>
      </c>
      <c r="K26" s="33">
        <f t="shared" si="7"/>
        <v>279778977.39790827</v>
      </c>
      <c r="L26" s="33">
        <f t="shared" si="7"/>
        <v>238965716.0417828</v>
      </c>
      <c r="M26" s="33">
        <f t="shared" si="7"/>
        <v>195703659.00428981</v>
      </c>
      <c r="N26" s="33">
        <f t="shared" si="7"/>
        <v>149845878.54454726</v>
      </c>
      <c r="O26" s="33">
        <f t="shared" si="7"/>
        <v>101236631.25722009</v>
      </c>
      <c r="P26" s="33">
        <f t="shared" si="7"/>
        <v>49710829.132653303</v>
      </c>
      <c r="Q26" s="33">
        <f t="shared" si="7"/>
        <v>-4906521.1193874404</v>
      </c>
      <c r="R26" s="33">
        <f t="shared" si="7"/>
        <v>548564388.73344934</v>
      </c>
    </row>
    <row r="27" spans="1:18" ht="15.75" thickBot="1" x14ac:dyDescent="0.3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8" s="1" customFormat="1" x14ac:dyDescent="0.25">
      <c r="A28" s="34"/>
      <c r="B28" s="39"/>
      <c r="C28" s="39"/>
      <c r="D28" s="39"/>
      <c r="E28" s="39"/>
      <c r="F28" s="40" t="s">
        <v>26</v>
      </c>
      <c r="G28" s="40" t="s">
        <v>209</v>
      </c>
      <c r="H28" s="40" t="s">
        <v>210</v>
      </c>
      <c r="I28" s="40" t="s">
        <v>211</v>
      </c>
      <c r="J28" s="40" t="s">
        <v>212</v>
      </c>
      <c r="K28" s="39"/>
      <c r="L28" s="39"/>
      <c r="M28" s="41"/>
      <c r="N28" s="41"/>
      <c r="O28" s="41"/>
      <c r="P28" s="41"/>
      <c r="Q28" s="41"/>
    </row>
    <row r="29" spans="1:18" s="1" customFormat="1" x14ac:dyDescent="0.25">
      <c r="A29" s="34"/>
      <c r="B29" s="42" t="s">
        <v>215</v>
      </c>
      <c r="C29" s="42" t="s">
        <v>23</v>
      </c>
      <c r="D29" s="43" t="s">
        <v>34</v>
      </c>
      <c r="E29" s="39"/>
      <c r="F29" s="44">
        <f>NPV(0.1,D26:R26)+C26</f>
        <v>2391097601.9303932</v>
      </c>
      <c r="G29" s="44">
        <f>NPV(0.2,D26:R26)+C26</f>
        <v>1384262341.7424083</v>
      </c>
      <c r="H29" s="44">
        <f>NPV(0.3,D26:R26)+C26</f>
        <v>813395009.89540052</v>
      </c>
      <c r="I29" s="44">
        <f>NPV(0.4,D26:R26)+C26</f>
        <v>449631235.80627418</v>
      </c>
      <c r="J29" s="44">
        <f>NPV(0.5,D26:R26)+C26</f>
        <v>199027989.15879011</v>
      </c>
      <c r="K29" s="39"/>
      <c r="L29" s="39"/>
      <c r="M29" s="41"/>
      <c r="N29" s="41"/>
      <c r="O29" s="41"/>
      <c r="P29" s="41"/>
      <c r="Q29" s="41"/>
    </row>
    <row r="30" spans="1:18" s="1" customFormat="1" x14ac:dyDescent="0.25">
      <c r="A30" s="34"/>
      <c r="B30" s="45" t="s">
        <v>226</v>
      </c>
      <c r="C30" s="45">
        <f>450000000/2</f>
        <v>225000000</v>
      </c>
      <c r="D30" s="46" t="s">
        <v>33</v>
      </c>
      <c r="E30" s="39"/>
      <c r="F30" s="47" t="s">
        <v>21</v>
      </c>
      <c r="G30" s="47" t="s">
        <v>21</v>
      </c>
      <c r="H30" s="47" t="s">
        <v>21</v>
      </c>
      <c r="I30" s="47" t="s">
        <v>21</v>
      </c>
      <c r="J30" s="47" t="s">
        <v>21</v>
      </c>
      <c r="K30" s="39"/>
      <c r="L30" s="39"/>
      <c r="M30" s="41"/>
      <c r="N30" s="41"/>
      <c r="O30" s="41"/>
      <c r="P30" s="41"/>
      <c r="Q30" s="41"/>
    </row>
    <row r="31" spans="1:18" s="1" customFormat="1" ht="15.75" thickBot="1" x14ac:dyDescent="0.3">
      <c r="A31" s="34"/>
      <c r="B31" s="45" t="s">
        <v>30</v>
      </c>
      <c r="C31" s="45">
        <v>80000000</v>
      </c>
      <c r="D31" s="46" t="s">
        <v>33</v>
      </c>
      <c r="E31" s="39"/>
      <c r="F31" s="48">
        <f>IRR(C26:R26)</f>
        <v>0.61072573555630938</v>
      </c>
      <c r="G31" s="48">
        <f>IRR(C26:R26)</f>
        <v>0.61072573555630938</v>
      </c>
      <c r="H31" s="48">
        <f>IRR(C26:R26)</f>
        <v>0.61072573555630938</v>
      </c>
      <c r="I31" s="48">
        <f>IRR(C26:R26)</f>
        <v>0.61072573555630938</v>
      </c>
      <c r="J31" s="48">
        <f>IRR(C26:R26)</f>
        <v>0.61072573555630938</v>
      </c>
      <c r="K31" s="39"/>
      <c r="L31" s="39"/>
      <c r="M31" s="41"/>
      <c r="N31" s="41"/>
      <c r="O31" s="41"/>
      <c r="P31" s="41"/>
      <c r="Q31" s="41"/>
    </row>
    <row r="32" spans="1:18" s="1" customFormat="1" x14ac:dyDescent="0.25">
      <c r="A32" s="34"/>
      <c r="B32" s="45" t="s">
        <v>29</v>
      </c>
      <c r="C32" s="45">
        <v>0</v>
      </c>
      <c r="D32" s="46" t="s">
        <v>33</v>
      </c>
      <c r="E32" s="53"/>
      <c r="F32" s="53"/>
      <c r="G32" s="53"/>
      <c r="H32" s="53"/>
      <c r="I32" s="53"/>
      <c r="J32" s="39"/>
      <c r="K32" s="39"/>
      <c r="L32" s="39"/>
      <c r="M32" s="41"/>
      <c r="N32" s="41"/>
      <c r="O32" s="41"/>
      <c r="P32" s="41"/>
      <c r="Q32" s="41"/>
    </row>
    <row r="33" spans="1:17" s="1" customFormat="1" x14ac:dyDescent="0.25">
      <c r="A33" s="34"/>
      <c r="B33" s="45" t="s">
        <v>22</v>
      </c>
      <c r="C33" s="45">
        <f>+C30+C31+C32</f>
        <v>305000000</v>
      </c>
      <c r="D33" s="46" t="s">
        <v>33</v>
      </c>
      <c r="E33" s="39"/>
      <c r="F33" s="39"/>
      <c r="G33" s="53"/>
      <c r="H33" s="39"/>
      <c r="I33" s="39"/>
      <c r="J33" s="39"/>
      <c r="K33" s="39"/>
      <c r="L33" s="39"/>
      <c r="M33" s="41"/>
      <c r="N33" s="41"/>
      <c r="O33" s="41"/>
      <c r="P33" s="41"/>
      <c r="Q33" s="41"/>
    </row>
    <row r="34" spans="1:17" s="1" customFormat="1" ht="15" customHeight="1" x14ac:dyDescent="0.25">
      <c r="A34" s="34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41"/>
      <c r="N34" s="41"/>
      <c r="O34" s="41"/>
      <c r="P34" s="41"/>
      <c r="Q34" s="41"/>
    </row>
    <row r="35" spans="1:17" x14ac:dyDescent="0.25">
      <c r="A35" s="35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13"/>
      <c r="N35" s="13"/>
      <c r="O35" s="13"/>
      <c r="P35" s="13"/>
      <c r="Q35" s="13"/>
    </row>
    <row r="36" spans="1:17" x14ac:dyDescent="0.25">
      <c r="A36" s="35"/>
      <c r="B36" s="42" t="s">
        <v>220</v>
      </c>
      <c r="C36" s="49" t="s">
        <v>23</v>
      </c>
      <c r="D36" s="43" t="s">
        <v>34</v>
      </c>
      <c r="E36" s="37"/>
      <c r="F36" s="42" t="s">
        <v>220</v>
      </c>
      <c r="G36" s="49" t="s">
        <v>23</v>
      </c>
      <c r="H36" s="43" t="s">
        <v>34</v>
      </c>
      <c r="I36" s="37"/>
      <c r="J36" s="37"/>
      <c r="K36" s="37"/>
      <c r="L36" s="37"/>
      <c r="M36" s="13"/>
      <c r="N36" s="13"/>
      <c r="O36" s="13"/>
      <c r="P36" s="13"/>
      <c r="Q36" s="13"/>
    </row>
    <row r="37" spans="1:17" x14ac:dyDescent="0.25">
      <c r="A37" s="35"/>
      <c r="B37" s="45" t="s">
        <v>223</v>
      </c>
      <c r="C37" s="45">
        <v>463565075.19999999</v>
      </c>
      <c r="D37" s="46" t="s">
        <v>33</v>
      </c>
      <c r="E37" s="37"/>
      <c r="F37" s="45" t="s">
        <v>221</v>
      </c>
      <c r="G37" s="45">
        <f>+G40-R53</f>
        <v>873379001.60000002</v>
      </c>
      <c r="H37" s="46" t="s">
        <v>33</v>
      </c>
      <c r="I37" s="37"/>
      <c r="J37" s="37"/>
      <c r="K37" s="37"/>
      <c r="L37" s="37"/>
      <c r="M37" s="13"/>
      <c r="N37" s="13"/>
      <c r="O37" s="13"/>
      <c r="P37" s="13"/>
      <c r="Q37" s="13"/>
    </row>
    <row r="38" spans="1:17" x14ac:dyDescent="0.25">
      <c r="A38" s="35"/>
      <c r="B38" s="39" t="s">
        <v>224</v>
      </c>
      <c r="C38" s="39">
        <f>+C37-'COSTOS&amp;GASTOS'!F25</f>
        <v>451715075.19999999</v>
      </c>
      <c r="D38" s="46" t="s">
        <v>33</v>
      </c>
      <c r="E38" s="37"/>
      <c r="F38" s="37"/>
      <c r="G38" s="37"/>
      <c r="H38" s="37"/>
      <c r="I38" s="37"/>
      <c r="J38" s="37"/>
      <c r="K38" s="37"/>
      <c r="L38" s="37"/>
      <c r="M38" s="13"/>
      <c r="N38" s="13"/>
      <c r="O38" s="13"/>
      <c r="P38" s="13"/>
      <c r="Q38" s="13"/>
    </row>
    <row r="39" spans="1:17" x14ac:dyDescent="0.25">
      <c r="A39" s="35"/>
      <c r="B39" s="49" t="s">
        <v>24</v>
      </c>
      <c r="C39" s="49" t="s">
        <v>23</v>
      </c>
      <c r="D39" s="43" t="s">
        <v>34</v>
      </c>
      <c r="E39" s="37"/>
      <c r="F39" s="151" t="s">
        <v>142</v>
      </c>
      <c r="G39" s="151" t="s">
        <v>23</v>
      </c>
      <c r="H39" s="37"/>
      <c r="I39" s="37"/>
      <c r="J39" s="37"/>
      <c r="K39" s="37"/>
      <c r="L39" s="37"/>
      <c r="M39" s="13"/>
      <c r="N39" s="13"/>
      <c r="O39" s="13"/>
      <c r="P39" s="13"/>
      <c r="Q39" s="13"/>
    </row>
    <row r="40" spans="1:17" x14ac:dyDescent="0.25">
      <c r="A40" s="35"/>
      <c r="B40" s="45" t="s">
        <v>25</v>
      </c>
      <c r="C40" s="45">
        <v>1438331752</v>
      </c>
      <c r="D40" s="46" t="s">
        <v>33</v>
      </c>
      <c r="E40" s="37"/>
      <c r="F40" s="153" t="s">
        <v>213</v>
      </c>
      <c r="G40" s="153">
        <v>1091723752</v>
      </c>
      <c r="H40" s="37"/>
      <c r="I40" s="37"/>
      <c r="J40" s="37"/>
      <c r="K40" s="37"/>
      <c r="L40" s="37"/>
      <c r="M40" s="13"/>
      <c r="N40" s="13"/>
      <c r="O40" s="13"/>
      <c r="P40" s="13"/>
      <c r="Q40" s="13"/>
    </row>
    <row r="41" spans="1:17" x14ac:dyDescent="0.25">
      <c r="A41" s="35"/>
      <c r="B41" s="50"/>
      <c r="C41" s="50"/>
      <c r="D41" s="37"/>
      <c r="E41" s="37"/>
      <c r="F41" s="153" t="s">
        <v>216</v>
      </c>
      <c r="G41" s="153">
        <v>72781583.466666669</v>
      </c>
      <c r="H41" s="37"/>
      <c r="I41" s="37"/>
      <c r="J41" s="37"/>
      <c r="K41" s="37"/>
      <c r="L41" s="37"/>
      <c r="M41" s="13"/>
      <c r="N41" s="13"/>
      <c r="O41" s="13"/>
      <c r="P41" s="13"/>
      <c r="Q41" s="13"/>
    </row>
    <row r="42" spans="1:17" x14ac:dyDescent="0.25">
      <c r="A42" s="35"/>
      <c r="B42" s="49" t="s">
        <v>35</v>
      </c>
      <c r="C42" s="49" t="s">
        <v>23</v>
      </c>
      <c r="D42" s="43" t="s">
        <v>34</v>
      </c>
      <c r="E42" s="37"/>
      <c r="F42" s="153" t="s">
        <v>217</v>
      </c>
      <c r="G42" s="153">
        <v>14556316.693333335</v>
      </c>
      <c r="H42" s="37"/>
      <c r="I42" s="37"/>
      <c r="J42" s="37"/>
      <c r="K42" s="37"/>
      <c r="L42" s="37"/>
      <c r="M42" s="13"/>
      <c r="N42" s="13"/>
      <c r="O42" s="13"/>
      <c r="P42" s="13"/>
      <c r="Q42" s="13"/>
    </row>
    <row r="43" spans="1:17" x14ac:dyDescent="0.25">
      <c r="A43" s="35"/>
      <c r="B43" s="51" t="s">
        <v>36</v>
      </c>
      <c r="C43" s="46">
        <v>15</v>
      </c>
      <c r="D43" s="46" t="s">
        <v>31</v>
      </c>
      <c r="E43" s="37"/>
      <c r="F43" s="37"/>
      <c r="G43" s="37"/>
      <c r="H43" s="37"/>
      <c r="I43" s="37"/>
      <c r="J43" s="37"/>
      <c r="K43" s="37"/>
      <c r="L43" s="37"/>
      <c r="M43" s="13"/>
      <c r="N43" s="13"/>
      <c r="O43" s="13"/>
      <c r="P43" s="13"/>
      <c r="Q43" s="13"/>
    </row>
    <row r="44" spans="1:17" x14ac:dyDescent="0.25">
      <c r="A44" s="35"/>
      <c r="B44" s="51" t="s">
        <v>32</v>
      </c>
      <c r="C44" s="45">
        <f>+'COSTOS&amp;GASTOS'!N54</f>
        <v>16776316.693333335</v>
      </c>
      <c r="D44" s="46" t="s">
        <v>33</v>
      </c>
      <c r="E44" s="37"/>
      <c r="F44" s="37"/>
      <c r="G44" s="37"/>
      <c r="H44" s="37"/>
      <c r="I44" s="37"/>
      <c r="J44" s="37"/>
      <c r="K44" s="37"/>
      <c r="L44" s="37"/>
      <c r="M44" s="13"/>
      <c r="N44" s="13"/>
      <c r="O44" s="13"/>
      <c r="P44" s="13"/>
      <c r="Q44" s="13"/>
    </row>
    <row r="45" spans="1:17" x14ac:dyDescent="0.25">
      <c r="A45" s="35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13"/>
      <c r="N45" s="13"/>
      <c r="O45" s="13"/>
      <c r="P45" s="13"/>
      <c r="Q45" s="13"/>
    </row>
    <row r="46" spans="1:17" x14ac:dyDescent="0.25">
      <c r="A46" s="35"/>
      <c r="B46" s="49" t="s">
        <v>37</v>
      </c>
      <c r="C46" s="49" t="s">
        <v>38</v>
      </c>
      <c r="D46" s="49" t="s">
        <v>39</v>
      </c>
      <c r="E46" s="49" t="s">
        <v>40</v>
      </c>
      <c r="F46" s="49" t="s">
        <v>41</v>
      </c>
      <c r="G46" s="49" t="s">
        <v>42</v>
      </c>
      <c r="H46" s="49" t="s">
        <v>43</v>
      </c>
      <c r="I46" s="49" t="s">
        <v>44</v>
      </c>
      <c r="J46" s="49" t="s">
        <v>45</v>
      </c>
      <c r="K46" s="49" t="s">
        <v>46</v>
      </c>
      <c r="L46" s="49" t="s">
        <v>47</v>
      </c>
      <c r="M46" s="49" t="s">
        <v>48</v>
      </c>
      <c r="N46" s="49" t="s">
        <v>49</v>
      </c>
      <c r="O46" s="49" t="s">
        <v>50</v>
      </c>
      <c r="P46" s="49" t="s">
        <v>51</v>
      </c>
      <c r="Q46" s="49" t="s">
        <v>52</v>
      </c>
    </row>
    <row r="47" spans="1:17" x14ac:dyDescent="0.25">
      <c r="A47" s="35"/>
      <c r="B47" s="45" t="s">
        <v>207</v>
      </c>
      <c r="C47" s="52">
        <f>+C31*12</f>
        <v>960000000</v>
      </c>
      <c r="D47" s="52">
        <f>+$C$47</f>
        <v>960000000</v>
      </c>
      <c r="E47" s="52">
        <f t="shared" ref="E47:Q47" si="8">+$C$47</f>
        <v>960000000</v>
      </c>
      <c r="F47" s="52">
        <f t="shared" si="8"/>
        <v>960000000</v>
      </c>
      <c r="G47" s="52">
        <f t="shared" si="8"/>
        <v>960000000</v>
      </c>
      <c r="H47" s="52">
        <f t="shared" si="8"/>
        <v>960000000</v>
      </c>
      <c r="I47" s="52">
        <f t="shared" si="8"/>
        <v>960000000</v>
      </c>
      <c r="J47" s="52">
        <f t="shared" si="8"/>
        <v>960000000</v>
      </c>
      <c r="K47" s="52">
        <f t="shared" si="8"/>
        <v>960000000</v>
      </c>
      <c r="L47" s="52">
        <f t="shared" si="8"/>
        <v>960000000</v>
      </c>
      <c r="M47" s="52">
        <f t="shared" si="8"/>
        <v>960000000</v>
      </c>
      <c r="N47" s="52">
        <f t="shared" si="8"/>
        <v>960000000</v>
      </c>
      <c r="O47" s="52">
        <f t="shared" si="8"/>
        <v>960000000</v>
      </c>
      <c r="P47" s="52">
        <f t="shared" si="8"/>
        <v>960000000</v>
      </c>
      <c r="Q47" s="52">
        <f t="shared" si="8"/>
        <v>960000000</v>
      </c>
    </row>
    <row r="48" spans="1:17" x14ac:dyDescent="0.25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13"/>
      <c r="N48" s="13"/>
      <c r="O48" s="13"/>
      <c r="P48" s="13"/>
      <c r="Q48" s="13"/>
    </row>
    <row r="49" spans="2:18" x14ac:dyDescent="0.25">
      <c r="B49" s="49" t="s">
        <v>208</v>
      </c>
      <c r="C49" s="49" t="s">
        <v>38</v>
      </c>
      <c r="D49" s="49" t="s">
        <v>39</v>
      </c>
      <c r="E49" s="49" t="s">
        <v>40</v>
      </c>
      <c r="F49" s="49" t="s">
        <v>41</v>
      </c>
      <c r="G49" s="49" t="s">
        <v>42</v>
      </c>
      <c r="H49" s="49" t="s">
        <v>43</v>
      </c>
      <c r="I49" s="49" t="s">
        <v>44</v>
      </c>
      <c r="J49" s="49" t="s">
        <v>45</v>
      </c>
      <c r="K49" s="49" t="s">
        <v>46</v>
      </c>
      <c r="L49" s="49" t="s">
        <v>47</v>
      </c>
      <c r="M49" s="49" t="s">
        <v>48</v>
      </c>
      <c r="N49" s="49" t="s">
        <v>49</v>
      </c>
      <c r="O49" s="49" t="s">
        <v>50</v>
      </c>
      <c r="P49" s="49" t="s">
        <v>51</v>
      </c>
      <c r="Q49" s="49" t="s">
        <v>52</v>
      </c>
    </row>
    <row r="50" spans="2:18" x14ac:dyDescent="0.25">
      <c r="B50" s="46" t="s">
        <v>53</v>
      </c>
      <c r="C50" s="45">
        <f>+C37</f>
        <v>463565075.19999999</v>
      </c>
      <c r="D50" s="52">
        <f>+C38+C50*0.06</f>
        <v>479528979.71200001</v>
      </c>
      <c r="E50" s="52">
        <f t="shared" ref="E50:Q50" si="9">+D50*0.06+D50</f>
        <v>508300718.49471998</v>
      </c>
      <c r="F50" s="52">
        <f t="shared" si="9"/>
        <v>538798761.60440314</v>
      </c>
      <c r="G50" s="52">
        <f t="shared" si="9"/>
        <v>571126687.30066729</v>
      </c>
      <c r="H50" s="52">
        <f t="shared" si="9"/>
        <v>605394288.53870738</v>
      </c>
      <c r="I50" s="52">
        <f t="shared" si="9"/>
        <v>641717945.85102987</v>
      </c>
      <c r="J50" s="52">
        <f t="shared" si="9"/>
        <v>680221022.60209167</v>
      </c>
      <c r="K50" s="52">
        <f t="shared" si="9"/>
        <v>721034283.95821714</v>
      </c>
      <c r="L50" s="52">
        <f t="shared" si="9"/>
        <v>764296340.99571013</v>
      </c>
      <c r="M50" s="52">
        <f t="shared" si="9"/>
        <v>810154121.45545268</v>
      </c>
      <c r="N50" s="52">
        <f t="shared" si="9"/>
        <v>858763368.74277985</v>
      </c>
      <c r="O50" s="52">
        <f t="shared" si="9"/>
        <v>910289170.86734664</v>
      </c>
      <c r="P50" s="52">
        <f t="shared" si="9"/>
        <v>964906521.11938739</v>
      </c>
      <c r="Q50" s="52">
        <f t="shared" si="9"/>
        <v>1022800912.3865507</v>
      </c>
    </row>
    <row r="51" spans="2:18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</row>
    <row r="52" spans="2:18" x14ac:dyDescent="0.25">
      <c r="B52" s="49" t="s">
        <v>5</v>
      </c>
      <c r="C52" s="49" t="s">
        <v>38</v>
      </c>
      <c r="D52" s="49" t="s">
        <v>39</v>
      </c>
      <c r="E52" s="49" t="s">
        <v>40</v>
      </c>
      <c r="F52" s="49" t="s">
        <v>41</v>
      </c>
      <c r="G52" s="49" t="s">
        <v>42</v>
      </c>
      <c r="H52" s="49" t="s">
        <v>43</v>
      </c>
      <c r="I52" s="49" t="s">
        <v>44</v>
      </c>
      <c r="J52" s="49" t="s">
        <v>45</v>
      </c>
      <c r="K52" s="49" t="s">
        <v>46</v>
      </c>
      <c r="L52" s="49" t="s">
        <v>47</v>
      </c>
      <c r="M52" s="49" t="s">
        <v>48</v>
      </c>
      <c r="N52" s="49" t="s">
        <v>49</v>
      </c>
      <c r="O52" s="49" t="s">
        <v>50</v>
      </c>
      <c r="P52" s="49" t="s">
        <v>51</v>
      </c>
      <c r="Q52" s="49" t="s">
        <v>52</v>
      </c>
    </row>
    <row r="53" spans="2:18" x14ac:dyDescent="0.25">
      <c r="B53" s="46" t="s">
        <v>222</v>
      </c>
      <c r="C53" s="45">
        <f>+G42</f>
        <v>14556316.693333335</v>
      </c>
      <c r="D53" s="52">
        <f>+$C$53</f>
        <v>14556316.693333335</v>
      </c>
      <c r="E53" s="52">
        <f t="shared" ref="E53:Q53" si="10">+$C$53</f>
        <v>14556316.693333335</v>
      </c>
      <c r="F53" s="52">
        <f t="shared" si="10"/>
        <v>14556316.693333335</v>
      </c>
      <c r="G53" s="52">
        <f t="shared" si="10"/>
        <v>14556316.693333335</v>
      </c>
      <c r="H53" s="52">
        <f t="shared" si="10"/>
        <v>14556316.693333335</v>
      </c>
      <c r="I53" s="52">
        <f t="shared" si="10"/>
        <v>14556316.693333335</v>
      </c>
      <c r="J53" s="52">
        <f t="shared" si="10"/>
        <v>14556316.693333335</v>
      </c>
      <c r="K53" s="52">
        <f t="shared" si="10"/>
        <v>14556316.693333335</v>
      </c>
      <c r="L53" s="52">
        <f t="shared" si="10"/>
        <v>14556316.693333335</v>
      </c>
      <c r="M53" s="52">
        <f t="shared" si="10"/>
        <v>14556316.693333335</v>
      </c>
      <c r="N53" s="52">
        <f t="shared" si="10"/>
        <v>14556316.693333335</v>
      </c>
      <c r="O53" s="52">
        <f t="shared" si="10"/>
        <v>14556316.693333335</v>
      </c>
      <c r="P53" s="52">
        <f t="shared" si="10"/>
        <v>14556316.693333335</v>
      </c>
      <c r="Q53" s="52">
        <f t="shared" si="10"/>
        <v>14556316.693333335</v>
      </c>
      <c r="R53" s="1">
        <f>SUM(C53:Q53)</f>
        <v>218344750.39999995</v>
      </c>
    </row>
    <row r="54" spans="2:18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18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</row>
    <row r="56" spans="2:18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</row>
    <row r="57" spans="2:18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</row>
    <row r="58" spans="2:18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</row>
    <row r="59" spans="2:18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</row>
    <row r="60" spans="2:18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</row>
  </sheetData>
  <mergeCells count="1">
    <mergeCell ref="C1:R1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NOMINA</vt:lpstr>
      <vt:lpstr>COSTOS&amp;GASTOS</vt:lpstr>
      <vt:lpstr>ESCENARIO A</vt:lpstr>
      <vt:lpstr>ESCENARIO B</vt:lpstr>
      <vt:lpstr>ESCENARIO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Vivas</dc:creator>
  <cp:lastModifiedBy>Personal</cp:lastModifiedBy>
  <cp:lastPrinted>2019-08-27T20:50:50Z</cp:lastPrinted>
  <dcterms:created xsi:type="dcterms:W3CDTF">2018-11-29T23:40:10Z</dcterms:created>
  <dcterms:modified xsi:type="dcterms:W3CDTF">2019-08-27T20:51:44Z</dcterms:modified>
</cp:coreProperties>
</file>