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5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iruz\Desktop\TESIS VERSION FINAL\"/>
    </mc:Choice>
  </mc:AlternateContent>
  <bookViews>
    <workbookView xWindow="0" yWindow="0" windowWidth="20490" windowHeight="8220" tabRatio="852" xr2:uid="{00000000-000D-0000-FFFF-FFFF00000000}"/>
  </bookViews>
  <sheets>
    <sheet name="Inversion" sheetId="5" r:id="rId1"/>
    <sheet name="Equipos" sheetId="6" r:id="rId2"/>
    <sheet name="Depreciacion equipos" sheetId="3" r:id="rId3"/>
    <sheet name="Nomina" sheetId="9" r:id="rId4"/>
    <sheet name="Auditoria nivel 1" sheetId="1" r:id="rId5"/>
    <sheet name="Auditoria nivel 2" sheetId="2" r:id="rId6"/>
    <sheet name="Auditoria nivel 3" sheetId="4" r:id="rId7"/>
    <sheet name="Costo operacion" sheetId="8" r:id="rId8"/>
    <sheet name="Estimacion de ingresos" sheetId="10" r:id="rId9"/>
    <sheet name="Apalancamiento financiero" sheetId="11" r:id="rId10"/>
    <sheet name="Flujo de caja (recursos)" sheetId="12" r:id="rId11"/>
    <sheet name="Flujo de caja (Financiado)" sheetId="13" r:id="rId12"/>
    <sheet name="Optimista vpn y tir" sheetId="15" r:id="rId13"/>
    <sheet name="Sheet1" sheetId="16" r:id="rId14"/>
  </sheets>
  <calcPr calcId="17102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3" i="13" l="1"/>
  <c r="A221" i="13"/>
  <c r="A222" i="13"/>
  <c r="A223" i="13"/>
  <c r="A224" i="13"/>
  <c r="A225" i="13"/>
  <c r="B44" i="13"/>
  <c r="B51" i="13"/>
  <c r="B49" i="13"/>
  <c r="B53" i="13" s="1"/>
  <c r="A236" i="13" l="1"/>
  <c r="Q25" i="1"/>
  <c r="K25" i="1"/>
  <c r="A235" i="13" l="1"/>
  <c r="B51" i="12"/>
  <c r="B49" i="12"/>
  <c r="B44" i="12"/>
  <c r="W66" i="4"/>
  <c r="B25" i="13"/>
  <c r="A234" i="13" l="1"/>
  <c r="B53" i="12"/>
  <c r="C6" i="15"/>
  <c r="C5" i="15"/>
  <c r="C4" i="15"/>
  <c r="C7" i="15"/>
  <c r="C8" i="15"/>
  <c r="C9" i="15"/>
  <c r="C10" i="15"/>
  <c r="C11" i="15"/>
  <c r="C12" i="15"/>
  <c r="C13" i="15"/>
  <c r="C3" i="15"/>
  <c r="A233" i="13" l="1"/>
  <c r="A232" i="13" l="1"/>
  <c r="A231" i="13" l="1"/>
  <c r="I14" i="8"/>
  <c r="J14" i="8" s="1"/>
  <c r="K14" i="8" s="1"/>
  <c r="L14" i="8" s="1"/>
  <c r="M14" i="8" s="1"/>
  <c r="N14" i="8" s="1"/>
  <c r="O14" i="8" s="1"/>
  <c r="P14" i="8" s="1"/>
  <c r="Q14" i="8" s="1"/>
  <c r="H16" i="8"/>
  <c r="A230" i="13" l="1"/>
  <c r="I15" i="11"/>
  <c r="E25" i="13" s="1"/>
  <c r="I14" i="11"/>
  <c r="D25" i="13" s="1"/>
  <c r="I13" i="11"/>
  <c r="C25" i="13" s="1"/>
  <c r="C38" i="15"/>
  <c r="D38" i="15" s="1"/>
  <c r="C37" i="15"/>
  <c r="D37" i="15" s="1"/>
  <c r="C36" i="15"/>
  <c r="D36" i="15" s="1"/>
  <c r="C35" i="15"/>
  <c r="D35" i="15" s="1"/>
  <c r="C34" i="15"/>
  <c r="D34" i="15" s="1"/>
  <c r="C33" i="15"/>
  <c r="D33" i="15" s="1"/>
  <c r="C32" i="15"/>
  <c r="D32" i="15" s="1"/>
  <c r="C31" i="15"/>
  <c r="D31" i="15" s="1"/>
  <c r="C30" i="15"/>
  <c r="D30" i="15" s="1"/>
  <c r="C29" i="15"/>
  <c r="D29" i="15" s="1"/>
  <c r="C28" i="15"/>
  <c r="B13" i="13"/>
  <c r="B12" i="13"/>
  <c r="B6" i="13"/>
  <c r="G18" i="8"/>
  <c r="B14" i="12"/>
  <c r="B15" i="12"/>
  <c r="B8" i="12"/>
  <c r="H22" i="8"/>
  <c r="C13" i="13" s="1"/>
  <c r="J23" i="8"/>
  <c r="J22" i="8" s="1"/>
  <c r="I23" i="8"/>
  <c r="I22" i="8" s="1"/>
  <c r="D15" i="12" s="1"/>
  <c r="I16" i="8"/>
  <c r="A229" i="13" l="1"/>
  <c r="J16" i="8"/>
  <c r="C15" i="12"/>
  <c r="E13" i="13"/>
  <c r="E15" i="12"/>
  <c r="D13" i="13"/>
  <c r="K23" i="8"/>
  <c r="I16" i="11"/>
  <c r="H13" i="8"/>
  <c r="I13" i="8" s="1"/>
  <c r="J13" i="8" s="1"/>
  <c r="K13" i="8" s="1"/>
  <c r="L13" i="8" s="1"/>
  <c r="M13" i="8" s="1"/>
  <c r="N13" i="8" s="1"/>
  <c r="O13" i="8" s="1"/>
  <c r="P13" i="8" s="1"/>
  <c r="Q13" i="8" s="1"/>
  <c r="L23" i="3"/>
  <c r="B28" i="3"/>
  <c r="B27" i="3"/>
  <c r="B24" i="13" s="1"/>
  <c r="G15" i="8"/>
  <c r="G10" i="8"/>
  <c r="C19" i="5"/>
  <c r="D19" i="5"/>
  <c r="E19" i="5"/>
  <c r="F19" i="5"/>
  <c r="G19" i="5"/>
  <c r="H19" i="5"/>
  <c r="I19" i="5"/>
  <c r="J19" i="5"/>
  <c r="K19" i="5"/>
  <c r="L19" i="5"/>
  <c r="C17" i="5"/>
  <c r="D17" i="5"/>
  <c r="E17" i="5"/>
  <c r="F17" i="5"/>
  <c r="G17" i="5"/>
  <c r="H17" i="5"/>
  <c r="I17" i="5"/>
  <c r="J17" i="5"/>
  <c r="K17" i="5"/>
  <c r="L17" i="5"/>
  <c r="C14" i="5"/>
  <c r="D14" i="5"/>
  <c r="E14" i="5"/>
  <c r="F14" i="5"/>
  <c r="G14" i="5"/>
  <c r="H14" i="5"/>
  <c r="I14" i="5"/>
  <c r="J14" i="5"/>
  <c r="K14" i="5"/>
  <c r="L14" i="5"/>
  <c r="C12" i="5"/>
  <c r="C21" i="5" s="1"/>
  <c r="D12" i="5"/>
  <c r="E12" i="5"/>
  <c r="F12" i="5"/>
  <c r="G12" i="5"/>
  <c r="H12" i="5"/>
  <c r="I12" i="5"/>
  <c r="J12" i="5"/>
  <c r="K12" i="5"/>
  <c r="L12" i="5"/>
  <c r="C3" i="5"/>
  <c r="D3" i="5"/>
  <c r="E3" i="5"/>
  <c r="F3" i="5"/>
  <c r="G3" i="5"/>
  <c r="I3" i="5"/>
  <c r="K3" i="5"/>
  <c r="K21" i="5" s="1"/>
  <c r="L3" i="5"/>
  <c r="D37" i="6"/>
  <c r="D36" i="6"/>
  <c r="D35" i="6"/>
  <c r="D34" i="6"/>
  <c r="D10" i="9"/>
  <c r="D5" i="9"/>
  <c r="C140" i="9"/>
  <c r="C139" i="9"/>
  <c r="C144" i="9" s="1"/>
  <c r="A228" i="13" l="1"/>
  <c r="D43" i="6"/>
  <c r="K16" i="8"/>
  <c r="B5" i="5"/>
  <c r="B5" i="3"/>
  <c r="I16" i="13"/>
  <c r="I18" i="12"/>
  <c r="G19" i="12"/>
  <c r="G17" i="13"/>
  <c r="I20" i="12"/>
  <c r="I18" i="13"/>
  <c r="K19" i="13"/>
  <c r="K21" i="12"/>
  <c r="C19" i="13"/>
  <c r="C21" i="12"/>
  <c r="E20" i="13"/>
  <c r="E22" i="12"/>
  <c r="L23" i="8"/>
  <c r="K22" i="8"/>
  <c r="L16" i="13"/>
  <c r="L18" i="12"/>
  <c r="D16" i="13"/>
  <c r="D18" i="12"/>
  <c r="L18" i="13"/>
  <c r="L20" i="12"/>
  <c r="D18" i="13"/>
  <c r="D20" i="12"/>
  <c r="F19" i="13"/>
  <c r="F21" i="12"/>
  <c r="H20" i="13"/>
  <c r="H22" i="12"/>
  <c r="H11" i="8"/>
  <c r="I11" i="8" s="1"/>
  <c r="J11" i="8" s="1"/>
  <c r="K11" i="8" s="1"/>
  <c r="L11" i="8" s="1"/>
  <c r="M11" i="8" s="1"/>
  <c r="N11" i="8" s="1"/>
  <c r="O11" i="8" s="1"/>
  <c r="P11" i="8" s="1"/>
  <c r="Q11" i="8" s="1"/>
  <c r="G21" i="5"/>
  <c r="K18" i="12"/>
  <c r="K16" i="13"/>
  <c r="G16" i="13"/>
  <c r="G18" i="12"/>
  <c r="C18" i="12"/>
  <c r="C16" i="13"/>
  <c r="I17" i="13"/>
  <c r="I19" i="12"/>
  <c r="E19" i="12"/>
  <c r="E17" i="13"/>
  <c r="K18" i="13"/>
  <c r="K20" i="12"/>
  <c r="G18" i="13"/>
  <c r="G20" i="12"/>
  <c r="C18" i="13"/>
  <c r="C20" i="12"/>
  <c r="I21" i="12"/>
  <c r="I19" i="13"/>
  <c r="E21" i="12"/>
  <c r="E19" i="13"/>
  <c r="K22" i="12"/>
  <c r="K20" i="13"/>
  <c r="G22" i="12"/>
  <c r="G20" i="13"/>
  <c r="C22" i="12"/>
  <c r="C20" i="13"/>
  <c r="E16" i="13"/>
  <c r="E18" i="12"/>
  <c r="K19" i="12"/>
  <c r="K17" i="13"/>
  <c r="C19" i="12"/>
  <c r="C17" i="13"/>
  <c r="E20" i="12"/>
  <c r="E18" i="13"/>
  <c r="G19" i="13"/>
  <c r="G21" i="12"/>
  <c r="I20" i="13"/>
  <c r="I22" i="12"/>
  <c r="B11" i="13"/>
  <c r="B13" i="12"/>
  <c r="D8" i="9"/>
  <c r="B7" i="8" s="1"/>
  <c r="D9" i="9"/>
  <c r="H19" i="8" s="1"/>
  <c r="I19" i="8" s="1"/>
  <c r="J17" i="13"/>
  <c r="J19" i="12"/>
  <c r="F17" i="13"/>
  <c r="F19" i="12"/>
  <c r="H18" i="13"/>
  <c r="H20" i="12"/>
  <c r="J19" i="13"/>
  <c r="J21" i="12"/>
  <c r="L20" i="13"/>
  <c r="L22" i="12"/>
  <c r="D20" i="13"/>
  <c r="D22" i="12"/>
  <c r="L21" i="5"/>
  <c r="D21" i="5"/>
  <c r="F16" i="13"/>
  <c r="F18" i="12"/>
  <c r="L17" i="13"/>
  <c r="L19" i="12"/>
  <c r="H19" i="12"/>
  <c r="H17" i="13"/>
  <c r="D17" i="13"/>
  <c r="D19" i="12"/>
  <c r="J20" i="12"/>
  <c r="J18" i="13"/>
  <c r="F18" i="13"/>
  <c r="F20" i="12"/>
  <c r="L21" i="12"/>
  <c r="L19" i="13"/>
  <c r="H21" i="12"/>
  <c r="H19" i="13"/>
  <c r="D21" i="12"/>
  <c r="D19" i="13"/>
  <c r="J22" i="12"/>
  <c r="J20" i="13"/>
  <c r="F20" i="13"/>
  <c r="F22" i="12"/>
  <c r="B10" i="13"/>
  <c r="B14" i="13" s="1"/>
  <c r="B12" i="12"/>
  <c r="B16" i="12" s="1"/>
  <c r="E136" i="9"/>
  <c r="C143" i="9"/>
  <c r="C149" i="9" s="1"/>
  <c r="C151" i="9" s="1"/>
  <c r="E137" i="9"/>
  <c r="E143" i="9"/>
  <c r="E151" i="9"/>
  <c r="E152" i="9" s="1"/>
  <c r="F21" i="5"/>
  <c r="I21" i="5"/>
  <c r="E21" i="5"/>
  <c r="E145" i="9"/>
  <c r="E135" i="9"/>
  <c r="E150" i="9"/>
  <c r="E144" i="9"/>
  <c r="E153" i="9"/>
  <c r="A226" i="13" l="1"/>
  <c r="A227" i="13"/>
  <c r="L16" i="8"/>
  <c r="C23" i="12"/>
  <c r="F13" i="13"/>
  <c r="F15" i="12"/>
  <c r="I23" i="12"/>
  <c r="E138" i="9"/>
  <c r="G23" i="12"/>
  <c r="M23" i="8"/>
  <c r="L22" i="8"/>
  <c r="I21" i="13"/>
  <c r="E21" i="13"/>
  <c r="G21" i="13"/>
  <c r="L23" i="12"/>
  <c r="F21" i="13"/>
  <c r="K23" i="12"/>
  <c r="D23" i="12"/>
  <c r="E23" i="12"/>
  <c r="D21" i="13"/>
  <c r="F23" i="12"/>
  <c r="C21" i="13"/>
  <c r="K21" i="13"/>
  <c r="L21" i="13"/>
  <c r="E154" i="9"/>
  <c r="E146" i="9"/>
  <c r="J19" i="8"/>
  <c r="M16" i="8" l="1"/>
  <c r="N23" i="8"/>
  <c r="M22" i="8"/>
  <c r="G15" i="12"/>
  <c r="G13" i="13"/>
  <c r="E156" i="9"/>
  <c r="F5" i="9" s="1"/>
  <c r="F9" i="9"/>
  <c r="K19" i="8"/>
  <c r="B26" i="10"/>
  <c r="B45" i="13" s="1"/>
  <c r="B47" i="13" s="1"/>
  <c r="B55" i="13" s="1"/>
  <c r="K17" i="10"/>
  <c r="C17" i="10"/>
  <c r="D17" i="10"/>
  <c r="B17" i="10"/>
  <c r="W80" i="4"/>
  <c r="M80" i="4"/>
  <c r="W94" i="4"/>
  <c r="M94" i="4"/>
  <c r="M66" i="4"/>
  <c r="AB77" i="2"/>
  <c r="AB64" i="2"/>
  <c r="Q77" i="2"/>
  <c r="Q64" i="2"/>
  <c r="Q51" i="2"/>
  <c r="AB51" i="2" s="1"/>
  <c r="Q53" i="1"/>
  <c r="K53" i="1"/>
  <c r="K40" i="1"/>
  <c r="B8" i="8"/>
  <c r="B27" i="10" l="1"/>
  <c r="B45" i="12"/>
  <c r="B47" i="12" s="1"/>
  <c r="B55" i="12" s="1"/>
  <c r="N16" i="8"/>
  <c r="H21" i="8"/>
  <c r="I21" i="8" s="1"/>
  <c r="E158" i="9"/>
  <c r="E5" i="9" s="1"/>
  <c r="E9" i="9" s="1"/>
  <c r="E15" i="1" s="1"/>
  <c r="H13" i="13"/>
  <c r="H15" i="12"/>
  <c r="O23" i="8"/>
  <c r="N22" i="8"/>
  <c r="K18" i="10"/>
  <c r="C26" i="10" s="1"/>
  <c r="C45" i="13" s="1"/>
  <c r="L19" i="8"/>
  <c r="B7" i="13"/>
  <c r="B8" i="13" s="1"/>
  <c r="B9" i="12"/>
  <c r="B10" i="12" s="1"/>
  <c r="D18" i="10"/>
  <c r="B51" i="3"/>
  <c r="B49" i="3"/>
  <c r="B46" i="3"/>
  <c r="B45" i="3"/>
  <c r="C110" i="9"/>
  <c r="C109" i="9"/>
  <c r="C114" i="9" s="1"/>
  <c r="C81" i="9"/>
  <c r="C80" i="9"/>
  <c r="C85" i="9" s="1"/>
  <c r="C51" i="9"/>
  <c r="C50" i="9"/>
  <c r="C55" i="9" s="1"/>
  <c r="C21" i="9"/>
  <c r="C20" i="9"/>
  <c r="E34" i="9" s="1"/>
  <c r="C41" i="12" l="1"/>
  <c r="D41" i="12" s="1"/>
  <c r="C41" i="13"/>
  <c r="O16" i="8"/>
  <c r="C7" i="13"/>
  <c r="C45" i="12"/>
  <c r="I13" i="13"/>
  <c r="I15" i="12"/>
  <c r="K15" i="1"/>
  <c r="AB18" i="2"/>
  <c r="Q15" i="1"/>
  <c r="C18" i="4"/>
  <c r="W18" i="4"/>
  <c r="M18" i="4"/>
  <c r="Q18" i="2"/>
  <c r="F18" i="2"/>
  <c r="P23" i="8"/>
  <c r="O22" i="8"/>
  <c r="D26" i="10"/>
  <c r="D45" i="13" s="1"/>
  <c r="J21" i="8"/>
  <c r="M19" i="8"/>
  <c r="E48" i="9"/>
  <c r="E56" i="9"/>
  <c r="E62" i="9"/>
  <c r="E63" i="9" s="1"/>
  <c r="E46" i="9"/>
  <c r="E54" i="9"/>
  <c r="E26" i="9"/>
  <c r="E94" i="9"/>
  <c r="E32" i="9"/>
  <c r="E33" i="9" s="1"/>
  <c r="E55" i="9"/>
  <c r="E64" i="9"/>
  <c r="E105" i="9"/>
  <c r="E16" i="9"/>
  <c r="E76" i="9"/>
  <c r="C24" i="9"/>
  <c r="E85" i="9"/>
  <c r="E18" i="9"/>
  <c r="E24" i="9"/>
  <c r="E47" i="9"/>
  <c r="C54" i="9"/>
  <c r="C60" i="9" s="1"/>
  <c r="C62" i="9" s="1"/>
  <c r="E61" i="9"/>
  <c r="E77" i="9"/>
  <c r="E91" i="9"/>
  <c r="E78" i="9"/>
  <c r="C84" i="9"/>
  <c r="C90" i="9" s="1"/>
  <c r="C92" i="9" s="1"/>
  <c r="E86" i="9"/>
  <c r="E106" i="9"/>
  <c r="E114" i="9"/>
  <c r="E120" i="9"/>
  <c r="E123" i="9"/>
  <c r="E84" i="9"/>
  <c r="E92" i="9"/>
  <c r="E93" i="9" s="1"/>
  <c r="E107" i="9"/>
  <c r="C113" i="9"/>
  <c r="C119" i="9" s="1"/>
  <c r="C121" i="9" s="1"/>
  <c r="E115" i="9"/>
  <c r="E113" i="9"/>
  <c r="E121" i="9"/>
  <c r="E122" i="9" s="1"/>
  <c r="C25" i="9"/>
  <c r="E17" i="9"/>
  <c r="E25" i="9"/>
  <c r="E31" i="9"/>
  <c r="E41" i="12" l="1"/>
  <c r="F41" i="12" s="1"/>
  <c r="G41" i="12" s="1"/>
  <c r="H41" i="12" s="1"/>
  <c r="I41" i="12" s="1"/>
  <c r="J41" i="12" s="1"/>
  <c r="K41" i="12" s="1"/>
  <c r="L41" i="12" s="1"/>
  <c r="B59" i="12" a="1"/>
  <c r="B60" i="12" s="1"/>
  <c r="D41" i="13"/>
  <c r="E41" i="13" s="1"/>
  <c r="F41" i="13" s="1"/>
  <c r="G41" i="13" s="1"/>
  <c r="H41" i="13" s="1"/>
  <c r="I41" i="13" s="1"/>
  <c r="J41" i="13" s="1"/>
  <c r="K41" i="13" s="1"/>
  <c r="L41" i="13" s="1"/>
  <c r="E26" i="10"/>
  <c r="D9" i="12" s="1"/>
  <c r="D45" i="12"/>
  <c r="C9" i="12"/>
  <c r="P16" i="8"/>
  <c r="Q23" i="8"/>
  <c r="Q22" i="8" s="1"/>
  <c r="P22" i="8"/>
  <c r="J13" i="13"/>
  <c r="J15" i="12"/>
  <c r="D7" i="13"/>
  <c r="E65" i="9"/>
  <c r="C30" i="9"/>
  <c r="C32" i="9" s="1"/>
  <c r="K21" i="8"/>
  <c r="E27" i="9"/>
  <c r="E87" i="9"/>
  <c r="N19" i="8"/>
  <c r="E57" i="9"/>
  <c r="E108" i="9"/>
  <c r="E79" i="9"/>
  <c r="E49" i="9"/>
  <c r="E19" i="9"/>
  <c r="E95" i="9"/>
  <c r="E35" i="9"/>
  <c r="E124" i="9"/>
  <c r="E116" i="9"/>
  <c r="B69" i="12" l="1"/>
  <c r="B61" i="12"/>
  <c r="B88" i="12" s="1"/>
  <c r="F88" i="12" s="1"/>
  <c r="B64" i="12"/>
  <c r="B62" i="12"/>
  <c r="B66" i="12"/>
  <c r="B59" i="12"/>
  <c r="F59" i="12" s="1"/>
  <c r="B65" i="12"/>
  <c r="B63" i="12"/>
  <c r="B67" i="12"/>
  <c r="B94" i="12" s="1"/>
  <c r="F94" i="12" s="1"/>
  <c r="E45" i="12"/>
  <c r="E45" i="13"/>
  <c r="B68" i="12"/>
  <c r="F68" i="12" s="1"/>
  <c r="A61" i="13" a="1"/>
  <c r="F60" i="12"/>
  <c r="B87" i="12"/>
  <c r="E7" i="13"/>
  <c r="Q16" i="8"/>
  <c r="F64" i="12"/>
  <c r="B91" i="12"/>
  <c r="F91" i="12" s="1"/>
  <c r="F63" i="12"/>
  <c r="B90" i="12"/>
  <c r="F90" i="12" s="1"/>
  <c r="F61" i="12"/>
  <c r="F26" i="10"/>
  <c r="E9" i="12" s="1"/>
  <c r="F62" i="12"/>
  <c r="B89" i="12"/>
  <c r="F89" i="12" s="1"/>
  <c r="F67" i="12"/>
  <c r="F69" i="12"/>
  <c r="B96" i="12"/>
  <c r="F96" i="12" s="1"/>
  <c r="F65" i="12"/>
  <c r="B92" i="12"/>
  <c r="F92" i="12" s="1"/>
  <c r="F66" i="12"/>
  <c r="B93" i="12"/>
  <c r="F93" i="12" s="1"/>
  <c r="K13" i="13"/>
  <c r="K15" i="12"/>
  <c r="E37" i="9"/>
  <c r="E39" i="9" s="1"/>
  <c r="E2" i="9" s="1"/>
  <c r="L13" i="13"/>
  <c r="L15" i="12"/>
  <c r="E97" i="9"/>
  <c r="F6" i="9" s="1"/>
  <c r="L21" i="8"/>
  <c r="E99" i="9"/>
  <c r="E6" i="9" s="1"/>
  <c r="E67" i="9"/>
  <c r="E69" i="9" s="1"/>
  <c r="O19" i="8"/>
  <c r="E126" i="9"/>
  <c r="B95" i="12" l="1"/>
  <c r="F95" i="12" s="1"/>
  <c r="F45" i="12"/>
  <c r="F45" i="13"/>
  <c r="A63" i="13"/>
  <c r="A69" i="13"/>
  <c r="A64" i="13"/>
  <c r="A70" i="13"/>
  <c r="A65" i="13"/>
  <c r="A67" i="13"/>
  <c r="A66" i="13"/>
  <c r="A61" i="13"/>
  <c r="A62" i="13"/>
  <c r="A68" i="13"/>
  <c r="F7" i="13"/>
  <c r="F4" i="9"/>
  <c r="F2" i="9"/>
  <c r="B86" i="12"/>
  <c r="B85" i="12" s="1"/>
  <c r="B84" i="12" s="1"/>
  <c r="B83" i="12" s="1"/>
  <c r="B82" i="12" s="1"/>
  <c r="B81" i="12" s="1"/>
  <c r="B80" i="12" s="1"/>
  <c r="B79" i="12" s="1"/>
  <c r="B78" i="12" s="1"/>
  <c r="B77" i="12" s="1"/>
  <c r="B76" i="12" s="1"/>
  <c r="B75" i="12" s="1"/>
  <c r="B74" i="12" s="1"/>
  <c r="B73" i="12" s="1"/>
  <c r="B72" i="12" s="1"/>
  <c r="F87" i="12"/>
  <c r="G26" i="10"/>
  <c r="F3" i="9"/>
  <c r="M21" i="8"/>
  <c r="E128" i="9"/>
  <c r="E7" i="9" s="1"/>
  <c r="F7" i="9"/>
  <c r="E3" i="9"/>
  <c r="E4" i="9"/>
  <c r="G7" i="4"/>
  <c r="L6" i="1"/>
  <c r="Q7" i="4"/>
  <c r="AF8" i="2"/>
  <c r="R6" i="1"/>
  <c r="R8" i="2"/>
  <c r="F6" i="1"/>
  <c r="N7" i="4"/>
  <c r="AC8" i="2"/>
  <c r="U8" i="2"/>
  <c r="X7" i="4"/>
  <c r="AD7" i="4"/>
  <c r="D7" i="4"/>
  <c r="J8" i="2"/>
  <c r="T7" i="4"/>
  <c r="J7" i="4"/>
  <c r="AA7" i="4"/>
  <c r="G8" i="2"/>
  <c r="P19" i="8"/>
  <c r="C6" i="8"/>
  <c r="C7" i="8"/>
  <c r="C5" i="8"/>
  <c r="J23" i="3"/>
  <c r="K23" i="3"/>
  <c r="I23" i="3"/>
  <c r="B29" i="3"/>
  <c r="B26" i="12" s="1"/>
  <c r="E21" i="3"/>
  <c r="F21" i="3"/>
  <c r="G21" i="3"/>
  <c r="H21" i="3"/>
  <c r="D21" i="3"/>
  <c r="D32" i="6"/>
  <c r="J7" i="5" s="1"/>
  <c r="J3" i="5" s="1"/>
  <c r="D7" i="6"/>
  <c r="E5" i="3"/>
  <c r="C19" i="3" s="1"/>
  <c r="L19" i="3" s="1"/>
  <c r="D3" i="6"/>
  <c r="B4" i="3" s="1"/>
  <c r="E4" i="3" s="1"/>
  <c r="C18" i="3" s="1"/>
  <c r="D4" i="6"/>
  <c r="D5" i="6"/>
  <c r="D6" i="6"/>
  <c r="D8" i="6"/>
  <c r="B8" i="5" s="1"/>
  <c r="D9" i="6"/>
  <c r="B10" i="3" s="1"/>
  <c r="E10" i="3" s="1"/>
  <c r="C24" i="3" s="1"/>
  <c r="D10" i="6"/>
  <c r="D11" i="6"/>
  <c r="B10" i="5" s="1"/>
  <c r="H10" i="5" s="1"/>
  <c r="D12" i="6"/>
  <c r="B9" i="5" s="1"/>
  <c r="H9" i="5" s="1"/>
  <c r="D14" i="6"/>
  <c r="C15" i="6"/>
  <c r="C16" i="6"/>
  <c r="B48" i="3" s="1"/>
  <c r="D17" i="6"/>
  <c r="C18" i="6"/>
  <c r="D19" i="6"/>
  <c r="C20" i="6"/>
  <c r="D21" i="6"/>
  <c r="D22" i="6"/>
  <c r="D23" i="6"/>
  <c r="D24" i="6"/>
  <c r="D26" i="6"/>
  <c r="D27" i="6"/>
  <c r="D28" i="6"/>
  <c r="D29" i="6"/>
  <c r="D30" i="6"/>
  <c r="B19" i="5"/>
  <c r="B17" i="5"/>
  <c r="B14" i="5"/>
  <c r="B12" i="5"/>
  <c r="G45" i="12" l="1"/>
  <c r="G45" i="13"/>
  <c r="A214" i="13"/>
  <c r="E214" i="13" s="1"/>
  <c r="D64" i="13"/>
  <c r="F9" i="12"/>
  <c r="A218" i="13"/>
  <c r="E218" i="13" s="1"/>
  <c r="D68" i="13"/>
  <c r="A217" i="13"/>
  <c r="E217" i="13" s="1"/>
  <c r="D67" i="13"/>
  <c r="A219" i="13"/>
  <c r="E219" i="13" s="1"/>
  <c r="D69" i="13"/>
  <c r="A211" i="13"/>
  <c r="D61" i="13"/>
  <c r="A220" i="13"/>
  <c r="E220" i="13" s="1"/>
  <c r="D70" i="13"/>
  <c r="A216" i="13"/>
  <c r="E216" i="13" s="1"/>
  <c r="D66" i="13"/>
  <c r="B9" i="3"/>
  <c r="E9" i="3" s="1"/>
  <c r="C23" i="3" s="1"/>
  <c r="E23" i="3" s="1"/>
  <c r="F10" i="9"/>
  <c r="H12" i="8" s="1"/>
  <c r="A212" i="13"/>
  <c r="E212" i="13" s="1"/>
  <c r="D62" i="13"/>
  <c r="A215" i="13"/>
  <c r="E215" i="13" s="1"/>
  <c r="D65" i="13"/>
  <c r="A213" i="13"/>
  <c r="E213" i="13" s="1"/>
  <c r="D63" i="13"/>
  <c r="F8" i="9"/>
  <c r="G7" i="13"/>
  <c r="H26" i="10"/>
  <c r="F86" i="12"/>
  <c r="F85" i="12" s="1"/>
  <c r="B20" i="13"/>
  <c r="B22" i="12"/>
  <c r="D15" i="6"/>
  <c r="B47" i="3"/>
  <c r="J18" i="12"/>
  <c r="J16" i="13"/>
  <c r="J21" i="13" s="1"/>
  <c r="J21" i="5"/>
  <c r="B17" i="13"/>
  <c r="B19" i="12"/>
  <c r="B6" i="5"/>
  <c r="H6" i="5" s="1"/>
  <c r="H3" i="5" s="1"/>
  <c r="D41" i="6"/>
  <c r="D42" i="6"/>
  <c r="B12" i="3"/>
  <c r="E12" i="3" s="1"/>
  <c r="C26" i="3" s="1"/>
  <c r="B7" i="3"/>
  <c r="E7" i="3" s="1"/>
  <c r="L21" i="3" s="1"/>
  <c r="B21" i="12"/>
  <c r="B19" i="13"/>
  <c r="L18" i="3"/>
  <c r="D18" i="6"/>
  <c r="B50" i="3"/>
  <c r="D20" i="6"/>
  <c r="B52" i="3"/>
  <c r="D16" i="6"/>
  <c r="B4" i="5"/>
  <c r="B6" i="3"/>
  <c r="E6" i="3" s="1"/>
  <c r="C20" i="3" s="1"/>
  <c r="G20" i="3" s="1"/>
  <c r="B8" i="3"/>
  <c r="E8" i="3" s="1"/>
  <c r="C22" i="3" s="1"/>
  <c r="L22" i="3" s="1"/>
  <c r="E10" i="9"/>
  <c r="N21" i="8"/>
  <c r="I7" i="4"/>
  <c r="AE8" i="2"/>
  <c r="W7" i="4"/>
  <c r="C7" i="4"/>
  <c r="Q8" i="2"/>
  <c r="Q6" i="1"/>
  <c r="E6" i="1"/>
  <c r="AC7" i="4"/>
  <c r="I8" i="2"/>
  <c r="AB8" i="2"/>
  <c r="S7" i="4"/>
  <c r="F7" i="4"/>
  <c r="Z7" i="4"/>
  <c r="T8" i="2"/>
  <c r="P7" i="4"/>
  <c r="M7" i="4"/>
  <c r="F8" i="2"/>
  <c r="K6" i="1"/>
  <c r="E8" i="9"/>
  <c r="Y7" i="4"/>
  <c r="E7" i="4"/>
  <c r="S8" i="2"/>
  <c r="S6" i="1"/>
  <c r="O7" i="4"/>
  <c r="AD8" i="2"/>
  <c r="H8" i="2"/>
  <c r="M6" i="1"/>
  <c r="G6" i="1"/>
  <c r="R7" i="4"/>
  <c r="AG8" i="2"/>
  <c r="AB7" i="4"/>
  <c r="H7" i="4"/>
  <c r="V8" i="2"/>
  <c r="K8" i="2"/>
  <c r="Q19" i="8"/>
  <c r="C8" i="8"/>
  <c r="B20" i="12"/>
  <c r="B18" i="13"/>
  <c r="H19" i="3"/>
  <c r="D19" i="3"/>
  <c r="I19" i="3"/>
  <c r="F19" i="3"/>
  <c r="J19" i="3"/>
  <c r="G19" i="3"/>
  <c r="E19" i="3"/>
  <c r="K19" i="3"/>
  <c r="F20" i="3"/>
  <c r="E24" i="3"/>
  <c r="G24" i="3"/>
  <c r="D24" i="3"/>
  <c r="F24" i="3"/>
  <c r="G23" i="3"/>
  <c r="F23" i="3"/>
  <c r="D23" i="3"/>
  <c r="H18" i="3"/>
  <c r="D18" i="3"/>
  <c r="F18" i="3"/>
  <c r="J18" i="3"/>
  <c r="G18" i="3"/>
  <c r="E18" i="3"/>
  <c r="I18" i="3"/>
  <c r="K18" i="3"/>
  <c r="K21" i="3"/>
  <c r="J21" i="3"/>
  <c r="I21" i="3"/>
  <c r="G22" i="3"/>
  <c r="I12" i="8" l="1"/>
  <c r="H10" i="8"/>
  <c r="C10" i="13" s="1"/>
  <c r="H45" i="12"/>
  <c r="H45" i="13"/>
  <c r="E211" i="13"/>
  <c r="A210" i="13"/>
  <c r="K22" i="3"/>
  <c r="I26" i="10"/>
  <c r="J22" i="3"/>
  <c r="H22" i="3"/>
  <c r="D39" i="6"/>
  <c r="D20" i="3"/>
  <c r="E20" i="3"/>
  <c r="G9" i="12"/>
  <c r="H7" i="13"/>
  <c r="D40" i="6"/>
  <c r="B11" i="5" s="1"/>
  <c r="B3" i="5" s="1"/>
  <c r="F84" i="12"/>
  <c r="F83" i="12" s="1"/>
  <c r="F82" i="12" s="1"/>
  <c r="F81" i="12" s="1"/>
  <c r="F80" i="12" s="1"/>
  <c r="F79" i="12" s="1"/>
  <c r="F78" i="12" s="1"/>
  <c r="F77" i="12" s="1"/>
  <c r="F76" i="12" s="1"/>
  <c r="F75" i="12" s="1"/>
  <c r="L26" i="3"/>
  <c r="L28" i="3" s="1"/>
  <c r="Q20" i="8" s="1"/>
  <c r="D26" i="3"/>
  <c r="H26" i="3"/>
  <c r="H28" i="3" s="1"/>
  <c r="M20" i="8" s="1"/>
  <c r="H51" i="13" s="1"/>
  <c r="G26" i="3"/>
  <c r="E26" i="3"/>
  <c r="F26" i="3"/>
  <c r="I26" i="3"/>
  <c r="J26" i="3"/>
  <c r="K26" i="3"/>
  <c r="B11" i="3"/>
  <c r="E11" i="3" s="1"/>
  <c r="C25" i="3" s="1"/>
  <c r="F22" i="3"/>
  <c r="I22" i="3"/>
  <c r="C28" i="3"/>
  <c r="H20" i="8" s="1"/>
  <c r="G28" i="3"/>
  <c r="L20" i="8" s="1"/>
  <c r="G51" i="13" s="1"/>
  <c r="J28" i="3"/>
  <c r="O20" i="8" s="1"/>
  <c r="J23" i="12"/>
  <c r="D22" i="3"/>
  <c r="E22" i="3"/>
  <c r="H16" i="13"/>
  <c r="H21" i="13" s="1"/>
  <c r="H18" i="12"/>
  <c r="H23" i="12" s="1"/>
  <c r="H21" i="5"/>
  <c r="O21" i="8"/>
  <c r="C12" i="12"/>
  <c r="J12" i="8"/>
  <c r="I10" i="8"/>
  <c r="I45" i="12" l="1"/>
  <c r="I45" i="13"/>
  <c r="H9" i="12"/>
  <c r="D28" i="3"/>
  <c r="I20" i="8" s="1"/>
  <c r="D51" i="13" s="1"/>
  <c r="C51" i="12"/>
  <c r="C51" i="13"/>
  <c r="I7" i="13"/>
  <c r="I28" i="3"/>
  <c r="N20" i="8" s="1"/>
  <c r="K28" i="3"/>
  <c r="P20" i="8" s="1"/>
  <c r="L51" i="12"/>
  <c r="L51" i="13"/>
  <c r="E210" i="13"/>
  <c r="A209" i="13"/>
  <c r="J26" i="10"/>
  <c r="K26" i="10" s="1"/>
  <c r="J51" i="12"/>
  <c r="J51" i="13"/>
  <c r="F28" i="3"/>
  <c r="K20" i="8" s="1"/>
  <c r="F51" i="13" s="1"/>
  <c r="E28" i="3"/>
  <c r="J20" i="8" s="1"/>
  <c r="E51" i="13" s="1"/>
  <c r="J18" i="8"/>
  <c r="E12" i="13" s="1"/>
  <c r="E51" i="12"/>
  <c r="L18" i="8"/>
  <c r="G14" i="12" s="1"/>
  <c r="G51" i="12"/>
  <c r="K18" i="8"/>
  <c r="F14" i="12" s="1"/>
  <c r="F51" i="12"/>
  <c r="N18" i="8"/>
  <c r="I14" i="12" s="1"/>
  <c r="M18" i="8"/>
  <c r="H14" i="12" s="1"/>
  <c r="H51" i="12"/>
  <c r="H12" i="13"/>
  <c r="B16" i="13"/>
  <c r="B21" i="13" s="1"/>
  <c r="B18" i="12"/>
  <c r="B23" i="12" s="1"/>
  <c r="B24" i="12" s="1"/>
  <c r="B27" i="12" s="1"/>
  <c r="B21" i="5"/>
  <c r="F12" i="13"/>
  <c r="H18" i="8"/>
  <c r="L25" i="3"/>
  <c r="F25" i="3"/>
  <c r="D25" i="3"/>
  <c r="C27" i="3"/>
  <c r="I25" i="3"/>
  <c r="I27" i="3" s="1"/>
  <c r="J25" i="3"/>
  <c r="G25" i="3"/>
  <c r="H25" i="3"/>
  <c r="K25" i="3"/>
  <c r="E25" i="3"/>
  <c r="E27" i="3" s="1"/>
  <c r="N21" i="12"/>
  <c r="G12" i="13"/>
  <c r="C29" i="3"/>
  <c r="C26" i="12" s="1"/>
  <c r="P21" i="8"/>
  <c r="O18" i="8"/>
  <c r="K12" i="8"/>
  <c r="J10" i="8"/>
  <c r="D10" i="13"/>
  <c r="D12" i="12"/>
  <c r="W12" i="4"/>
  <c r="W14" i="4" s="1"/>
  <c r="X12" i="4"/>
  <c r="Z12" i="4"/>
  <c r="AA12" i="4"/>
  <c r="AC12" i="4"/>
  <c r="AD12" i="4"/>
  <c r="AB6" i="4"/>
  <c r="AB8" i="4" s="1"/>
  <c r="P12" i="4"/>
  <c r="Q12" i="4"/>
  <c r="R6" i="4"/>
  <c r="R12" i="4" s="1"/>
  <c r="H6" i="4"/>
  <c r="H12" i="4" s="1"/>
  <c r="T13" i="2"/>
  <c r="I13" i="2"/>
  <c r="AF13" i="2"/>
  <c r="AE13" i="2"/>
  <c r="U7" i="2"/>
  <c r="U13" i="2" s="1"/>
  <c r="J7" i="2"/>
  <c r="J13" i="2" s="1"/>
  <c r="K7" i="2"/>
  <c r="K9" i="2" s="1"/>
  <c r="G7" i="2"/>
  <c r="R7" i="2"/>
  <c r="AC7" i="2"/>
  <c r="V7" i="2"/>
  <c r="V9" i="2" s="1"/>
  <c r="AG7" i="2"/>
  <c r="AG9" i="2" s="1"/>
  <c r="AG14" i="2"/>
  <c r="AG11" i="2"/>
  <c r="AG10" i="2"/>
  <c r="AG12" i="2" s="1"/>
  <c r="V14" i="2"/>
  <c r="V11" i="2"/>
  <c r="V10" i="2"/>
  <c r="K14" i="2"/>
  <c r="J14" i="2"/>
  <c r="I14" i="2"/>
  <c r="G14" i="2"/>
  <c r="K11" i="2"/>
  <c r="J11" i="2"/>
  <c r="I11" i="2"/>
  <c r="G11" i="2"/>
  <c r="K10" i="2"/>
  <c r="K12" i="2" s="1"/>
  <c r="N9" i="4"/>
  <c r="AF10" i="2"/>
  <c r="AE10" i="2"/>
  <c r="AC10" i="2"/>
  <c r="AB10" i="2"/>
  <c r="U10" i="2"/>
  <c r="T10" i="2"/>
  <c r="R10" i="2"/>
  <c r="Q10" i="2"/>
  <c r="J10" i="2"/>
  <c r="I10" i="2"/>
  <c r="G10" i="2"/>
  <c r="R8" i="1"/>
  <c r="Q8" i="1"/>
  <c r="L8" i="1"/>
  <c r="K8" i="1"/>
  <c r="F8" i="1"/>
  <c r="F10" i="1" s="1"/>
  <c r="E7" i="1"/>
  <c r="F7" i="1"/>
  <c r="G7" i="1"/>
  <c r="G14" i="1" s="1"/>
  <c r="E10" i="1"/>
  <c r="E13" i="1"/>
  <c r="F13" i="1"/>
  <c r="O45" i="3"/>
  <c r="P45" i="3" s="1"/>
  <c r="W55" i="4"/>
  <c r="W36" i="4"/>
  <c r="W35" i="4"/>
  <c r="W30" i="4"/>
  <c r="W29" i="4"/>
  <c r="W28" i="4"/>
  <c r="W26" i="4"/>
  <c r="W56" i="4" s="1"/>
  <c r="Y14" i="4"/>
  <c r="AD13" i="4"/>
  <c r="AA13" i="4"/>
  <c r="AA14" i="4" s="1"/>
  <c r="Z13" i="4"/>
  <c r="X13" i="4"/>
  <c r="AC13" i="4" s="1"/>
  <c r="Y11" i="4"/>
  <c r="W11" i="4"/>
  <c r="AC10" i="4"/>
  <c r="Z10" i="4"/>
  <c r="AD10" i="4" s="1"/>
  <c r="X10" i="4"/>
  <c r="AA10" i="4" s="1"/>
  <c r="AC9" i="4"/>
  <c r="AA9" i="4"/>
  <c r="Z9" i="4"/>
  <c r="Z11" i="4" s="1"/>
  <c r="X9" i="4"/>
  <c r="AD9" i="4" s="1"/>
  <c r="X8" i="4"/>
  <c r="W8" i="4"/>
  <c r="AD8" i="4"/>
  <c r="AC8" i="4"/>
  <c r="AA8" i="4"/>
  <c r="Z8" i="4"/>
  <c r="Y8" i="4"/>
  <c r="M55" i="4"/>
  <c r="M36" i="4"/>
  <c r="M35" i="4"/>
  <c r="M30" i="4"/>
  <c r="M29" i="4"/>
  <c r="M28" i="4"/>
  <c r="M26" i="4"/>
  <c r="M56" i="4" s="1"/>
  <c r="O14" i="4"/>
  <c r="T13" i="4"/>
  <c r="Q13" i="4"/>
  <c r="P13" i="4"/>
  <c r="N13" i="4"/>
  <c r="S13" i="4" s="1"/>
  <c r="T12" i="4"/>
  <c r="N12" i="4"/>
  <c r="M12" i="4"/>
  <c r="M14" i="4" s="1"/>
  <c r="O11" i="4"/>
  <c r="M11" i="4"/>
  <c r="S10" i="4"/>
  <c r="P10" i="4"/>
  <c r="T10" i="4" s="1"/>
  <c r="N10" i="4"/>
  <c r="Q10" i="4" s="1"/>
  <c r="S9" i="4"/>
  <c r="Q9" i="4"/>
  <c r="P9" i="4"/>
  <c r="P11" i="4" s="1"/>
  <c r="N8" i="4"/>
  <c r="M8" i="4"/>
  <c r="Q8" i="4"/>
  <c r="P8" i="4"/>
  <c r="O8" i="4"/>
  <c r="T8" i="4"/>
  <c r="S12" i="4"/>
  <c r="I12" i="4"/>
  <c r="J12" i="4"/>
  <c r="J13" i="4"/>
  <c r="G13" i="4"/>
  <c r="F13" i="4"/>
  <c r="AB13" i="4" s="1"/>
  <c r="D13" i="4"/>
  <c r="I13" i="4" s="1"/>
  <c r="I10" i="4"/>
  <c r="F10" i="4"/>
  <c r="J10" i="4" s="1"/>
  <c r="D10" i="4"/>
  <c r="G10" i="4" s="1"/>
  <c r="I9" i="4"/>
  <c r="I11" i="4" s="1"/>
  <c r="G9" i="4"/>
  <c r="F9" i="4"/>
  <c r="AB9" i="4" s="1"/>
  <c r="D9" i="4"/>
  <c r="J9" i="4" s="1"/>
  <c r="F8" i="4"/>
  <c r="J8" i="4"/>
  <c r="I8" i="4"/>
  <c r="J7" i="13" l="1"/>
  <c r="I9" i="12"/>
  <c r="D51" i="12"/>
  <c r="K45" i="12"/>
  <c r="K45" i="13"/>
  <c r="I12" i="13"/>
  <c r="E14" i="12"/>
  <c r="I18" i="8"/>
  <c r="J45" i="12"/>
  <c r="J45" i="13"/>
  <c r="I51" i="12"/>
  <c r="I51" i="13"/>
  <c r="N11" i="4"/>
  <c r="N15" i="4" s="1"/>
  <c r="A208" i="13"/>
  <c r="E209" i="13"/>
  <c r="K51" i="12"/>
  <c r="K51" i="13"/>
  <c r="I14" i="4"/>
  <c r="I15" i="4" s="1"/>
  <c r="E29" i="3"/>
  <c r="E26" i="12" s="1"/>
  <c r="Z14" i="4"/>
  <c r="R8" i="4"/>
  <c r="AD14" i="4"/>
  <c r="X14" i="4"/>
  <c r="B22" i="13"/>
  <c r="B26" i="13" s="1"/>
  <c r="H14" i="4"/>
  <c r="K29" i="3"/>
  <c r="K26" i="12" s="1"/>
  <c r="K27" i="3"/>
  <c r="I24" i="13"/>
  <c r="N17" i="8"/>
  <c r="N15" i="8" s="1"/>
  <c r="L29" i="3"/>
  <c r="L26" i="12" s="1"/>
  <c r="L27" i="3"/>
  <c r="Y15" i="4"/>
  <c r="H8" i="4"/>
  <c r="R10" i="4"/>
  <c r="AB10" i="4"/>
  <c r="AB11" i="4" s="1"/>
  <c r="C24" i="13"/>
  <c r="H17" i="8"/>
  <c r="P14" i="4"/>
  <c r="P15" i="4" s="1"/>
  <c r="AA11" i="4"/>
  <c r="E14" i="1"/>
  <c r="H9" i="4"/>
  <c r="AB12" i="4"/>
  <c r="AB14" i="4" s="1"/>
  <c r="G29" i="3"/>
  <c r="G26" i="12" s="1"/>
  <c r="G27" i="3"/>
  <c r="D27" i="3"/>
  <c r="D29" i="3"/>
  <c r="D26" i="12" s="1"/>
  <c r="C14" i="12"/>
  <c r="C12" i="13"/>
  <c r="M21" i="5"/>
  <c r="B31" i="12"/>
  <c r="R9" i="4"/>
  <c r="H13" i="4"/>
  <c r="H29" i="3"/>
  <c r="H26" i="12" s="1"/>
  <c r="H27" i="3"/>
  <c r="I29" i="3"/>
  <c r="I26" i="12" s="1"/>
  <c r="J11" i="4"/>
  <c r="Q14" i="4"/>
  <c r="H10" i="4"/>
  <c r="R13" i="4"/>
  <c r="R14" i="4" s="1"/>
  <c r="E24" i="13"/>
  <c r="J17" i="8"/>
  <c r="J15" i="8" s="1"/>
  <c r="J24" i="8" s="1"/>
  <c r="J29" i="3"/>
  <c r="J26" i="12" s="1"/>
  <c r="J27" i="3"/>
  <c r="F27" i="3"/>
  <c r="F29" i="3"/>
  <c r="F26" i="12" s="1"/>
  <c r="B28" i="15"/>
  <c r="D28" i="15" s="1"/>
  <c r="J12" i="13"/>
  <c r="J14" i="12"/>
  <c r="Q21" i="8"/>
  <c r="Q18" i="8" s="1"/>
  <c r="P18" i="8"/>
  <c r="L12" i="8"/>
  <c r="K10" i="8"/>
  <c r="E10" i="13"/>
  <c r="E12" i="12"/>
  <c r="L26" i="10"/>
  <c r="K7" i="13"/>
  <c r="J9" i="12"/>
  <c r="F14" i="1"/>
  <c r="N26" i="4"/>
  <c r="O26" i="4" s="1"/>
  <c r="X46" i="4"/>
  <c r="Y46" i="4" s="1"/>
  <c r="X26" i="4"/>
  <c r="Y26" i="4" s="1"/>
  <c r="V12" i="2"/>
  <c r="K13" i="2"/>
  <c r="K15" i="2" s="1"/>
  <c r="K16" i="2" s="1"/>
  <c r="AG13" i="2"/>
  <c r="AG15" i="2" s="1"/>
  <c r="AG16" i="2" s="1"/>
  <c r="V13" i="2"/>
  <c r="V15" i="2" s="1"/>
  <c r="V16" i="2" s="1"/>
  <c r="S14" i="4"/>
  <c r="AA15" i="4"/>
  <c r="O15" i="4"/>
  <c r="S11" i="4"/>
  <c r="N14" i="4"/>
  <c r="AC11" i="4"/>
  <c r="AC14" i="4"/>
  <c r="J14" i="4"/>
  <c r="M15" i="4"/>
  <c r="T14" i="4"/>
  <c r="W15" i="4"/>
  <c r="D46" i="4"/>
  <c r="E46" i="4" s="1"/>
  <c r="N46" i="4"/>
  <c r="O46" i="4" s="1"/>
  <c r="Z15" i="4"/>
  <c r="AD11" i="4"/>
  <c r="AD15" i="4" s="1"/>
  <c r="X11" i="4"/>
  <c r="X15" i="4" s="1"/>
  <c r="Q11" i="4"/>
  <c r="Q15" i="4" s="1"/>
  <c r="T9" i="4"/>
  <c r="T11" i="4" s="1"/>
  <c r="S8" i="4"/>
  <c r="C55" i="4"/>
  <c r="D26" i="4"/>
  <c r="C36" i="4"/>
  <c r="C35" i="4"/>
  <c r="C30" i="4"/>
  <c r="C29" i="4"/>
  <c r="C28" i="4"/>
  <c r="C26" i="4"/>
  <c r="C56" i="4" s="1"/>
  <c r="C8" i="4"/>
  <c r="D8" i="4"/>
  <c r="E8" i="4"/>
  <c r="G8" i="4"/>
  <c r="C11" i="4"/>
  <c r="D11" i="4"/>
  <c r="E11" i="4"/>
  <c r="F11" i="4"/>
  <c r="G11" i="4"/>
  <c r="C12" i="4"/>
  <c r="C14" i="4" s="1"/>
  <c r="D12" i="4"/>
  <c r="D14" i="4" s="1"/>
  <c r="E14" i="4"/>
  <c r="F14" i="4"/>
  <c r="G14" i="4"/>
  <c r="F56" i="3"/>
  <c r="G56" i="3" s="1"/>
  <c r="H56" i="3" s="1"/>
  <c r="I56" i="3" s="1"/>
  <c r="J56" i="3" s="1"/>
  <c r="K56" i="3" s="1"/>
  <c r="L56" i="3" s="1"/>
  <c r="M56" i="3" s="1"/>
  <c r="N56" i="3" s="1"/>
  <c r="A207" i="13" l="1"/>
  <c r="E208" i="13"/>
  <c r="H11" i="4"/>
  <c r="H15" i="4" s="1"/>
  <c r="D14" i="12"/>
  <c r="D12" i="13"/>
  <c r="L45" i="12"/>
  <c r="L45" i="13"/>
  <c r="R11" i="4"/>
  <c r="AB15" i="4"/>
  <c r="T15" i="4"/>
  <c r="J15" i="4"/>
  <c r="R15" i="4"/>
  <c r="J24" i="13"/>
  <c r="O17" i="8"/>
  <c r="O15" i="8" s="1"/>
  <c r="H15" i="8"/>
  <c r="H29" i="8"/>
  <c r="H24" i="13"/>
  <c r="M17" i="8"/>
  <c r="M15" i="8" s="1"/>
  <c r="AC15" i="4"/>
  <c r="E11" i="13"/>
  <c r="E14" i="13" s="1"/>
  <c r="E13" i="12"/>
  <c r="E16" i="12" s="1"/>
  <c r="M12" i="5"/>
  <c r="B25" i="5" s="1"/>
  <c r="M4" i="5"/>
  <c r="M16" i="5"/>
  <c r="M8" i="5"/>
  <c r="M15" i="5"/>
  <c r="M3" i="5"/>
  <c r="B24" i="5" s="1"/>
  <c r="M17" i="5"/>
  <c r="B27" i="5" s="1"/>
  <c r="M7" i="5"/>
  <c r="M20" i="5"/>
  <c r="M10" i="5"/>
  <c r="M6" i="5"/>
  <c r="M5" i="5"/>
  <c r="M19" i="5"/>
  <c r="B28" i="5" s="1"/>
  <c r="M9" i="5"/>
  <c r="M14" i="5"/>
  <c r="B26" i="5" s="1"/>
  <c r="M11" i="5"/>
  <c r="M13" i="5"/>
  <c r="M18" i="5"/>
  <c r="D24" i="13"/>
  <c r="I17" i="8"/>
  <c r="I15" i="8" s="1"/>
  <c r="I11" i="13"/>
  <c r="I13" i="12"/>
  <c r="S15" i="4"/>
  <c r="T16" i="4" s="1"/>
  <c r="E16" i="1"/>
  <c r="E52" i="1" s="1"/>
  <c r="E54" i="1" s="1"/>
  <c r="E55" i="1" s="1"/>
  <c r="F24" i="13"/>
  <c r="K17" i="8"/>
  <c r="K15" i="8" s="1"/>
  <c r="G24" i="13"/>
  <c r="L17" i="8"/>
  <c r="L15" i="8" s="1"/>
  <c r="L24" i="13"/>
  <c r="Q17" i="8"/>
  <c r="Q15" i="8" s="1"/>
  <c r="K24" i="13"/>
  <c r="P17" i="8"/>
  <c r="P15" i="8" s="1"/>
  <c r="K14" i="12"/>
  <c r="K12" i="13"/>
  <c r="L14" i="12"/>
  <c r="L12" i="13"/>
  <c r="F10" i="13"/>
  <c r="F12" i="12"/>
  <c r="M12" i="8"/>
  <c r="L10" i="8"/>
  <c r="M27" i="10"/>
  <c r="L9" i="12" s="1"/>
  <c r="L7" i="13"/>
  <c r="K9" i="12"/>
  <c r="M26" i="10"/>
  <c r="E26" i="4"/>
  <c r="E15" i="4"/>
  <c r="C15" i="4"/>
  <c r="AD16" i="4"/>
  <c r="J16" i="4"/>
  <c r="G15" i="4"/>
  <c r="F15" i="4"/>
  <c r="D15" i="4"/>
  <c r="O56" i="3"/>
  <c r="P56" i="3" s="1"/>
  <c r="A206" i="13" l="1"/>
  <c r="E207" i="13"/>
  <c r="E24" i="1"/>
  <c r="E26" i="1" s="1"/>
  <c r="E27" i="1" s="1"/>
  <c r="E28" i="1" s="1"/>
  <c r="D11" i="13"/>
  <c r="D14" i="13" s="1"/>
  <c r="D13" i="12"/>
  <c r="D16" i="12" s="1"/>
  <c r="I24" i="8"/>
  <c r="J11" i="13"/>
  <c r="J13" i="12"/>
  <c r="E39" i="1"/>
  <c r="E41" i="1" s="1"/>
  <c r="E42" i="1" s="1"/>
  <c r="L13" i="12"/>
  <c r="L11" i="13"/>
  <c r="H11" i="13"/>
  <c r="H13" i="12"/>
  <c r="F11" i="13"/>
  <c r="F14" i="13" s="1"/>
  <c r="F13" i="12"/>
  <c r="F16" i="12" s="1"/>
  <c r="K24" i="8"/>
  <c r="K11" i="13"/>
  <c r="K13" i="12"/>
  <c r="G13" i="12"/>
  <c r="G11" i="13"/>
  <c r="C13" i="12"/>
  <c r="C16" i="12" s="1"/>
  <c r="C11" i="13"/>
  <c r="C14" i="13" s="1"/>
  <c r="H24" i="8"/>
  <c r="G10" i="13"/>
  <c r="G12" i="12"/>
  <c r="L24" i="8"/>
  <c r="N12" i="8"/>
  <c r="M10" i="8"/>
  <c r="X57" i="4"/>
  <c r="Y57" i="4" s="1"/>
  <c r="N57" i="4"/>
  <c r="O57" i="4" s="1"/>
  <c r="N37" i="4"/>
  <c r="O37" i="4" s="1"/>
  <c r="D57" i="4"/>
  <c r="E57" i="4" s="1"/>
  <c r="X37" i="4"/>
  <c r="Y37" i="4" s="1"/>
  <c r="D37" i="4"/>
  <c r="E37" i="4" s="1"/>
  <c r="Q28" i="2"/>
  <c r="Q36" i="2" s="1"/>
  <c r="AB28" i="2"/>
  <c r="AB36" i="2" s="1"/>
  <c r="AC38" i="2"/>
  <c r="AD38" i="2" s="1"/>
  <c r="AC27" i="2"/>
  <c r="AB31" i="2"/>
  <c r="AB37" i="2" s="1"/>
  <c r="AB30" i="2"/>
  <c r="AB29" i="2"/>
  <c r="AB27" i="2"/>
  <c r="AF15" i="2"/>
  <c r="AE15" i="2"/>
  <c r="AD15" i="2"/>
  <c r="AC13" i="2"/>
  <c r="AC15" i="2" s="1"/>
  <c r="AB13" i="2"/>
  <c r="AB15" i="2" s="1"/>
  <c r="AF12" i="2"/>
  <c r="AE12" i="2"/>
  <c r="AD12" i="2"/>
  <c r="AC12" i="2"/>
  <c r="AB12" i="2"/>
  <c r="AF9" i="2"/>
  <c r="AE9" i="2"/>
  <c r="AD9" i="2"/>
  <c r="AC9" i="2"/>
  <c r="AB9" i="2"/>
  <c r="F37" i="2"/>
  <c r="F36" i="2"/>
  <c r="F31" i="2"/>
  <c r="F30" i="2"/>
  <c r="F29" i="2"/>
  <c r="F27" i="2"/>
  <c r="Q31" i="2"/>
  <c r="Q37" i="2" s="1"/>
  <c r="Q30" i="2"/>
  <c r="Q29" i="2"/>
  <c r="Q27" i="2"/>
  <c r="R38" i="2"/>
  <c r="S38" i="2" s="1"/>
  <c r="R27" i="2"/>
  <c r="R13" i="2"/>
  <c r="R15" i="2" s="1"/>
  <c r="Q13" i="2"/>
  <c r="Q15" i="2" s="1"/>
  <c r="G13" i="2"/>
  <c r="F13" i="2"/>
  <c r="F15" i="2" s="1"/>
  <c r="U15" i="2"/>
  <c r="S15" i="2"/>
  <c r="U12" i="2"/>
  <c r="T12" i="2"/>
  <c r="S12" i="2"/>
  <c r="R12" i="2"/>
  <c r="Q12" i="2"/>
  <c r="U9" i="2"/>
  <c r="T9" i="2"/>
  <c r="S9" i="2"/>
  <c r="R9" i="2"/>
  <c r="Q9" i="2"/>
  <c r="G38" i="2"/>
  <c r="H38" i="2" s="1"/>
  <c r="G27" i="2"/>
  <c r="F52" i="3"/>
  <c r="G52" i="3" s="1"/>
  <c r="H52" i="3" s="1"/>
  <c r="I52" i="3" s="1"/>
  <c r="J52" i="3" s="1"/>
  <c r="K52" i="3" s="1"/>
  <c r="L52" i="3" s="1"/>
  <c r="M52" i="3" s="1"/>
  <c r="N52" i="3" s="1"/>
  <c r="F50" i="3"/>
  <c r="G50" i="3" s="1"/>
  <c r="H50" i="3" s="1"/>
  <c r="I50" i="3" s="1"/>
  <c r="J50" i="3" s="1"/>
  <c r="K50" i="3" s="1"/>
  <c r="L50" i="3" s="1"/>
  <c r="M50" i="3" s="1"/>
  <c r="N50" i="3" s="1"/>
  <c r="H15" i="2"/>
  <c r="I15" i="2"/>
  <c r="J15" i="2"/>
  <c r="H12" i="2"/>
  <c r="I12" i="2"/>
  <c r="J12" i="2"/>
  <c r="I9" i="2"/>
  <c r="J9" i="2"/>
  <c r="F46" i="3"/>
  <c r="G46" i="3" s="1"/>
  <c r="H46" i="3" s="1"/>
  <c r="I46" i="3" s="1"/>
  <c r="J46" i="3" s="1"/>
  <c r="K46" i="3" s="1"/>
  <c r="L46" i="3" s="1"/>
  <c r="M46" i="3" s="1"/>
  <c r="N46" i="3" s="1"/>
  <c r="F48" i="3"/>
  <c r="G48" i="3" s="1"/>
  <c r="H48" i="3" s="1"/>
  <c r="I48" i="3" s="1"/>
  <c r="J48" i="3" s="1"/>
  <c r="K48" i="3" s="1"/>
  <c r="L48" i="3" s="1"/>
  <c r="M48" i="3" s="1"/>
  <c r="N48" i="3" s="1"/>
  <c r="F49" i="3"/>
  <c r="G49" i="3" s="1"/>
  <c r="H49" i="3" s="1"/>
  <c r="I49" i="3" s="1"/>
  <c r="J49" i="3" s="1"/>
  <c r="K49" i="3" s="1"/>
  <c r="L49" i="3" s="1"/>
  <c r="M49" i="3" s="1"/>
  <c r="N49" i="3" s="1"/>
  <c r="F51" i="3"/>
  <c r="G51" i="3" s="1"/>
  <c r="H51" i="3" s="1"/>
  <c r="I51" i="3" s="1"/>
  <c r="J51" i="3" s="1"/>
  <c r="K51" i="3" s="1"/>
  <c r="L51" i="3" s="1"/>
  <c r="M51" i="3" s="1"/>
  <c r="N51" i="3" s="1"/>
  <c r="F53" i="3"/>
  <c r="G53" i="3" s="1"/>
  <c r="H53" i="3" s="1"/>
  <c r="I53" i="3" s="1"/>
  <c r="J53" i="3" s="1"/>
  <c r="K53" i="3" s="1"/>
  <c r="L53" i="3" s="1"/>
  <c r="M53" i="3" s="1"/>
  <c r="N53" i="3" s="1"/>
  <c r="F54" i="3"/>
  <c r="G54" i="3" s="1"/>
  <c r="H54" i="3" s="1"/>
  <c r="I54" i="3" s="1"/>
  <c r="J54" i="3" s="1"/>
  <c r="K54" i="3" s="1"/>
  <c r="L54" i="3" s="1"/>
  <c r="M54" i="3" s="1"/>
  <c r="N54" i="3" s="1"/>
  <c r="F55" i="3"/>
  <c r="G55" i="3" s="1"/>
  <c r="H55" i="3" s="1"/>
  <c r="I55" i="3" s="1"/>
  <c r="J55" i="3" s="1"/>
  <c r="K55" i="3" s="1"/>
  <c r="L55" i="3" s="1"/>
  <c r="M55" i="3" s="1"/>
  <c r="N55" i="3" s="1"/>
  <c r="F47" i="3"/>
  <c r="G47" i="3" s="1"/>
  <c r="H47" i="3" s="1"/>
  <c r="I47" i="3" s="1"/>
  <c r="J47" i="3" s="1"/>
  <c r="K47" i="3" s="1"/>
  <c r="L47" i="3" s="1"/>
  <c r="M47" i="3" s="1"/>
  <c r="N47" i="3" s="1"/>
  <c r="F45" i="3"/>
  <c r="G45" i="3" s="1"/>
  <c r="H45" i="3" s="1"/>
  <c r="A205" i="13" l="1"/>
  <c r="E206" i="13"/>
  <c r="G16" i="12"/>
  <c r="G14" i="13"/>
  <c r="O12" i="8"/>
  <c r="N10" i="8"/>
  <c r="H10" i="13"/>
  <c r="H14" i="13" s="1"/>
  <c r="H12" i="12"/>
  <c r="H16" i="12" s="1"/>
  <c r="M24" i="8"/>
  <c r="H27" i="2"/>
  <c r="S27" i="2"/>
  <c r="S16" i="2"/>
  <c r="AD16" i="2"/>
  <c r="AF16" i="2"/>
  <c r="J16" i="2"/>
  <c r="I16" i="2"/>
  <c r="AD27" i="2"/>
  <c r="AB16" i="2"/>
  <c r="AE16" i="2"/>
  <c r="AC16" i="2"/>
  <c r="T15" i="2"/>
  <c r="T16" i="2" s="1"/>
  <c r="U16" i="2"/>
  <c r="R16" i="2"/>
  <c r="Q16" i="2"/>
  <c r="O52" i="3"/>
  <c r="P52" i="3" s="1"/>
  <c r="O50" i="3"/>
  <c r="P50" i="3" s="1"/>
  <c r="O47" i="3"/>
  <c r="P47" i="3" s="1"/>
  <c r="O48" i="3"/>
  <c r="P48" i="3" s="1"/>
  <c r="X49" i="4" s="1"/>
  <c r="O55" i="3"/>
  <c r="P55" i="3" s="1"/>
  <c r="O54" i="3"/>
  <c r="P54" i="3" s="1"/>
  <c r="O53" i="3"/>
  <c r="P53" i="3" s="1"/>
  <c r="O51" i="3"/>
  <c r="P51" i="3" s="1"/>
  <c r="O49" i="3"/>
  <c r="P49" i="3" s="1"/>
  <c r="O46" i="3"/>
  <c r="P46" i="3" s="1"/>
  <c r="A204" i="13" l="1"/>
  <c r="E205" i="13"/>
  <c r="I10" i="13"/>
  <c r="I14" i="13" s="1"/>
  <c r="I12" i="12"/>
  <c r="I16" i="12" s="1"/>
  <c r="N24" i="8"/>
  <c r="P12" i="8"/>
  <c r="O10" i="8"/>
  <c r="X30" i="4"/>
  <c r="Y30" i="4" s="1"/>
  <c r="G31" i="2"/>
  <c r="H31" i="2" s="1"/>
  <c r="X50" i="4"/>
  <c r="Y50" i="4" s="1"/>
  <c r="N50" i="4"/>
  <c r="O50" i="4" s="1"/>
  <c r="D50" i="4"/>
  <c r="E50" i="4" s="1"/>
  <c r="D30" i="4"/>
  <c r="E30" i="4" s="1"/>
  <c r="N30" i="4"/>
  <c r="O30" i="4" s="1"/>
  <c r="R31" i="2"/>
  <c r="S31" i="2" s="1"/>
  <c r="AC31" i="2"/>
  <c r="AD31" i="2" s="1"/>
  <c r="Y49" i="4"/>
  <c r="X29" i="4"/>
  <c r="Y29" i="4" s="1"/>
  <c r="N49" i="4"/>
  <c r="O49" i="4" s="1"/>
  <c r="D49" i="4"/>
  <c r="E49" i="4" s="1"/>
  <c r="N29" i="4"/>
  <c r="O29" i="4" s="1"/>
  <c r="D29" i="4"/>
  <c r="E29" i="4" s="1"/>
  <c r="N36" i="4"/>
  <c r="O36" i="4" s="1"/>
  <c r="X36" i="4"/>
  <c r="Y36" i="4" s="1"/>
  <c r="X56" i="4"/>
  <c r="Y56" i="4" s="1"/>
  <c r="N56" i="4"/>
  <c r="O56" i="4" s="1"/>
  <c r="D56" i="4"/>
  <c r="E56" i="4" s="1"/>
  <c r="D36" i="4"/>
  <c r="E36" i="4" s="1"/>
  <c r="G37" i="2"/>
  <c r="H37" i="2" s="1"/>
  <c r="R37" i="2"/>
  <c r="S37" i="2" s="1"/>
  <c r="AC37" i="2"/>
  <c r="AD37" i="2" s="1"/>
  <c r="D48" i="4"/>
  <c r="E48" i="4" s="1"/>
  <c r="X48" i="4"/>
  <c r="Y48" i="4" s="1"/>
  <c r="N48" i="4"/>
  <c r="O48" i="4" s="1"/>
  <c r="X28" i="4"/>
  <c r="Y28" i="4" s="1"/>
  <c r="N28" i="4"/>
  <c r="O28" i="4" s="1"/>
  <c r="D28" i="4"/>
  <c r="E28" i="4" s="1"/>
  <c r="G34" i="2"/>
  <c r="H34" i="2" s="1"/>
  <c r="X53" i="4"/>
  <c r="Y53" i="4" s="1"/>
  <c r="N53" i="4"/>
  <c r="O53" i="4" s="1"/>
  <c r="D53" i="4"/>
  <c r="E53" i="4" s="1"/>
  <c r="X33" i="4"/>
  <c r="Y33" i="4" s="1"/>
  <c r="N33" i="4"/>
  <c r="O33" i="4" s="1"/>
  <c r="D33" i="4"/>
  <c r="E33" i="4" s="1"/>
  <c r="AC34" i="2"/>
  <c r="AD34" i="2" s="1"/>
  <c r="R34" i="2"/>
  <c r="S34" i="2" s="1"/>
  <c r="N32" i="4"/>
  <c r="O32" i="4" s="1"/>
  <c r="X32" i="4"/>
  <c r="Y32" i="4" s="1"/>
  <c r="X52" i="4"/>
  <c r="Y52" i="4" s="1"/>
  <c r="N52" i="4"/>
  <c r="O52" i="4" s="1"/>
  <c r="D52" i="4"/>
  <c r="E52" i="4" s="1"/>
  <c r="D32" i="4"/>
  <c r="E32" i="4" s="1"/>
  <c r="G33" i="2"/>
  <c r="H33" i="2" s="1"/>
  <c r="AC33" i="2"/>
  <c r="AD33" i="2" s="1"/>
  <c r="R33" i="2"/>
  <c r="S33" i="2" s="1"/>
  <c r="X34" i="4"/>
  <c r="Y34" i="4" s="1"/>
  <c r="X54" i="4"/>
  <c r="Y54" i="4" s="1"/>
  <c r="N54" i="4"/>
  <c r="O54" i="4" s="1"/>
  <c r="N34" i="4"/>
  <c r="O34" i="4" s="1"/>
  <c r="D34" i="4"/>
  <c r="E34" i="4" s="1"/>
  <c r="D54" i="4"/>
  <c r="E54" i="4" s="1"/>
  <c r="R35" i="2"/>
  <c r="S35" i="2" s="1"/>
  <c r="AC35" i="2"/>
  <c r="AD35" i="2" s="1"/>
  <c r="G35" i="2"/>
  <c r="H35" i="2" s="1"/>
  <c r="D47" i="4"/>
  <c r="E47" i="4" s="1"/>
  <c r="N27" i="4"/>
  <c r="O27" i="4" s="1"/>
  <c r="X47" i="4"/>
  <c r="Y47" i="4" s="1"/>
  <c r="X27" i="4"/>
  <c r="Y27" i="4" s="1"/>
  <c r="N47" i="4"/>
  <c r="O47" i="4" s="1"/>
  <c r="D27" i="4"/>
  <c r="E27" i="4" s="1"/>
  <c r="AC28" i="2"/>
  <c r="AD28" i="2" s="1"/>
  <c r="R28" i="2"/>
  <c r="S28" i="2" s="1"/>
  <c r="G28" i="2"/>
  <c r="H28" i="2" s="1"/>
  <c r="X35" i="4"/>
  <c r="Y35" i="4" s="1"/>
  <c r="D55" i="4"/>
  <c r="E55" i="4" s="1"/>
  <c r="N35" i="4"/>
  <c r="O35" i="4" s="1"/>
  <c r="X55" i="4"/>
  <c r="Y55" i="4" s="1"/>
  <c r="N55" i="4"/>
  <c r="O55" i="4" s="1"/>
  <c r="D35" i="4"/>
  <c r="E35" i="4" s="1"/>
  <c r="R36" i="2"/>
  <c r="S36" i="2" s="1"/>
  <c r="AC36" i="2"/>
  <c r="AD36" i="2" s="1"/>
  <c r="G36" i="2"/>
  <c r="H36" i="2" s="1"/>
  <c r="G32" i="2"/>
  <c r="H32" i="2" s="1"/>
  <c r="N31" i="4"/>
  <c r="O31" i="4" s="1"/>
  <c r="X31" i="4"/>
  <c r="Y31" i="4" s="1"/>
  <c r="X51" i="4"/>
  <c r="Y51" i="4" s="1"/>
  <c r="N51" i="4"/>
  <c r="O51" i="4" s="1"/>
  <c r="D51" i="4"/>
  <c r="E51" i="4" s="1"/>
  <c r="D31" i="4"/>
  <c r="E31" i="4" s="1"/>
  <c r="R32" i="2"/>
  <c r="S32" i="2" s="1"/>
  <c r="AC32" i="2"/>
  <c r="AD32" i="2" s="1"/>
  <c r="AC29" i="2"/>
  <c r="AD29" i="2" s="1"/>
  <c r="R29" i="2"/>
  <c r="S29" i="2" s="1"/>
  <c r="G29" i="2"/>
  <c r="H29" i="2" s="1"/>
  <c r="G30" i="2"/>
  <c r="H30" i="2" s="1"/>
  <c r="AC30" i="2"/>
  <c r="AD30" i="2" s="1"/>
  <c r="R30" i="2"/>
  <c r="S30" i="2" s="1"/>
  <c r="A203" i="13" l="1"/>
  <c r="E204" i="13"/>
  <c r="J10" i="13"/>
  <c r="J14" i="13" s="1"/>
  <c r="J12" i="12"/>
  <c r="J16" i="12" s="1"/>
  <c r="O24" i="8"/>
  <c r="Q12" i="8"/>
  <c r="Q10" i="8" s="1"/>
  <c r="P10" i="8"/>
  <c r="Y58" i="4"/>
  <c r="W17" i="4" s="1"/>
  <c r="S39" i="2"/>
  <c r="Q17" i="2" s="1"/>
  <c r="Q19" i="2" s="1"/>
  <c r="AD39" i="2"/>
  <c r="AB17" i="2" s="1"/>
  <c r="AB19" i="2" s="1"/>
  <c r="O38" i="4"/>
  <c r="M16" i="4" s="1"/>
  <c r="O58" i="4"/>
  <c r="M17" i="4" s="1"/>
  <c r="E58" i="4"/>
  <c r="C17" i="4" s="1"/>
  <c r="E38" i="4"/>
  <c r="C16" i="4" s="1"/>
  <c r="C19" i="4" s="1"/>
  <c r="Y38" i="4"/>
  <c r="W16" i="4" s="1"/>
  <c r="H39" i="2"/>
  <c r="F17" i="2" s="1"/>
  <c r="F9" i="2"/>
  <c r="G9" i="2"/>
  <c r="H9" i="2"/>
  <c r="H16" i="2" s="1"/>
  <c r="F12" i="2"/>
  <c r="G12" i="2"/>
  <c r="G15" i="2"/>
  <c r="R13" i="1"/>
  <c r="Q13" i="1"/>
  <c r="R10" i="1"/>
  <c r="Q10" i="1"/>
  <c r="S7" i="1"/>
  <c r="S14" i="1" s="1"/>
  <c r="R7" i="1"/>
  <c r="Q7" i="1"/>
  <c r="L13" i="1"/>
  <c r="K13" i="1"/>
  <c r="L10" i="1"/>
  <c r="K10" i="1"/>
  <c r="M7" i="1"/>
  <c r="M14" i="1" s="1"/>
  <c r="L7" i="1"/>
  <c r="K7" i="1"/>
  <c r="A202" i="13" l="1"/>
  <c r="E203" i="13"/>
  <c r="W19" i="4"/>
  <c r="W65" i="4" s="1"/>
  <c r="M19" i="4"/>
  <c r="L10" i="13"/>
  <c r="L14" i="13" s="1"/>
  <c r="L12" i="12"/>
  <c r="L16" i="12" s="1"/>
  <c r="Q24" i="8"/>
  <c r="K10" i="13"/>
  <c r="K14" i="13" s="1"/>
  <c r="K12" i="12"/>
  <c r="K16" i="12" s="1"/>
  <c r="P24" i="8"/>
  <c r="W93" i="4"/>
  <c r="W95" i="4" s="1"/>
  <c r="W96" i="4" s="1"/>
  <c r="W79" i="4"/>
  <c r="W81" i="4" s="1"/>
  <c r="W82" i="4" s="1"/>
  <c r="AB76" i="2"/>
  <c r="AB78" i="2" s="1"/>
  <c r="AB79" i="2" s="1"/>
  <c r="AB63" i="2"/>
  <c r="AB65" i="2" s="1"/>
  <c r="AB66" i="2" s="1"/>
  <c r="AB50" i="2"/>
  <c r="Q50" i="2"/>
  <c r="Q52" i="2" s="1"/>
  <c r="Q53" i="2" s="1"/>
  <c r="Q54" i="2" s="1"/>
  <c r="Q76" i="2"/>
  <c r="Q78" i="2" s="1"/>
  <c r="Q79" i="2" s="1"/>
  <c r="Q63" i="2"/>
  <c r="Q65" i="2" s="1"/>
  <c r="Q66" i="2" s="1"/>
  <c r="F16" i="2"/>
  <c r="Q14" i="1"/>
  <c r="R14" i="1"/>
  <c r="K14" i="1"/>
  <c r="L14" i="1"/>
  <c r="G16" i="2"/>
  <c r="A201" i="13" l="1"/>
  <c r="E202" i="13"/>
  <c r="Q16" i="1"/>
  <c r="F19" i="2"/>
  <c r="F50" i="2" s="1"/>
  <c r="F52" i="2" s="1"/>
  <c r="F53" i="2" s="1"/>
  <c r="F54" i="2" s="1"/>
  <c r="K16" i="1"/>
  <c r="F9" i="10"/>
  <c r="F13" i="10"/>
  <c r="F6" i="10"/>
  <c r="F10" i="10"/>
  <c r="F14" i="10"/>
  <c r="F5" i="10"/>
  <c r="F11" i="10"/>
  <c r="F12" i="10"/>
  <c r="F7" i="10"/>
  <c r="F15" i="10"/>
  <c r="F8" i="10"/>
  <c r="F16" i="10"/>
  <c r="G8" i="10"/>
  <c r="G12" i="10"/>
  <c r="G16" i="10"/>
  <c r="G5" i="10"/>
  <c r="G9" i="10"/>
  <c r="G13" i="10"/>
  <c r="G6" i="10"/>
  <c r="G14" i="10"/>
  <c r="G7" i="10"/>
  <c r="G15" i="10"/>
  <c r="G10" i="10"/>
  <c r="G11" i="10"/>
  <c r="C93" i="4"/>
  <c r="C95" i="4" s="1"/>
  <c r="C96" i="4" s="1"/>
  <c r="C65" i="4"/>
  <c r="C68" i="4" s="1"/>
  <c r="C69" i="4" s="1"/>
  <c r="C79" i="4"/>
  <c r="C81" i="4" s="1"/>
  <c r="C82" i="4" s="1"/>
  <c r="M93" i="4"/>
  <c r="M95" i="4" s="1"/>
  <c r="M96" i="4" s="1"/>
  <c r="M65" i="4"/>
  <c r="M67" i="4" s="1"/>
  <c r="M68" i="4" s="1"/>
  <c r="M69" i="4" s="1"/>
  <c r="M79" i="4"/>
  <c r="M81" i="4" s="1"/>
  <c r="M82" i="4" s="1"/>
  <c r="F76" i="2"/>
  <c r="F78" i="2" s="1"/>
  <c r="F79" i="2" s="1"/>
  <c r="AB52" i="2"/>
  <c r="AB53" i="2" s="1"/>
  <c r="AB54" i="2" s="1"/>
  <c r="W67" i="4"/>
  <c r="W68" i="4" s="1"/>
  <c r="W69" i="4" s="1"/>
  <c r="A200" i="13" l="1"/>
  <c r="E201" i="13"/>
  <c r="J9" i="10"/>
  <c r="J13" i="10"/>
  <c r="J5" i="10"/>
  <c r="J6" i="10"/>
  <c r="J10" i="10"/>
  <c r="J14" i="10"/>
  <c r="J7" i="10"/>
  <c r="J11" i="10"/>
  <c r="J15" i="10"/>
  <c r="J8" i="10"/>
  <c r="J12" i="10"/>
  <c r="J16" i="10"/>
  <c r="I6" i="10"/>
  <c r="I10" i="10"/>
  <c r="I14" i="10"/>
  <c r="I9" i="10"/>
  <c r="I7" i="10"/>
  <c r="I11" i="10"/>
  <c r="I15" i="10"/>
  <c r="I13" i="10"/>
  <c r="I8" i="10"/>
  <c r="I12" i="10"/>
  <c r="I16" i="10"/>
  <c r="I5" i="10"/>
  <c r="F63" i="2"/>
  <c r="F65" i="2" s="1"/>
  <c r="F66" i="2" s="1"/>
  <c r="K24" i="1"/>
  <c r="K39" i="1"/>
  <c r="K41" i="1" s="1"/>
  <c r="K42" i="1" s="1"/>
  <c r="K52" i="1"/>
  <c r="G17" i="10"/>
  <c r="F17" i="10"/>
  <c r="Q39" i="1"/>
  <c r="Q41" i="1" s="1"/>
  <c r="Q42" i="1" s="1"/>
  <c r="Q24" i="1"/>
  <c r="Q52" i="1"/>
  <c r="Q54" i="1" s="1"/>
  <c r="Q55" i="1" s="1"/>
  <c r="A199" i="13" l="1"/>
  <c r="E200" i="13"/>
  <c r="Q26" i="1"/>
  <c r="Q27" i="1" s="1"/>
  <c r="Q28" i="1" s="1"/>
  <c r="E5" i="10"/>
  <c r="K26" i="1"/>
  <c r="K27" i="1" s="1"/>
  <c r="K28" i="1" s="1"/>
  <c r="J17" i="10"/>
  <c r="I17" i="10"/>
  <c r="K54" i="1"/>
  <c r="K55" i="1" s="1"/>
  <c r="E6" i="10"/>
  <c r="E10" i="10"/>
  <c r="E14" i="10"/>
  <c r="E7" i="10"/>
  <c r="E11" i="10"/>
  <c r="E15" i="10"/>
  <c r="E8" i="10"/>
  <c r="E16" i="10"/>
  <c r="E9" i="10"/>
  <c r="E12" i="10"/>
  <c r="E13" i="10"/>
  <c r="A198" i="13" l="1"/>
  <c r="E199" i="13"/>
  <c r="H5" i="10"/>
  <c r="H7" i="10"/>
  <c r="H11" i="10"/>
  <c r="H15" i="10"/>
  <c r="H6" i="10"/>
  <c r="H8" i="10"/>
  <c r="H12" i="10"/>
  <c r="H16" i="10"/>
  <c r="H14" i="10"/>
  <c r="H9" i="10"/>
  <c r="H13" i="10"/>
  <c r="H10" i="10"/>
  <c r="E17" i="10"/>
  <c r="G18" i="10" s="1"/>
  <c r="A197" i="13" l="1"/>
  <c r="E198" i="13"/>
  <c r="C49" i="12"/>
  <c r="D49" i="12" s="1"/>
  <c r="C49" i="13"/>
  <c r="H17" i="10"/>
  <c r="J18" i="10" s="1"/>
  <c r="C25" i="10" s="1"/>
  <c r="C53" i="12" l="1"/>
  <c r="A196" i="13"/>
  <c r="E197" i="13"/>
  <c r="C53" i="13"/>
  <c r="D49" i="13"/>
  <c r="C44" i="13"/>
  <c r="C47" i="13" s="1"/>
  <c r="D53" i="12"/>
  <c r="E49" i="12"/>
  <c r="D25" i="10"/>
  <c r="D44" i="13" s="1"/>
  <c r="C44" i="12"/>
  <c r="C47" i="12" s="1"/>
  <c r="C8" i="12"/>
  <c r="C10" i="12" s="1"/>
  <c r="C24" i="12" s="1"/>
  <c r="C6" i="13"/>
  <c r="C8" i="13" s="1"/>
  <c r="C22" i="13" s="1"/>
  <c r="C27" i="10"/>
  <c r="D27" i="10" s="1"/>
  <c r="E27" i="10" s="1"/>
  <c r="F27" i="10" s="1"/>
  <c r="G27" i="10" s="1"/>
  <c r="H27" i="10" s="1"/>
  <c r="I27" i="10" s="1"/>
  <c r="J27" i="10" s="1"/>
  <c r="K27" i="10" s="1"/>
  <c r="L27" i="10" s="1"/>
  <c r="M28" i="10" s="1"/>
  <c r="A195" i="13" l="1"/>
  <c r="E196" i="13"/>
  <c r="D53" i="13"/>
  <c r="E49" i="13"/>
  <c r="C55" i="13"/>
  <c r="D44" i="12"/>
  <c r="D47" i="12" s="1"/>
  <c r="D55" i="12" s="1"/>
  <c r="D47" i="13"/>
  <c r="F49" i="12"/>
  <c r="E53" i="12"/>
  <c r="C55" i="12"/>
  <c r="C23" i="13"/>
  <c r="C26" i="13" s="1"/>
  <c r="C25" i="12"/>
  <c r="C27" i="12" s="1"/>
  <c r="C31" i="12"/>
  <c r="D8" i="12"/>
  <c r="D10" i="12" s="1"/>
  <c r="D24" i="12" s="1"/>
  <c r="D25" i="12" s="1"/>
  <c r="D27" i="12" s="1"/>
  <c r="D6" i="13"/>
  <c r="D8" i="13" s="1"/>
  <c r="D22" i="13" s="1"/>
  <c r="E25" i="10"/>
  <c r="E44" i="13" s="1"/>
  <c r="A194" i="13" l="1"/>
  <c r="E195" i="13"/>
  <c r="D55" i="13"/>
  <c r="F49" i="13"/>
  <c r="E53" i="13"/>
  <c r="E44" i="12"/>
  <c r="E47" i="12" s="1"/>
  <c r="E55" i="12" s="1"/>
  <c r="E47" i="13"/>
  <c r="G49" i="12"/>
  <c r="F53" i="12"/>
  <c r="D23" i="13"/>
  <c r="D26" i="13" s="1"/>
  <c r="F25" i="10"/>
  <c r="F44" i="13" s="1"/>
  <c r="E8" i="12"/>
  <c r="E10" i="12" s="1"/>
  <c r="E24" i="12" s="1"/>
  <c r="E25" i="12" s="1"/>
  <c r="E27" i="12" s="1"/>
  <c r="E6" i="13"/>
  <c r="E8" i="13" s="1"/>
  <c r="E22" i="13" s="1"/>
  <c r="D31" i="12"/>
  <c r="A193" i="13" l="1"/>
  <c r="E194" i="13"/>
  <c r="F53" i="13"/>
  <c r="G49" i="13"/>
  <c r="E55" i="13"/>
  <c r="F44" i="12"/>
  <c r="F47" i="12" s="1"/>
  <c r="F55" i="12" s="1"/>
  <c r="F47" i="13"/>
  <c r="F55" i="13" s="1"/>
  <c r="H49" i="12"/>
  <c r="G53" i="12"/>
  <c r="E23" i="13"/>
  <c r="E26" i="13" s="1"/>
  <c r="E31" i="12"/>
  <c r="F6" i="13"/>
  <c r="F8" i="13" s="1"/>
  <c r="F22" i="13" s="1"/>
  <c r="G25" i="10"/>
  <c r="G44" i="13" s="1"/>
  <c r="F8" i="12"/>
  <c r="F10" i="12" s="1"/>
  <c r="F24" i="12" s="1"/>
  <c r="F25" i="12" s="1"/>
  <c r="F27" i="12" s="1"/>
  <c r="A192" i="13" l="1"/>
  <c r="E193" i="13"/>
  <c r="H49" i="13"/>
  <c r="G53" i="13"/>
  <c r="G44" i="12"/>
  <c r="G47" i="12" s="1"/>
  <c r="G55" i="12" s="1"/>
  <c r="G47" i="13"/>
  <c r="I49" i="12"/>
  <c r="H53" i="12"/>
  <c r="F23" i="13"/>
  <c r="F26" i="13" s="1"/>
  <c r="G6" i="13"/>
  <c r="G8" i="13" s="1"/>
  <c r="G22" i="13" s="1"/>
  <c r="H25" i="10"/>
  <c r="H44" i="13" s="1"/>
  <c r="G8" i="12"/>
  <c r="G10" i="12" s="1"/>
  <c r="G24" i="12" s="1"/>
  <c r="G25" i="12" s="1"/>
  <c r="G27" i="12" s="1"/>
  <c r="F31" i="12"/>
  <c r="G55" i="13" l="1"/>
  <c r="I49" i="13"/>
  <c r="H53" i="13"/>
  <c r="A191" i="13"/>
  <c r="E192" i="13"/>
  <c r="H44" i="12"/>
  <c r="H47" i="12" s="1"/>
  <c r="H55" i="12" s="1"/>
  <c r="H47" i="13"/>
  <c r="H55" i="13" s="1"/>
  <c r="J49" i="12"/>
  <c r="I53" i="12"/>
  <c r="G23" i="13"/>
  <c r="G26" i="13" s="1"/>
  <c r="H8" i="12"/>
  <c r="H10" i="12" s="1"/>
  <c r="H24" i="12" s="1"/>
  <c r="H25" i="12" s="1"/>
  <c r="H27" i="12" s="1"/>
  <c r="H6" i="13"/>
  <c r="H8" i="13" s="1"/>
  <c r="H22" i="13" s="1"/>
  <c r="I25" i="10"/>
  <c r="I44" i="13" s="1"/>
  <c r="G31" i="12"/>
  <c r="A190" i="13" l="1"/>
  <c r="E191" i="13"/>
  <c r="J49" i="13"/>
  <c r="I53" i="13"/>
  <c r="I44" i="12"/>
  <c r="I47" i="12" s="1"/>
  <c r="I55" i="12" s="1"/>
  <c r="I47" i="13"/>
  <c r="J53" i="12"/>
  <c r="K49" i="12"/>
  <c r="H23" i="13"/>
  <c r="H26" i="13" s="1"/>
  <c r="H31" i="12"/>
  <c r="I8" i="12"/>
  <c r="I10" i="12" s="1"/>
  <c r="I24" i="12" s="1"/>
  <c r="I25" i="12" s="1"/>
  <c r="I27" i="12" s="1"/>
  <c r="I6" i="13"/>
  <c r="I8" i="13" s="1"/>
  <c r="I22" i="13" s="1"/>
  <c r="J25" i="10"/>
  <c r="J44" i="13" s="1"/>
  <c r="I55" i="13" l="1"/>
  <c r="J53" i="13"/>
  <c r="K49" i="13"/>
  <c r="A189" i="13"/>
  <c r="E190" i="13"/>
  <c r="J44" i="12"/>
  <c r="J47" i="12" s="1"/>
  <c r="J55" i="12" s="1"/>
  <c r="J47" i="13"/>
  <c r="K53" i="12"/>
  <c r="L49" i="12"/>
  <c r="L53" i="12" s="1"/>
  <c r="I23" i="13"/>
  <c r="I26" i="13" s="1"/>
  <c r="I31" i="12"/>
  <c r="J6" i="13"/>
  <c r="J8" i="13" s="1"/>
  <c r="J22" i="13" s="1"/>
  <c r="K25" i="10"/>
  <c r="K44" i="13" s="1"/>
  <c r="J8" i="12"/>
  <c r="J10" i="12" s="1"/>
  <c r="J24" i="12" s="1"/>
  <c r="J25" i="12" s="1"/>
  <c r="J27" i="12" s="1"/>
  <c r="J55" i="13" l="1"/>
  <c r="A188" i="13"/>
  <c r="E189" i="13"/>
  <c r="K53" i="13"/>
  <c r="L49" i="13"/>
  <c r="L53" i="13" s="1"/>
  <c r="G59" i="12" a="1"/>
  <c r="G67" i="12" s="1"/>
  <c r="G94" i="12" s="1"/>
  <c r="K44" i="12"/>
  <c r="K47" i="12" s="1"/>
  <c r="K55" i="12" s="1"/>
  <c r="K47" i="13"/>
  <c r="K55" i="13" s="1"/>
  <c r="J23" i="13"/>
  <c r="J26" i="13" s="1"/>
  <c r="J31" i="12"/>
  <c r="L25" i="10"/>
  <c r="L44" i="13" s="1"/>
  <c r="K8" i="12"/>
  <c r="K10" i="12" s="1"/>
  <c r="K24" i="12" s="1"/>
  <c r="K25" i="12" s="1"/>
  <c r="K27" i="12" s="1"/>
  <c r="K6" i="13"/>
  <c r="K8" i="13" s="1"/>
  <c r="K22" i="13" s="1"/>
  <c r="E61" i="13" l="1" a="1"/>
  <c r="E65" i="13" s="1"/>
  <c r="F215" i="13" s="1"/>
  <c r="G60" i="12"/>
  <c r="G87" i="12" s="1"/>
  <c r="G59" i="12"/>
  <c r="G64" i="12"/>
  <c r="G91" i="12" s="1"/>
  <c r="G62" i="12"/>
  <c r="G89" i="12" s="1"/>
  <c r="G61" i="12"/>
  <c r="G88" i="12" s="1"/>
  <c r="G63" i="12"/>
  <c r="G90" i="12" s="1"/>
  <c r="G68" i="12"/>
  <c r="G95" i="12" s="1"/>
  <c r="G65" i="12"/>
  <c r="G92" i="12" s="1"/>
  <c r="G69" i="12"/>
  <c r="G96" i="12" s="1"/>
  <c r="G66" i="12"/>
  <c r="G93" i="12" s="1"/>
  <c r="E61" i="13"/>
  <c r="F211" i="13" s="1"/>
  <c r="E68" i="13"/>
  <c r="F218" i="13" s="1"/>
  <c r="E66" i="13"/>
  <c r="F216" i="13" s="1"/>
  <c r="E63" i="13"/>
  <c r="F213" i="13" s="1"/>
  <c r="E64" i="13"/>
  <c r="F214" i="13" s="1"/>
  <c r="G86" i="12"/>
  <c r="G85" i="12" s="1"/>
  <c r="G84" i="12" s="1"/>
  <c r="G83" i="12" s="1"/>
  <c r="G82" i="12" s="1"/>
  <c r="G81" i="12" s="1"/>
  <c r="G80" i="12" s="1"/>
  <c r="G79" i="12" s="1"/>
  <c r="G78" i="12" s="1"/>
  <c r="G77" i="12" s="1"/>
  <c r="G76" i="12" s="1"/>
  <c r="G75" i="12" s="1"/>
  <c r="A187" i="13"/>
  <c r="E188" i="13"/>
  <c r="L44" i="12"/>
  <c r="L47" i="12" s="1"/>
  <c r="L55" i="12" s="1"/>
  <c r="L47" i="13"/>
  <c r="K23" i="13"/>
  <c r="K26" i="13" s="1"/>
  <c r="L6" i="13"/>
  <c r="L8" i="13" s="1"/>
  <c r="L22" i="13" s="1"/>
  <c r="M25" i="10"/>
  <c r="L8" i="12"/>
  <c r="L10" i="12" s="1"/>
  <c r="L24" i="12" s="1"/>
  <c r="L25" i="12" s="1"/>
  <c r="L27" i="12" s="1"/>
  <c r="B29" i="12" s="1"/>
  <c r="K31" i="12"/>
  <c r="E69" i="13" l="1"/>
  <c r="F219" i="13" s="1"/>
  <c r="E67" i="13"/>
  <c r="F217" i="13" s="1"/>
  <c r="E70" i="13"/>
  <c r="F220" i="13" s="1"/>
  <c r="E62" i="13"/>
  <c r="F212" i="13" s="1"/>
  <c r="F207" i="13" s="1"/>
  <c r="C59" i="12" a="1"/>
  <c r="F204" i="13"/>
  <c r="F144" i="13"/>
  <c r="F146" i="13"/>
  <c r="F203" i="13"/>
  <c r="F202" i="13"/>
  <c r="F199" i="13"/>
  <c r="F198" i="13"/>
  <c r="F195" i="13"/>
  <c r="F194" i="13"/>
  <c r="F191" i="13"/>
  <c r="F190" i="13"/>
  <c r="A186" i="13"/>
  <c r="E187" i="13"/>
  <c r="F189" i="13"/>
  <c r="L55" i="13"/>
  <c r="B61" i="13" a="1"/>
  <c r="C60" i="12"/>
  <c r="C62" i="12"/>
  <c r="C89" i="12" s="1"/>
  <c r="C63" i="12"/>
  <c r="C90" i="12" s="1"/>
  <c r="C64" i="12"/>
  <c r="C91" i="12" s="1"/>
  <c r="C67" i="12"/>
  <c r="C94" i="12" s="1"/>
  <c r="C61" i="12"/>
  <c r="C88" i="12" s="1"/>
  <c r="C65" i="12"/>
  <c r="C92" i="12" s="1"/>
  <c r="C68" i="12"/>
  <c r="C95" i="12" s="1"/>
  <c r="C59" i="12"/>
  <c r="C66" i="12"/>
  <c r="C93" i="12" s="1"/>
  <c r="C69" i="12"/>
  <c r="C96" i="12" s="1"/>
  <c r="L23" i="13"/>
  <c r="L26" i="13" s="1"/>
  <c r="L31" i="12"/>
  <c r="F187" i="13" l="1"/>
  <c r="F192" i="13"/>
  <c r="F196" i="13"/>
  <c r="F200" i="13"/>
  <c r="F206" i="13"/>
  <c r="F205" i="13"/>
  <c r="F210" i="13"/>
  <c r="F193" i="13"/>
  <c r="F197" i="13"/>
  <c r="F201" i="13"/>
  <c r="F209" i="13"/>
  <c r="F208" i="13"/>
  <c r="F188" i="13"/>
  <c r="C80" i="12"/>
  <c r="A185" i="13"/>
  <c r="E186" i="13"/>
  <c r="F186" i="13" s="1"/>
  <c r="C87" i="12"/>
  <c r="C70" i="12"/>
  <c r="B61" i="13"/>
  <c r="B63" i="13"/>
  <c r="B213" i="13" s="1"/>
  <c r="B62" i="13"/>
  <c r="B212" i="13" s="1"/>
  <c r="B70" i="13"/>
  <c r="B220" i="13" s="1"/>
  <c r="B65" i="13"/>
  <c r="B215" i="13" s="1"/>
  <c r="B66" i="13"/>
  <c r="B216" i="13" s="1"/>
  <c r="B68" i="13"/>
  <c r="B218" i="13" s="1"/>
  <c r="B69" i="13"/>
  <c r="B219" i="13" s="1"/>
  <c r="B64" i="13"/>
  <c r="B214" i="13" s="1"/>
  <c r="B67" i="13"/>
  <c r="B217" i="13" s="1"/>
  <c r="B28" i="13"/>
  <c r="B3" i="15" a="1"/>
  <c r="C76" i="12"/>
  <c r="C84" i="12"/>
  <c r="C79" i="12"/>
  <c r="C77" i="12"/>
  <c r="C81" i="12"/>
  <c r="C85" i="12"/>
  <c r="C75" i="12"/>
  <c r="C78" i="12"/>
  <c r="C82" i="12"/>
  <c r="C86" i="12"/>
  <c r="C83" i="12"/>
  <c r="A184" i="13" l="1"/>
  <c r="E185" i="13"/>
  <c r="F185" i="13" s="1"/>
  <c r="B211" i="13"/>
  <c r="B185" i="13" s="1"/>
  <c r="B197" i="13"/>
  <c r="B201" i="13"/>
  <c r="B186" i="13"/>
  <c r="B202" i="13"/>
  <c r="B206" i="13"/>
  <c r="B191" i="13"/>
  <c r="B207" i="13"/>
  <c r="B184" i="13"/>
  <c r="B196" i="13"/>
  <c r="B4" i="15"/>
  <c r="B13" i="15"/>
  <c r="D13" i="15" s="1"/>
  <c r="B7" i="15"/>
  <c r="D7" i="15" s="1"/>
  <c r="B12" i="15"/>
  <c r="D12" i="15" s="1"/>
  <c r="B9" i="15"/>
  <c r="D9" i="15" s="1"/>
  <c r="B3" i="15"/>
  <c r="B8" i="15"/>
  <c r="D8" i="15" s="1"/>
  <c r="B5" i="15"/>
  <c r="D5" i="15" s="1"/>
  <c r="B10" i="15"/>
  <c r="D10" i="15" s="1"/>
  <c r="B11" i="15"/>
  <c r="D11" i="15" s="1"/>
  <c r="B6" i="15"/>
  <c r="D6" i="15" s="1"/>
  <c r="F104" i="12"/>
  <c r="B200" i="13" l="1"/>
  <c r="B195" i="13"/>
  <c r="B190" i="13"/>
  <c r="B208" i="13"/>
  <c r="B192" i="13"/>
  <c r="B203" i="13"/>
  <c r="B187" i="13"/>
  <c r="B198" i="13"/>
  <c r="B209" i="13"/>
  <c r="B193" i="13"/>
  <c r="B204" i="13"/>
  <c r="B188" i="13"/>
  <c r="B199" i="13"/>
  <c r="B210" i="13"/>
  <c r="B194" i="13"/>
  <c r="B205" i="13"/>
  <c r="B189" i="13"/>
  <c r="A183" i="13"/>
  <c r="E184" i="13"/>
  <c r="F184" i="13" s="1"/>
  <c r="B144" i="13"/>
  <c r="B146" i="13"/>
  <c r="G12" i="15"/>
  <c r="D3" i="15"/>
  <c r="D16" i="15"/>
  <c r="F13" i="15" s="1"/>
  <c r="G13" i="15" s="1"/>
  <c r="G6" i="15"/>
  <c r="G10" i="15"/>
  <c r="G19" i="15"/>
  <c r="G20" i="15"/>
  <c r="G18" i="15"/>
  <c r="G17" i="15"/>
  <c r="G15" i="15"/>
  <c r="G16" i="15"/>
  <c r="G11" i="15"/>
  <c r="G9" i="15"/>
  <c r="G7" i="15"/>
  <c r="G8" i="15"/>
  <c r="G14" i="15"/>
  <c r="D4" i="15"/>
  <c r="D15" i="15"/>
  <c r="B28" i="12" s="1"/>
  <c r="A182" i="13" l="1"/>
  <c r="E183" i="13"/>
  <c r="F183" i="13" s="1"/>
  <c r="B183" i="13"/>
  <c r="D14" i="15"/>
  <c r="A181" i="13" l="1"/>
  <c r="E182" i="13"/>
  <c r="F182" i="13" s="1"/>
  <c r="B182" i="13"/>
  <c r="A180" i="13" l="1"/>
  <c r="E181" i="13"/>
  <c r="F181" i="13" s="1"/>
  <c r="B181" i="13"/>
  <c r="A179" i="13" l="1"/>
  <c r="E180" i="13"/>
  <c r="F180" i="13" s="1"/>
  <c r="B180" i="13"/>
  <c r="A178" i="13" l="1"/>
  <c r="E179" i="13"/>
  <c r="F179" i="13" s="1"/>
  <c r="B179" i="13"/>
  <c r="A177" i="13" l="1"/>
  <c r="E178" i="13"/>
  <c r="F178" i="13" s="1"/>
  <c r="B178" i="13"/>
  <c r="A176" i="13" l="1"/>
  <c r="E177" i="13"/>
  <c r="F177" i="13" s="1"/>
  <c r="B177" i="13"/>
  <c r="A175" i="13" l="1"/>
  <c r="E176" i="13"/>
  <c r="F176" i="13" s="1"/>
  <c r="B176" i="13"/>
  <c r="A174" i="13" l="1"/>
  <c r="E175" i="13"/>
  <c r="F175" i="13" s="1"/>
  <c r="B175" i="13"/>
  <c r="A173" i="13" l="1"/>
  <c r="E174" i="13"/>
  <c r="F174" i="13" s="1"/>
  <c r="B174" i="13"/>
  <c r="A172" i="13" l="1"/>
  <c r="E173" i="13"/>
  <c r="F173" i="13" s="1"/>
  <c r="B173" i="13"/>
  <c r="A171" i="13" l="1"/>
  <c r="E172" i="13"/>
  <c r="F172" i="13" s="1"/>
  <c r="B172" i="13"/>
  <c r="A170" i="13" l="1"/>
  <c r="E171" i="13"/>
  <c r="F171" i="13" s="1"/>
  <c r="B171" i="13"/>
  <c r="A169" i="13" l="1"/>
  <c r="E170" i="13"/>
  <c r="F170" i="13" s="1"/>
  <c r="B170" i="13"/>
  <c r="A168" i="13" l="1"/>
  <c r="E169" i="13"/>
  <c r="F169" i="13" s="1"/>
  <c r="B169" i="13"/>
  <c r="A167" i="13" l="1"/>
  <c r="E168" i="13"/>
  <c r="F168" i="13" s="1"/>
  <c r="B168" i="13"/>
  <c r="A166" i="13" l="1"/>
  <c r="E167" i="13"/>
  <c r="F167" i="13" s="1"/>
  <c r="B167" i="13"/>
  <c r="A165" i="13" l="1"/>
  <c r="E166" i="13"/>
  <c r="F166" i="13" s="1"/>
  <c r="B166" i="13"/>
  <c r="A164" i="13" l="1"/>
  <c r="E165" i="13"/>
  <c r="F165" i="13" s="1"/>
  <c r="B165" i="13"/>
  <c r="A163" i="13" l="1"/>
  <c r="E164" i="13"/>
  <c r="F164" i="13" s="1"/>
  <c r="B164" i="13"/>
  <c r="A162" i="13" l="1"/>
  <c r="E163" i="13"/>
  <c r="F163" i="13" s="1"/>
  <c r="B163" i="13"/>
  <c r="A161" i="13" l="1"/>
  <c r="E162" i="13"/>
  <c r="F162" i="13" s="1"/>
  <c r="B162" i="13"/>
  <c r="A160" i="13" l="1"/>
  <c r="E161" i="13"/>
  <c r="F161" i="13" s="1"/>
  <c r="B161" i="13"/>
  <c r="A159" i="13" l="1"/>
  <c r="E160" i="13"/>
  <c r="F160" i="13" s="1"/>
  <c r="B160" i="13"/>
  <c r="A158" i="13" l="1"/>
  <c r="E159" i="13"/>
  <c r="F159" i="13" s="1"/>
  <c r="B159" i="13"/>
  <c r="A157" i="13" l="1"/>
  <c r="E158" i="13"/>
  <c r="F158" i="13" s="1"/>
  <c r="B158" i="13"/>
  <c r="A156" i="13" l="1"/>
  <c r="E157" i="13"/>
  <c r="F157" i="13" s="1"/>
  <c r="B157" i="13"/>
  <c r="A155" i="13" l="1"/>
  <c r="E156" i="13"/>
  <c r="F156" i="13" s="1"/>
  <c r="B156" i="13"/>
  <c r="A154" i="13" l="1"/>
  <c r="E155" i="13"/>
  <c r="F155" i="13" s="1"/>
  <c r="B155" i="13"/>
  <c r="A153" i="13" l="1"/>
  <c r="E154" i="13"/>
  <c r="F154" i="13" s="1"/>
  <c r="B154" i="13"/>
  <c r="A152" i="13" l="1"/>
  <c r="E153" i="13"/>
  <c r="F153" i="13" s="1"/>
  <c r="B153" i="13"/>
  <c r="A151" i="13" l="1"/>
  <c r="E152" i="13"/>
  <c r="F152" i="13" s="1"/>
  <c r="B152" i="13"/>
  <c r="A150" i="13" l="1"/>
  <c r="E151" i="13"/>
  <c r="F151" i="13" s="1"/>
  <c r="B151" i="13"/>
  <c r="A149" i="13" l="1"/>
  <c r="E150" i="13"/>
  <c r="F150" i="13" s="1"/>
  <c r="B150" i="13"/>
  <c r="A148" i="13" l="1"/>
  <c r="E149" i="13"/>
  <c r="F149" i="13" s="1"/>
  <c r="B149" i="13"/>
  <c r="A147" i="13" l="1"/>
  <c r="E148" i="13"/>
  <c r="F148" i="13" s="1"/>
  <c r="B148" i="13"/>
  <c r="A145" i="13" l="1"/>
  <c r="E147" i="13"/>
  <c r="F147" i="13" s="1"/>
  <c r="B147" i="13"/>
  <c r="A143" i="13" l="1"/>
  <c r="E145" i="13"/>
  <c r="F145" i="13" s="1"/>
  <c r="B145" i="13"/>
  <c r="A142" i="13" l="1"/>
  <c r="E143" i="13"/>
  <c r="F143" i="13" s="1"/>
  <c r="B143" i="13"/>
  <c r="A141" i="13" l="1"/>
  <c r="E142" i="13"/>
  <c r="F142" i="13" s="1"/>
  <c r="B142" i="13"/>
  <c r="A140" i="13" l="1"/>
  <c r="E141" i="13"/>
  <c r="F141" i="13" s="1"/>
  <c r="B141" i="13"/>
  <c r="A139" i="13" l="1"/>
  <c r="E140" i="13"/>
  <c r="F140" i="13" s="1"/>
  <c r="B140" i="13"/>
  <c r="A138" i="13" l="1"/>
  <c r="E139" i="13"/>
  <c r="F139" i="13" s="1"/>
  <c r="B139" i="13"/>
  <c r="A137" i="13" l="1"/>
  <c r="E138" i="13"/>
  <c r="F138" i="13" s="1"/>
  <c r="B138" i="13"/>
  <c r="A136" i="13" l="1"/>
  <c r="E137" i="13"/>
  <c r="F137" i="13" s="1"/>
  <c r="B137" i="13"/>
  <c r="A135" i="13" l="1"/>
  <c r="E136" i="13"/>
  <c r="F136" i="13" s="1"/>
  <c r="B136" i="13"/>
  <c r="A134" i="13" l="1"/>
  <c r="E135" i="13"/>
  <c r="F135" i="13" s="1"/>
  <c r="B135" i="13"/>
  <c r="E134" i="13" l="1"/>
  <c r="F134" i="13" s="1"/>
  <c r="B134" i="13"/>
</calcChain>
</file>

<file path=xl/sharedStrings.xml><?xml version="1.0" encoding="utf-8"?>
<sst xmlns="http://schemas.openxmlformats.org/spreadsheetml/2006/main" count="1535" uniqueCount="518">
  <si>
    <t>Nivel 1</t>
  </si>
  <si>
    <t>Residencial</t>
  </si>
  <si>
    <t xml:space="preserve">Ingeniero </t>
  </si>
  <si>
    <t>Ingeniero</t>
  </si>
  <si>
    <t xml:space="preserve">   Ingeniero</t>
  </si>
  <si>
    <t>Horas maximas requeridas</t>
  </si>
  <si>
    <t>costo horas laboradas</t>
  </si>
  <si>
    <t>distancia a desplazar promedio (Km)</t>
  </si>
  <si>
    <t>$/alimentacion  promedio</t>
  </si>
  <si>
    <t>costo desplazamiento ida y vuelta</t>
  </si>
  <si>
    <t>Total Costo Aproximado auditoria</t>
  </si>
  <si>
    <t>TRABAJO DE CAMPO</t>
  </si>
  <si>
    <t>ESTUDIO</t>
  </si>
  <si>
    <t>Tecnico</t>
  </si>
  <si>
    <t>Tipo de auditoria</t>
  </si>
  <si>
    <t>Sector</t>
  </si>
  <si>
    <t>Max 15 pisos o 
3000m2</t>
  </si>
  <si>
    <t>Acotamiento</t>
  </si>
  <si>
    <t>3000m2</t>
  </si>
  <si>
    <t>2000m2</t>
  </si>
  <si>
    <t>comercial/institucional</t>
  </si>
  <si>
    <t>Técnico</t>
  </si>
  <si>
    <t>Horas máximas requeridas</t>
  </si>
  <si>
    <t>alimentaciones /día</t>
  </si>
  <si>
    <t>Industrial</t>
  </si>
  <si>
    <t>Nivel 2</t>
  </si>
  <si>
    <t>alimentaciones</t>
  </si>
  <si>
    <t>TRABAJO DE CAMPO RECOLECCION DE INFORMACION</t>
  </si>
  <si>
    <t>TRABAJO DE CAMPO 
IMPLENTACION PLAN UREE</t>
  </si>
  <si>
    <t>coeficiente
 %</t>
  </si>
  <si>
    <t>Equipo</t>
  </si>
  <si>
    <t>Analizador de Redes fluke serie 430 II</t>
  </si>
  <si>
    <t>sonda de temperatura termopares</t>
  </si>
  <si>
    <t>medidor laser de distancia</t>
  </si>
  <si>
    <t xml:space="preserve">cronometro </t>
  </si>
  <si>
    <t>Computadores</t>
  </si>
  <si>
    <t>$/Hora</t>
  </si>
  <si>
    <t>Costo por uso</t>
  </si>
  <si>
    <t>Total</t>
  </si>
  <si>
    <t>desplazamiento  $/Km</t>
  </si>
  <si>
    <t xml:space="preserve">alimentacion  $/persona </t>
  </si>
  <si>
    <t>Trabajo  $/h</t>
  </si>
  <si>
    <t>NO</t>
  </si>
  <si>
    <t>caja de herramientas</t>
  </si>
  <si>
    <t>valor compra 
con IVA</t>
  </si>
  <si>
    <t>vida útil
 (años)</t>
  </si>
  <si>
    <t>Valor 
depreciación /Hora</t>
  </si>
  <si>
    <t>Pinza Amperimétrica fluke 323</t>
  </si>
  <si>
    <t>Multímetro fluke 117</t>
  </si>
  <si>
    <t>luxómetro Fluke 94 / FLUKE-941</t>
  </si>
  <si>
    <t>Cámara termográfica</t>
  </si>
  <si>
    <t>Sonda termo higrométrica</t>
  </si>
  <si>
    <t>cámara fotográfica y  video</t>
  </si>
  <si>
    <t>valor depreciado por cada periodo (Años)</t>
  </si>
  <si>
    <t>$/alimentación  promedio</t>
  </si>
  <si>
    <t>técnico</t>
  </si>
  <si>
    <t xml:space="preserve"> uso de equipos</t>
  </si>
  <si>
    <t>tiempo Max de uso (horas)</t>
  </si>
  <si>
    <t>Nivel 3</t>
  </si>
  <si>
    <t>Tiempo Max de uso (horas)</t>
  </si>
  <si>
    <t>Equipos usados para M&amp;V</t>
  </si>
  <si>
    <t>Equipos usados en campo y estudio</t>
  </si>
  <si>
    <t>calculos para 1 año (4 Visitas)</t>
  </si>
  <si>
    <t>MEDICION Y VERIFICACION 
(M&amp;V) Para 1 año</t>
  </si>
  <si>
    <t>Sub Total M&amp;V</t>
  </si>
  <si>
    <t>Uso de Equipos para M&amp;V</t>
  </si>
  <si>
    <t xml:space="preserve"> Uso de esquipos campo y estudio</t>
  </si>
  <si>
    <t>Comercial/ institucional</t>
  </si>
  <si>
    <t>Comercial/ Institucional</t>
  </si>
  <si>
    <t>cámara fotográfica y video</t>
  </si>
  <si>
    <t>Valor 
depreciación/Dia</t>
  </si>
  <si>
    <t>desplazamiento  ($/Km)</t>
  </si>
  <si>
    <t>Trabajo  ($/h)</t>
  </si>
  <si>
    <t xml:space="preserve">alimentación  ($/persona) </t>
  </si>
  <si>
    <t>Trabajo ($/h)</t>
  </si>
  <si>
    <t>Total costo aprox auditoria</t>
  </si>
  <si>
    <t>valor ganancia</t>
  </si>
  <si>
    <t xml:space="preserve">AE Nivel 1 </t>
  </si>
  <si>
    <t>sector</t>
  </si>
  <si>
    <t>residencial</t>
  </si>
  <si>
    <t>sub total por servicio</t>
  </si>
  <si>
    <t>% de ganancia</t>
  </si>
  <si>
    <t xml:space="preserve">costo total del servicio </t>
  </si>
  <si>
    <t>Comercial o
institucional</t>
  </si>
  <si>
    <t>15 pisos o  3000m2</t>
  </si>
  <si>
    <t>AE Nivel 2</t>
  </si>
  <si>
    <t>15 pisos o 3000m2</t>
  </si>
  <si>
    <t>comisión en subcontrataciones</t>
  </si>
  <si>
    <t>Comercial o institucional</t>
  </si>
  <si>
    <t>industrial</t>
  </si>
  <si>
    <t>Comercial o 
institucional</t>
  </si>
  <si>
    <t xml:space="preserve"> 3000m2</t>
  </si>
  <si>
    <t>Auxiliar</t>
  </si>
  <si>
    <t>no</t>
  </si>
  <si>
    <t>AE Nivel 3</t>
  </si>
  <si>
    <t>comercial o institucional</t>
  </si>
  <si>
    <t>INVERSION</t>
  </si>
  <si>
    <t>Requerimientos</t>
  </si>
  <si>
    <t>Inversion activos depreciables</t>
  </si>
  <si>
    <t>Camara Fotografica</t>
  </si>
  <si>
    <t>Mueble Biblioteca</t>
  </si>
  <si>
    <t>Silla de Oficina Ergonomica</t>
  </si>
  <si>
    <t>Tablero de acrilico o vidrio</t>
  </si>
  <si>
    <t>Telefono</t>
  </si>
  <si>
    <t>Impresora</t>
  </si>
  <si>
    <t>Televisor 32"</t>
  </si>
  <si>
    <t>Utensillos de Cafeteria (greca electrica)</t>
  </si>
  <si>
    <t>Herramientas de mano</t>
  </si>
  <si>
    <t>Telefonos, fax, impresoras</t>
  </si>
  <si>
    <t>Vehiculo</t>
  </si>
  <si>
    <t>Tablero</t>
  </si>
  <si>
    <t>Elementos de cafeteria</t>
  </si>
  <si>
    <t>televisores</t>
  </si>
  <si>
    <t>Equipos de verificacion y medida</t>
  </si>
  <si>
    <t>Inversion medios interactivos</t>
  </si>
  <si>
    <t>tarjetas y publicidad</t>
  </si>
  <si>
    <t>Otros gastos</t>
  </si>
  <si>
    <t>Imprevistos</t>
  </si>
  <si>
    <t>Inversion activos no depreciables</t>
  </si>
  <si>
    <t>Terrenos</t>
  </si>
  <si>
    <t>Años</t>
  </si>
  <si>
    <t>TOTAL</t>
  </si>
  <si>
    <t>Capital de trabajo</t>
  </si>
  <si>
    <t>efectivo</t>
  </si>
  <si>
    <t>% de la inverion total</t>
  </si>
  <si>
    <t>ITEM</t>
  </si>
  <si>
    <t>Cantidad</t>
  </si>
  <si>
    <t>Link</t>
  </si>
  <si>
    <t>Elementos de Oficina</t>
  </si>
  <si>
    <t>http://www.alkosto.com/pc-all-in-one-hp-20-c207-ci3-19-5-blanco</t>
  </si>
  <si>
    <t>Escritorio en "L"</t>
  </si>
  <si>
    <t>http://www.homecenter.com.co/homecenter-co/search/?Ntt=315271+315273+315275+315272+315274+315276&amp;cid=vtrlnd38296&amp;=INTERNA</t>
  </si>
  <si>
    <t>http://www.homecenter.com.co/homecenter-co/product/318488/Camara-Deportiva-Ultra-Action-1080-P-Full-HD-VTA-83525/318488</t>
  </si>
  <si>
    <t>http://www.homecenter.com.co/homecenter-co/product/186683/Silla-Ejecutiva-Cromada-con-Brazos-Negra/186683</t>
  </si>
  <si>
    <t>http://www.homecenter.com.co/homecenter-co/product/177097/Tablero-acrilico-marco-madera-sencillo/177097</t>
  </si>
  <si>
    <t>http://www.homecenter.com.co/homecenter-co/product/267048/Central-Telefonica-2-auriculares/267048</t>
  </si>
  <si>
    <t>http://www.homecenter.com.co/homecenter-co/product/317821/Impresora-Todo-en-Uno-Hp-Wifi-Deskjet-GT-5820/317821</t>
  </si>
  <si>
    <t>http://www.homecenter.com.co/homecenter-co/product/297759/Televisor-SmartTV-TC-32DS600H/297759</t>
  </si>
  <si>
    <t>https://articulo.mercadolibre.com.co/MCO-448564244-greca-cafetera-electrica-120-tintos-nueva-envio-gratis-_JM</t>
  </si>
  <si>
    <t>Maquinaria y Equipos</t>
  </si>
  <si>
    <t>http://www.fluke.com/fluke/coes/medidores-de-calidad-de-la-energia-electrica/logging-power-meters/fluke-435-series-ii.htm?pid=73939</t>
  </si>
  <si>
    <t>Pinza Amperimetrica fluke 323</t>
  </si>
  <si>
    <t>http://www.exmacol.com/68-fluke-323-bogota-colombia.html</t>
  </si>
  <si>
    <t>Multimetro fluke 117</t>
  </si>
  <si>
    <t>http://www.exmacol.com/38-fluke-117-bogota-colombia.html</t>
  </si>
  <si>
    <t>LuxometroFluke 94 / FLUKE-941</t>
  </si>
  <si>
    <t>https://articulo.mercadolibre.com.co/MCO-447590818-mastech-ms6612-luxometro-multifuncion-foot-candle-light-_JM?source=gps</t>
  </si>
  <si>
    <t>Sonda de temperatura Termopares</t>
  </si>
  <si>
    <t>http://www.fluke.com/fluke/coes/accesorios/temperatura/80pk-11.htm?pid=55362</t>
  </si>
  <si>
    <t>Camara termografica</t>
  </si>
  <si>
    <t>http://www.fluke.com/fluke/coes/termometros/termometros-por-infrarrojos/fluke-vt04.htm?pid=77085</t>
  </si>
  <si>
    <t>Sonda Termohigrometrica</t>
  </si>
  <si>
    <t>https://www.pce-instruments.com/espanol/instrumento-medida/medidor/medidor-calidad-aire-interior-kimo-medidor-de-calidad-del-aire-hq-210-det_4606595.htm</t>
  </si>
  <si>
    <t xml:space="preserve"> Termometro pirometro digital</t>
  </si>
  <si>
    <t>https://articulo.mercadolibre.com.co/MCO-448701645-termometro-pirometro-digital-infrarrojo-sin-contacto-unit-_JM</t>
  </si>
  <si>
    <t>http://www.homecenter.com.co/homecenter-co/product/191259/Medidor-distancia-laser-40-metros-GLM-40-0601-072900/191259</t>
  </si>
  <si>
    <t xml:space="preserve">Cronometro </t>
  </si>
  <si>
    <t>https://articulo.mercadolibre.com.co/MCO-451054315-cronometro-digital-profesional-deportivo-envio-gratis-_JM</t>
  </si>
  <si>
    <t>Caja de herrameintas</t>
  </si>
  <si>
    <t>http://www.homecenter.com.co/homecenter-co/product/279788/?cid=vtrlnd15919</t>
  </si>
  <si>
    <t>Equipo de Seguridad</t>
  </si>
  <si>
    <t>Casco Dielectricas</t>
  </si>
  <si>
    <t>http://www.homecenter.com.co/homecenter-co/product/144086/Casco-Ajuste-Ratchet-Blanco/144086</t>
  </si>
  <si>
    <t>Botas Dielectricas</t>
  </si>
  <si>
    <t>http://www.homecenter.com.co/homecenter-co/product/314340/Bota-Seguridad-Thundra-Dielectrica-Talla-39/314340</t>
  </si>
  <si>
    <t>Gafas de Lente Oscuro de Nitrilo</t>
  </si>
  <si>
    <t>http://www.homecenter.com.co/homecenter-co/product/137004/Gafa-Lente-Oscuro-Nitro-II/137004</t>
  </si>
  <si>
    <t>Guantes de Nitrilio</t>
  </si>
  <si>
    <t>http://www.homecenter.com.co/homecenter-co/product/276429/Guante-Multiflex-Poliester-Nitrilo-Talla-L/276429</t>
  </si>
  <si>
    <t>Mascara Proteccion Facil Vision Claro</t>
  </si>
  <si>
    <t>http://www.homecenter.com.co/homecenter-co/product/74673/Careta-Proteccion-Facial-Visor-Claro/74673</t>
  </si>
  <si>
    <t>Costo (IVA incluido ) 
en COP</t>
  </si>
  <si>
    <t>Bien</t>
  </si>
  <si>
    <t>Costo compra</t>
  </si>
  <si>
    <t>vida útil</t>
  </si>
  <si>
    <t>% depreciación</t>
  </si>
  <si>
    <t>valor depreciación 
por periodo</t>
  </si>
  <si>
    <t>Despreciacion por bien</t>
  </si>
  <si>
    <t>vehiculo</t>
  </si>
  <si>
    <t xml:space="preserve">Equipos de medida Y verificacion </t>
  </si>
  <si>
    <t>Total equipos de medida y veificacion</t>
  </si>
  <si>
    <t>valor depreciacion por periodo (años)</t>
  </si>
  <si>
    <t>Total acumulado</t>
  </si>
  <si>
    <t>Depreciacion por cada periodo mediante metodo de la linea directa</t>
  </si>
  <si>
    <t>Costos Fijos</t>
  </si>
  <si>
    <t>Motivo</t>
  </si>
  <si>
    <t>Mensual</t>
  </si>
  <si>
    <t>anual</t>
  </si>
  <si>
    <t xml:space="preserve">Nomina </t>
  </si>
  <si>
    <t xml:space="preserve">Arrendamiento oficina </t>
  </si>
  <si>
    <t>Puesto de Trabajo</t>
  </si>
  <si>
    <t>Tipo de Contrato</t>
  </si>
  <si>
    <t>Sueldo (Mensual Devengado)</t>
  </si>
  <si>
    <t>Indefinido</t>
  </si>
  <si>
    <t>Tecnico Electricista</t>
  </si>
  <si>
    <t>Suledo Basico</t>
  </si>
  <si>
    <t>Apropiaciones de Nomina</t>
  </si>
  <si>
    <t>Comiciones</t>
  </si>
  <si>
    <t xml:space="preserve">Horas extras </t>
  </si>
  <si>
    <t>Seguridad Social</t>
  </si>
  <si>
    <t>Recargo Norcturno</t>
  </si>
  <si>
    <t xml:space="preserve">Salud </t>
  </si>
  <si>
    <t>Recargo Dominical</t>
  </si>
  <si>
    <t xml:space="preserve">Pension </t>
  </si>
  <si>
    <t>Recargo Festivo</t>
  </si>
  <si>
    <t>ARL nivel 5</t>
  </si>
  <si>
    <t>Auxilio de Transporte</t>
  </si>
  <si>
    <t>Total Apropiaciones</t>
  </si>
  <si>
    <t>Total Devengado sin Aux. Transporte</t>
  </si>
  <si>
    <t xml:space="preserve">Total Devengado </t>
  </si>
  <si>
    <t>Apropiaciones Parafiscales</t>
  </si>
  <si>
    <t>Deducciones</t>
  </si>
  <si>
    <t>Salud</t>
  </si>
  <si>
    <t>Sena</t>
  </si>
  <si>
    <t>Pension</t>
  </si>
  <si>
    <t>Caja de Compensacion</t>
  </si>
  <si>
    <t>Credito por libranza</t>
  </si>
  <si>
    <t>ICBF</t>
  </si>
  <si>
    <t>Cuota Sindicato</t>
  </si>
  <si>
    <t>Total Parafiscales</t>
  </si>
  <si>
    <t>Cuota Cooprativa</t>
  </si>
  <si>
    <t>Embargo Judicial</t>
  </si>
  <si>
    <t>Prestaciones Sociales</t>
  </si>
  <si>
    <t>Total Deducciones</t>
  </si>
  <si>
    <t>Prima de Servicios</t>
  </si>
  <si>
    <t>Total Suledo Basico</t>
  </si>
  <si>
    <t>Cesantias</t>
  </si>
  <si>
    <t>Intereses sobre la censantias</t>
  </si>
  <si>
    <t>Vacaciones</t>
  </si>
  <si>
    <t>Total Prestaciones</t>
  </si>
  <si>
    <t>Total Nòmina</t>
  </si>
  <si>
    <t>Apropiaciones de Nomina Empresa</t>
  </si>
  <si>
    <t>Nomina Administrador de Empresas</t>
  </si>
  <si>
    <t>Nomina Tecnico Electricista</t>
  </si>
  <si>
    <t>Nomina Auxiliar Electricista</t>
  </si>
  <si>
    <t>Ingeniero Y (campo)</t>
  </si>
  <si>
    <t>Auxiliar Electricista</t>
  </si>
  <si>
    <t>Jornada de Trabajo
h/mes</t>
  </si>
  <si>
    <t>Ingeniero X (Area comercial y campo)</t>
  </si>
  <si>
    <t>Valor / hora de labor</t>
  </si>
  <si>
    <t>Ingeniero Z (Area comercial y campo)</t>
  </si>
  <si>
    <t>Nomina Ingeniero (X,Y,Z)</t>
  </si>
  <si>
    <t>Muebles y Mobiliarios</t>
  </si>
  <si>
    <t xml:space="preserve">Equipos de medida y verificacion </t>
  </si>
  <si>
    <t>Computador</t>
  </si>
  <si>
    <t>Mes</t>
  </si>
  <si>
    <t>Subcontratacion</t>
  </si>
  <si>
    <t>Costo Directo</t>
  </si>
  <si>
    <t>Precio de venta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</si>
  <si>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</si>
  <si>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</si>
  <si>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</si>
  <si>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</si>
  <si>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</si>
  <si>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</si>
  <si>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</si>
  <si>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</si>
  <si>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</si>
  <si>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</si>
  <si>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</si>
  <si>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</si>
  <si>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cantidad auditorias contratadas</t>
  </si>
  <si>
    <t>Valor auditoria escenario Optimista</t>
  </si>
  <si>
    <t>Valor auditoria escenario Ideal</t>
  </si>
  <si>
    <t>Valor auditoria escenario Pesimista</t>
  </si>
  <si>
    <t>Valor auditoria escenario ideal</t>
  </si>
  <si>
    <t>Valor auditoria escenario pesimista</t>
  </si>
  <si>
    <t>Total acumulao</t>
  </si>
  <si>
    <t>Unidad de negocio</t>
  </si>
  <si>
    <t>Auditorias energeticas</t>
  </si>
  <si>
    <t xml:space="preserve">Proyeccion de crecimiento de ventas </t>
  </si>
  <si>
    <t xml:space="preserve">Servicios públicos </t>
  </si>
  <si>
    <t>Costos directos</t>
  </si>
  <si>
    <t>Mano de obra</t>
  </si>
  <si>
    <t>% crecimiento por año</t>
  </si>
  <si>
    <t xml:space="preserve">Prestaciones </t>
  </si>
  <si>
    <t>Arriendo</t>
  </si>
  <si>
    <t>Otros gastos Indiretos</t>
  </si>
  <si>
    <t>Depreciacion de activos</t>
  </si>
  <si>
    <t>Servicios publicos</t>
  </si>
  <si>
    <t>Nomina</t>
  </si>
  <si>
    <t>Gastos de ventas</t>
  </si>
  <si>
    <t>Comercializacion</t>
  </si>
  <si>
    <t>Nomina Contador</t>
  </si>
  <si>
    <t>Contador</t>
  </si>
  <si>
    <t>Administrativo</t>
  </si>
  <si>
    <t>Operativo</t>
  </si>
  <si>
    <t>Costos administrativos</t>
  </si>
  <si>
    <t>prestaciones/mes</t>
  </si>
  <si>
    <t>Depreciacion administrativa</t>
  </si>
  <si>
    <t>Total administracion</t>
  </si>
  <si>
    <t>Vehiculos</t>
  </si>
  <si>
    <t>herramientas de mano</t>
  </si>
  <si>
    <t>Juego Destornilladores 65-980 Aislados Probador Corriente x7pzas</t>
  </si>
  <si>
    <t>http://www.easy.com.co/p/juego-destornilladores-65_980-aislados-probador-corriente-x7pzas/</t>
  </si>
  <si>
    <t>Alicate Dieléctrico Electricista A 1000 V</t>
  </si>
  <si>
    <t>https://articulo.mercadolibre.com.co/MCO-458466243-alicate-dielectrico-electricista-a-1000-v-_JM</t>
  </si>
  <si>
    <t>Alicate Pela Cables Wolfox Automática 7</t>
  </si>
  <si>
    <t>https://articulo.mercadolibre.com.co/MCO-454234312-alicate-pela-cables-wolfox-automatica-7-_JM</t>
  </si>
  <si>
    <t>Juego 20 Llaves Combinadas Pulgadas- mm Ref 85-783 Stanley</t>
  </si>
  <si>
    <t>http://www.homecenter.com.co/homecenter-co/product/16507/Juego-20-Llaves-Combinadas-Pulgadas-mm-Ref-85-783/16507</t>
  </si>
  <si>
    <t>Total heramientas de mano</t>
  </si>
  <si>
    <t>Total mobiliario</t>
  </si>
  <si>
    <t>constitucion empresa</t>
  </si>
  <si>
    <t>otros materiales y costos</t>
  </si>
  <si>
    <t>Total acumulado campo</t>
  </si>
  <si>
    <t>Total acumulado Administrativo</t>
  </si>
  <si>
    <t>Elementos</t>
  </si>
  <si>
    <t>% de la inversión</t>
  </si>
  <si>
    <t>Inversión activos depreciables</t>
  </si>
  <si>
    <t>Inversión medios interactivos</t>
  </si>
  <si>
    <t>Inversión activos no depreciables</t>
  </si>
  <si>
    <t>Entidad</t>
  </si>
  <si>
    <t>tipo de tasa</t>
  </si>
  <si>
    <t>Monto</t>
  </si>
  <si>
    <t>Tasa interés E.A</t>
  </si>
  <si>
    <t>tipo de amortización</t>
  </si>
  <si>
    <t>Plazo máximo</t>
  </si>
  <si>
    <t>36 meses</t>
  </si>
  <si>
    <t>variable</t>
  </si>
  <si>
    <t>DTF</t>
  </si>
  <si>
    <t>14,63% + DTF= 20,29%</t>
  </si>
  <si>
    <t> DTF + 18% EA= 23.66</t>
  </si>
  <si>
    <t>$ 0,00</t>
  </si>
  <si>
    <t>$ 20.000.000,00</t>
  </si>
  <si>
    <t>$ 555.555,56</t>
  </si>
  <si>
    <t>$ 19.444.444,44</t>
  </si>
  <si>
    <t>$ 18.888.888,89</t>
  </si>
  <si>
    <t>$ 18.333.333,33</t>
  </si>
  <si>
    <t>$ 17.777.777,78</t>
  </si>
  <si>
    <t>$ 17.222.222,22</t>
  </si>
  <si>
    <t>$ 16.666.666,67</t>
  </si>
  <si>
    <t>$ 16.111.111,11</t>
  </si>
  <si>
    <t>$ 15.555.555,56</t>
  </si>
  <si>
    <t>$ 15.000.000,00</t>
  </si>
  <si>
    <t>$ 14.444.444,44</t>
  </si>
  <si>
    <t>$ 13.888.888,89</t>
  </si>
  <si>
    <t>$ 13.333.333,33</t>
  </si>
  <si>
    <t>$ 12.777.777,78</t>
  </si>
  <si>
    <t>$ 12.222.222,22</t>
  </si>
  <si>
    <t>$ 11.666.666,67</t>
  </si>
  <si>
    <t>$ 11.111.111,11</t>
  </si>
  <si>
    <t>$ 10.555.555,56</t>
  </si>
  <si>
    <t>$ 10.000.000,00</t>
  </si>
  <si>
    <t>$ 9.444.444,44</t>
  </si>
  <si>
    <t>$ 8.888.888,89</t>
  </si>
  <si>
    <t>$ 8.333.333,33</t>
  </si>
  <si>
    <t>$ 7.777.777,78</t>
  </si>
  <si>
    <t>$ 7.222.222,22</t>
  </si>
  <si>
    <t>$ 6.666.666,67</t>
  </si>
  <si>
    <t>$ 6.111.111,11</t>
  </si>
  <si>
    <t>$ 5.555.555,56</t>
  </si>
  <si>
    <t>$ 5.000.000,00</t>
  </si>
  <si>
    <t>$ 4.444.444,44</t>
  </si>
  <si>
    <t>$ 3.888.888,89</t>
  </si>
  <si>
    <t>$ 3.333.333,33</t>
  </si>
  <si>
    <t>$ 2.777.777,78</t>
  </si>
  <si>
    <t>$ 2.222.222,22</t>
  </si>
  <si>
    <t>$ 1.666.666,67</t>
  </si>
  <si>
    <t>$ 1.111.111,11</t>
  </si>
  <si>
    <t>cuota</t>
  </si>
  <si>
    <t>abono capital</t>
  </si>
  <si>
    <t>valor cuota</t>
  </si>
  <si>
    <t>saldo capital</t>
  </si>
  <si>
    <t>https://www.bancoldex.com/simuladores/simulador_credito.aspx</t>
  </si>
  <si>
    <t>año</t>
  </si>
  <si>
    <t>Total cuotas</t>
  </si>
  <si>
    <t>Mensual o trimestral</t>
  </si>
  <si>
    <t>Ingresos</t>
  </si>
  <si>
    <t>Periodos (años)</t>
  </si>
  <si>
    <t>Total Ingresos</t>
  </si>
  <si>
    <t>Gastos de personal  Administrativos</t>
  </si>
  <si>
    <t>capital de trabajo</t>
  </si>
  <si>
    <t>Utilidad bruta antes de impuestos</t>
  </si>
  <si>
    <t>impuesto renta y reserva legal(34%)</t>
  </si>
  <si>
    <t>Flujo neto de caja</t>
  </si>
  <si>
    <t>VAN con TDO</t>
  </si>
  <si>
    <t>TIR</t>
  </si>
  <si>
    <t>Flujo de caja sin financiación</t>
  </si>
  <si>
    <t>Auditorias energéticas</t>
  </si>
  <si>
    <t>Subcontratación</t>
  </si>
  <si>
    <t>Flujos de producción</t>
  </si>
  <si>
    <t>Otros gastos Indirectos</t>
  </si>
  <si>
    <t>Total flujos de producción</t>
  </si>
  <si>
    <t>Flujos de Inversión</t>
  </si>
  <si>
    <t>Total flujos de inversión</t>
  </si>
  <si>
    <t>depreciación(+)</t>
  </si>
  <si>
    <t>Flujo de caja con financiación</t>
  </si>
  <si>
    <t>Prestamo (+)</t>
  </si>
  <si>
    <t>sub Total flujos de inversión</t>
  </si>
  <si>
    <t>Periodo Años</t>
  </si>
  <si>
    <t>Flujo de caja</t>
  </si>
  <si>
    <t>(1+i)^n</t>
  </si>
  <si>
    <t>T oportunidad</t>
  </si>
  <si>
    <t>%</t>
  </si>
  <si>
    <t>VPN</t>
  </si>
  <si>
    <t>Punto de equilibrio en ventas</t>
  </si>
  <si>
    <t>Financiado</t>
  </si>
  <si>
    <t>depre</t>
  </si>
  <si>
    <t>Tir</t>
  </si>
  <si>
    <t>aumenta 4% anual</t>
  </si>
  <si>
    <t>TD</t>
  </si>
  <si>
    <t xml:space="preserve">Estimacion de ingresos Escenario </t>
  </si>
  <si>
    <t>o</t>
  </si>
  <si>
    <t xml:space="preserve">Costos por operacion </t>
  </si>
  <si>
    <t>VPN con TDO 10</t>
  </si>
  <si>
    <t>Punto equilibrio</t>
  </si>
  <si>
    <t>cantidad auditorias vendidas</t>
  </si>
  <si>
    <t>precio de venta auditorias</t>
  </si>
  <si>
    <t>subcontratacion</t>
  </si>
  <si>
    <t>CD costos directos</t>
  </si>
  <si>
    <t>ci cost adm+cost ind</t>
  </si>
  <si>
    <t>costos</t>
  </si>
  <si>
    <t>Ingresos=costos</t>
  </si>
  <si>
    <t>x</t>
  </si>
  <si>
    <t>y</t>
  </si>
  <si>
    <t xml:space="preserve">Nombre </t>
  </si>
  <si>
    <t>cargo</t>
  </si>
  <si>
    <t>Empresa</t>
  </si>
  <si>
    <t>EFICIENCIA ENERGETICA COLOMBIANA S A S</t>
  </si>
  <si>
    <t>AHORRO Y EFICIENCIA ENERGETICA S A S</t>
  </si>
  <si>
    <t>ECO SOLUCIONES ENERGETICAS S A S</t>
  </si>
  <si>
    <t>SOLUCIONES DE EFICIENCIA ENERGETICA S A S</t>
  </si>
  <si>
    <t>ECOLNERGY</t>
  </si>
  <si>
    <t>Camilo Ortiz</t>
  </si>
  <si>
    <t>Project manager</t>
  </si>
  <si>
    <t>Rafael Melo</t>
  </si>
  <si>
    <t>Luis Rodriguez</t>
  </si>
  <si>
    <t>gerente</t>
  </si>
  <si>
    <t>Javier contreras</t>
  </si>
  <si>
    <t>sandra Alonso</t>
  </si>
  <si>
    <t>Gerente</t>
  </si>
  <si>
    <t>$ 357.093,24</t>
  </si>
  <si>
    <t>$ 912.648,80</t>
  </si>
  <si>
    <t>$ 347.173,98</t>
  </si>
  <si>
    <t>$ 902.729,54</t>
  </si>
  <si>
    <t>$ 337.254,73</t>
  </si>
  <si>
    <t>$ 892.810,28</t>
  </si>
  <si>
    <t>$ 327.335,47</t>
  </si>
  <si>
    <t>$ 882.891,03</t>
  </si>
  <si>
    <t>$ 317.416,21</t>
  </si>
  <si>
    <t>$ 872.971,77</t>
  </si>
  <si>
    <t>$ 307.496,96</t>
  </si>
  <si>
    <t>$ 863.052,51</t>
  </si>
  <si>
    <t>$ 297.577,70</t>
  </si>
  <si>
    <t>$ 853.133,26</t>
  </si>
  <si>
    <t>$ 287.658,44</t>
  </si>
  <si>
    <t>$ 843.214,00</t>
  </si>
  <si>
    <t>$ 277.739,19</t>
  </si>
  <si>
    <t>$ 833.294,74</t>
  </si>
  <si>
    <t>$ 267.819,93</t>
  </si>
  <si>
    <t>$ 823.375,49</t>
  </si>
  <si>
    <t>$ 257.900,67</t>
  </si>
  <si>
    <t>$ 813.456,23</t>
  </si>
  <si>
    <t>$ 247.981,42</t>
  </si>
  <si>
    <t>$ 803.536,97</t>
  </si>
  <si>
    <t>$ 238.062,16</t>
  </si>
  <si>
    <t>$ 793.617,72</t>
  </si>
  <si>
    <t>$ 228.142,90</t>
  </si>
  <si>
    <t>$ 783.698,46</t>
  </si>
  <si>
    <t>$ 218.223,65</t>
  </si>
  <si>
    <t>$ 773.779,20</t>
  </si>
  <si>
    <t>$ 208.304,39</t>
  </si>
  <si>
    <t>$ 763.859,95</t>
  </si>
  <si>
    <t>$ 198.385,13</t>
  </si>
  <si>
    <t>$ 753.940,69</t>
  </si>
  <si>
    <t>$ 188.465,88</t>
  </si>
  <si>
    <t>$ 744.021,43</t>
  </si>
  <si>
    <t>$ 178.546,62</t>
  </si>
  <si>
    <t>$ 734.102,18</t>
  </si>
  <si>
    <t>$ 168.627,36</t>
  </si>
  <si>
    <t>$ 724.182,92</t>
  </si>
  <si>
    <t>$ 158.708,11</t>
  </si>
  <si>
    <t>$ 714.263,66</t>
  </si>
  <si>
    <t>$ 148.788,85</t>
  </si>
  <si>
    <t>$ 704.344,41</t>
  </si>
  <si>
    <t>$ 138.869,59</t>
  </si>
  <si>
    <t>$ 694.425,15</t>
  </si>
  <si>
    <t>$ 128.950,34</t>
  </si>
  <si>
    <t>$ 684.505,89</t>
  </si>
  <si>
    <t>$ 119.031,08</t>
  </si>
  <si>
    <t>$ 674.586,64</t>
  </si>
  <si>
    <t>$ 109.111,82</t>
  </si>
  <si>
    <t>$ 664.667,38</t>
  </si>
  <si>
    <t>$ 99.192,57</t>
  </si>
  <si>
    <t>$ 654.748,12</t>
  </si>
  <si>
    <t>$ 89.273,31</t>
  </si>
  <si>
    <t>$ 644.828,87</t>
  </si>
  <si>
    <t>$ 79.354,05</t>
  </si>
  <si>
    <t>$ 634.909,61</t>
  </si>
  <si>
    <t>$ 69.434,80</t>
  </si>
  <si>
    <t>$ 624.990,35</t>
  </si>
  <si>
    <t>$ 59.515,54</t>
  </si>
  <si>
    <t>$ 615.071,10</t>
  </si>
  <si>
    <t>$ 49.596,28</t>
  </si>
  <si>
    <t>$ 605.151,84</t>
  </si>
  <si>
    <t>$ 39.677,03</t>
  </si>
  <si>
    <t>$ 595.232,58</t>
  </si>
  <si>
    <t>$ 29.757,77</t>
  </si>
  <si>
    <t>$ 585.313,33</t>
  </si>
  <si>
    <t>$ 19.838,51</t>
  </si>
  <si>
    <t>$ 575.394,07</t>
  </si>
  <si>
    <t>$ 9.919,26</t>
  </si>
  <si>
    <t>$ 565.474,81</t>
  </si>
  <si>
    <t>$ 6.606.224,97</t>
  </si>
  <si>
    <t>$ 26.606.224,97</t>
  </si>
  <si>
    <t>av villas/Bancóldex</t>
  </si>
  <si>
    <t>Bancolombia/Bancóldex</t>
  </si>
  <si>
    <t>simulación Bancóldex/av villas</t>
  </si>
  <si>
    <t>valor interés</t>
  </si>
  <si>
    <t>ENERPRIME COLOMBIA</t>
  </si>
  <si>
    <t>Sergio Peña</t>
  </si>
  <si>
    <t>Ingeniero ventas</t>
  </si>
  <si>
    <t>Valor auditoria escenario PESIMISTA</t>
  </si>
  <si>
    <t>Recursos Financieros</t>
  </si>
  <si>
    <t>º</t>
  </si>
  <si>
    <t xml:space="preserve">Proyeccion de ventas escenario </t>
  </si>
  <si>
    <t>ingresos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</si>
</sst>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&quot;$&quot;#,##0.00;[Red]\-&quot;$&quot;#,##0.00"/>
    <numFmt numFmtId="165" formatCode="_-&quot;$&quot;* #,##0.00_-;\-&quot;$&quot;* #,##0.00_-;_-&quot;$&quot;* &quot;-&quot;??_-;_-@_-"/>
    <numFmt numFmtId="166" formatCode="_-&quot;$&quot;* #,##0.0_-;\-&quot;$&quot;* #,##0.0_-;_-&quot;$&quot;* &quot;-&quot;??_-;_-@_-"/>
    <numFmt numFmtId="167" formatCode="_-&quot;$&quot;* #,##0_-;\-&quot;$&quot;* #,##0_-;_-&quot;$&quot;* &quot;-&quot;??_-;_-@_-"/>
    <numFmt numFmtId="168" formatCode="&quot;$&quot;\ #,##0"/>
    <numFmt numFmtId="169" formatCode="[$$-240A]#,##0.00"/>
    <numFmt numFmtId="171" formatCode="0.000%"/>
    <numFmt numFmtId="172" formatCode="0.0000%"/>
    <numFmt numFmtId="173" formatCode="0.00000%"/>
    <numFmt numFmtId="174" formatCode="0.00000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indexed="8"/>
      <name val="Calibri "/>
    </font>
    <font>
      <sz val="11"/>
      <color rgb="FF000000"/>
      <name val="Arial"/>
      <family val="2"/>
    </font>
    <font>
      <sz val="8"/>
      <color rgb="FF666666"/>
      <name val="Verdana"/>
      <family val="2"/>
    </font>
    <font>
      <b/>
      <sz val="8"/>
      <color theme="1"/>
      <name val="Verdana"/>
      <family val="2"/>
    </font>
    <font>
      <sz val="11"/>
      <color rgb="FF666666"/>
      <name val="Calibri"/>
      <family val="2"/>
      <scheme val="minor"/>
    </font>
    <font>
      <sz val="11"/>
      <color rgb="FF000000"/>
      <name val="Consolas"/>
      <family val="3"/>
    </font>
  </fonts>
  <fills count="3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E6E6E6"/>
      </left>
      <right style="medium">
        <color rgb="FFE6E6E6"/>
      </right>
      <top style="medium">
        <color rgb="FFE6E6E6"/>
      </top>
      <bottom style="medium">
        <color rgb="FFE6E6E6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398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7" borderId="1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6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Fill="1" applyBorder="1" applyAlignment="1">
      <alignment horizont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0" fontId="0" fillId="5" borderId="1" xfId="0" applyFill="1" applyBorder="1" applyAlignment="1">
      <alignment horizontal="center" vertical="center" wrapText="1"/>
    </xf>
    <xf numFmtId="0" fontId="0" fillId="0" borderId="0" xfId="0" applyBorder="1"/>
    <xf numFmtId="0" fontId="0" fillId="0" borderId="7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0" xfId="0" applyNumberFormat="1"/>
    <xf numFmtId="165" fontId="0" fillId="0" borderId="1" xfId="1" applyFont="1" applyBorder="1" applyAlignment="1">
      <alignment horizontal="center"/>
    </xf>
    <xf numFmtId="165" fontId="0" fillId="2" borderId="1" xfId="1" applyFont="1" applyFill="1" applyBorder="1" applyAlignment="1">
      <alignment horizontal="center"/>
    </xf>
    <xf numFmtId="165" fontId="0" fillId="3" borderId="1" xfId="1" applyFont="1" applyFill="1" applyBorder="1" applyAlignment="1">
      <alignment horizontal="center"/>
    </xf>
    <xf numFmtId="0" fontId="0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165" fontId="0" fillId="9" borderId="1" xfId="1" applyFont="1" applyFill="1" applyBorder="1" applyAlignment="1">
      <alignment horizontal="center"/>
    </xf>
    <xf numFmtId="165" fontId="0" fillId="9" borderId="3" xfId="1" applyFont="1" applyFill="1" applyBorder="1" applyAlignment="1">
      <alignment horizontal="center"/>
    </xf>
    <xf numFmtId="165" fontId="0" fillId="0" borderId="0" xfId="1" applyFont="1" applyFill="1" applyBorder="1" applyAlignment="1">
      <alignment horizontal="center"/>
    </xf>
    <xf numFmtId="165" fontId="0" fillId="0" borderId="1" xfId="1" applyFont="1" applyFill="1" applyBorder="1" applyAlignment="1">
      <alignment horizontal="center"/>
    </xf>
    <xf numFmtId="165" fontId="0" fillId="0" borderId="1" xfId="1" applyFont="1" applyBorder="1"/>
    <xf numFmtId="0" fontId="0" fillId="0" borderId="1" xfId="0" applyBorder="1" applyAlignment="1">
      <alignment horizontal="center" vertical="center" wrapText="1"/>
    </xf>
    <xf numFmtId="1" fontId="0" fillId="0" borderId="1" xfId="0" applyNumberFormat="1" applyBorder="1" applyAlignment="1">
      <alignment horizontal="center"/>
    </xf>
    <xf numFmtId="0" fontId="0" fillId="5" borderId="1" xfId="0" applyFill="1" applyBorder="1" applyAlignment="1">
      <alignment horizontal="center" vertical="center"/>
    </xf>
    <xf numFmtId="165" fontId="0" fillId="3" borderId="1" xfId="1" applyFont="1" applyFill="1" applyBorder="1"/>
    <xf numFmtId="0" fontId="0" fillId="2" borderId="5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0" borderId="0" xfId="0"/>
    <xf numFmtId="165" fontId="0" fillId="0" borderId="1" xfId="1" applyFont="1" applyBorder="1" applyAlignment="1">
      <alignment horizontal="center" vertical="center" wrapText="1"/>
    </xf>
    <xf numFmtId="165" fontId="1" fillId="0" borderId="1" xfId="1" applyFont="1" applyBorder="1" applyAlignment="1">
      <alignment horizontal="center" vertical="center" wrapText="1"/>
    </xf>
    <xf numFmtId="0" fontId="0" fillId="15" borderId="0" xfId="0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15" borderId="1" xfId="0" applyFill="1" applyBorder="1" applyAlignment="1">
      <alignment horizontal="center" vertical="center"/>
    </xf>
    <xf numFmtId="165" fontId="0" fillId="0" borderId="1" xfId="0" applyNumberFormat="1" applyBorder="1"/>
    <xf numFmtId="165" fontId="0" fillId="2" borderId="1" xfId="1" applyFont="1" applyFill="1" applyBorder="1"/>
    <xf numFmtId="0" fontId="0" fillId="0" borderId="5" xfId="0" applyBorder="1"/>
    <xf numFmtId="0" fontId="0" fillId="10" borderId="1" xfId="0" applyNumberFormat="1" applyFill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1" xfId="2" applyNumberFormat="1" applyFont="1" applyBorder="1" applyAlignment="1">
      <alignment horizontal="center"/>
    </xf>
    <xf numFmtId="0" fontId="0" fillId="10" borderId="1" xfId="0" applyNumberFormat="1" applyFill="1" applyBorder="1" applyAlignment="1">
      <alignment horizontal="center"/>
    </xf>
    <xf numFmtId="0" fontId="0" fillId="12" borderId="1" xfId="0" applyNumberFormat="1" applyFill="1" applyBorder="1" applyAlignment="1">
      <alignment horizontal="center" vertical="center"/>
    </xf>
    <xf numFmtId="0" fontId="0" fillId="17" borderId="1" xfId="0" applyNumberFormat="1" applyFill="1" applyBorder="1" applyAlignment="1">
      <alignment horizontal="center" vertical="center" wrapText="1"/>
    </xf>
    <xf numFmtId="0" fontId="0" fillId="4" borderId="1" xfId="0" applyNumberFormat="1" applyFill="1" applyBorder="1" applyAlignment="1">
      <alignment horizontal="center" vertical="center" wrapText="1"/>
    </xf>
    <xf numFmtId="0" fontId="0" fillId="13" borderId="1" xfId="0" applyNumberFormat="1" applyFill="1" applyBorder="1" applyAlignment="1">
      <alignment horizontal="center" vertical="center" wrapText="1"/>
    </xf>
    <xf numFmtId="0" fontId="0" fillId="18" borderId="1" xfId="0" applyNumberFormat="1" applyFill="1" applyBorder="1" applyAlignment="1">
      <alignment horizontal="center" vertical="center" wrapText="1"/>
    </xf>
    <xf numFmtId="0" fontId="0" fillId="2" borderId="1" xfId="0" applyNumberFormat="1" applyFill="1" applyBorder="1" applyAlignment="1">
      <alignment horizontal="center" wrapText="1"/>
    </xf>
    <xf numFmtId="0" fontId="0" fillId="14" borderId="2" xfId="0" applyFill="1" applyBorder="1" applyAlignment="1">
      <alignment horizontal="center"/>
    </xf>
    <xf numFmtId="0" fontId="0" fillId="14" borderId="1" xfId="0" applyFill="1" applyBorder="1" applyAlignment="1">
      <alignment horizontal="center"/>
    </xf>
    <xf numFmtId="0" fontId="0" fillId="19" borderId="1" xfId="0" applyFill="1" applyBorder="1" applyAlignment="1">
      <alignment horizontal="center"/>
    </xf>
    <xf numFmtId="0" fontId="0" fillId="0" borderId="3" xfId="0" applyNumberFormat="1" applyFont="1" applyFill="1" applyBorder="1" applyAlignment="1">
      <alignment horizontal="center" vertical="center" wrapText="1"/>
    </xf>
    <xf numFmtId="0" fontId="0" fillId="0" borderId="3" xfId="0" applyBorder="1"/>
    <xf numFmtId="165" fontId="0" fillId="0" borderId="3" xfId="1" applyFont="1" applyBorder="1"/>
    <xf numFmtId="0" fontId="0" fillId="0" borderId="1" xfId="0" applyBorder="1" applyAlignment="1">
      <alignment horizontal="right"/>
    </xf>
    <xf numFmtId="165" fontId="0" fillId="0" borderId="1" xfId="1" applyFont="1" applyBorder="1" applyAlignment="1">
      <alignment horizontal="right"/>
    </xf>
    <xf numFmtId="165" fontId="0" fillId="2" borderId="1" xfId="1" applyFont="1" applyFill="1" applyBorder="1" applyAlignment="1">
      <alignment horizontal="right"/>
    </xf>
    <xf numFmtId="165" fontId="0" fillId="9" borderId="1" xfId="1" applyFont="1" applyFill="1" applyBorder="1" applyAlignment="1">
      <alignment horizontal="right"/>
    </xf>
    <xf numFmtId="165" fontId="0" fillId="9" borderId="3" xfId="1" applyFont="1" applyFill="1" applyBorder="1" applyAlignment="1">
      <alignment horizontal="right"/>
    </xf>
    <xf numFmtId="165" fontId="0" fillId="3" borderId="1" xfId="1" applyFont="1" applyFill="1" applyBorder="1" applyAlignment="1">
      <alignment horizontal="right"/>
    </xf>
    <xf numFmtId="0" fontId="0" fillId="16" borderId="1" xfId="0" applyFill="1" applyBorder="1" applyAlignment="1">
      <alignment horizontal="center"/>
    </xf>
    <xf numFmtId="165" fontId="0" fillId="16" borderId="1" xfId="0" applyNumberFormat="1" applyFill="1" applyBorder="1"/>
    <xf numFmtId="0" fontId="0" fillId="11" borderId="1" xfId="0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165" fontId="0" fillId="0" borderId="1" xfId="0" applyNumberFormat="1" applyBorder="1" applyAlignment="1">
      <alignment horizontal="right"/>
    </xf>
    <xf numFmtId="0" fontId="0" fillId="0" borderId="1" xfId="0" applyNumberFormat="1" applyBorder="1" applyAlignment="1">
      <alignment horizontal="right"/>
    </xf>
    <xf numFmtId="167" fontId="0" fillId="2" borderId="1" xfId="0" applyNumberFormat="1" applyFont="1" applyFill="1" applyBorder="1" applyAlignment="1">
      <alignment horizontal="right"/>
    </xf>
    <xf numFmtId="9" fontId="0" fillId="0" borderId="1" xfId="0" applyNumberFormat="1" applyBorder="1"/>
    <xf numFmtId="0" fontId="0" fillId="0" borderId="11" xfId="0" applyBorder="1" applyAlignment="1">
      <alignment vertical="center"/>
    </xf>
    <xf numFmtId="0" fontId="0" fillId="16" borderId="5" xfId="0" applyFill="1" applyBorder="1" applyAlignment="1">
      <alignment horizontal="center"/>
    </xf>
    <xf numFmtId="165" fontId="0" fillId="19" borderId="1" xfId="1" applyFont="1" applyFill="1" applyBorder="1"/>
    <xf numFmtId="166" fontId="0" fillId="0" borderId="1" xfId="1" applyNumberFormat="1" applyFont="1" applyBorder="1"/>
    <xf numFmtId="0" fontId="0" fillId="7" borderId="5" xfId="0" applyFill="1" applyBorder="1" applyAlignment="1">
      <alignment horizontal="center"/>
    </xf>
    <xf numFmtId="0" fontId="0" fillId="0" borderId="2" xfId="0" applyBorder="1"/>
    <xf numFmtId="0" fontId="0" fillId="0" borderId="0" xfId="0" applyAlignment="1"/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2" fillId="0" borderId="1" xfId="0" applyFont="1" applyBorder="1"/>
    <xf numFmtId="0" fontId="0" fillId="0" borderId="1" xfId="0" applyFont="1" applyFill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 wrapText="1"/>
    </xf>
    <xf numFmtId="168" fontId="4" fillId="8" borderId="3" xfId="0" applyNumberFormat="1" applyFont="1" applyFill="1" applyBorder="1" applyAlignment="1" applyProtection="1">
      <alignment horizontal="right" vertical="center" shrinkToFit="1"/>
      <protection locked="0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3" fillId="0" borderId="1" xfId="3" applyFont="1" applyBorder="1" applyAlignment="1">
      <alignment horizontal="center" vertical="center"/>
    </xf>
    <xf numFmtId="0" fontId="3" fillId="0" borderId="1" xfId="3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3" fillId="0" borderId="26" xfId="3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3" fillId="0" borderId="26" xfId="3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3" fillId="0" borderId="31" xfId="3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165" fontId="0" fillId="0" borderId="0" xfId="1" applyFont="1"/>
    <xf numFmtId="165" fontId="0" fillId="0" borderId="1" xfId="1" applyFont="1" applyBorder="1" applyAlignment="1"/>
    <xf numFmtId="0" fontId="0" fillId="21" borderId="1" xfId="0" applyFill="1" applyBorder="1" applyAlignment="1">
      <alignment horizontal="center"/>
    </xf>
    <xf numFmtId="0" fontId="0" fillId="21" borderId="1" xfId="0" applyFill="1" applyBorder="1" applyAlignment="1">
      <alignment horizontal="center" vertical="center"/>
    </xf>
    <xf numFmtId="0" fontId="0" fillId="21" borderId="1" xfId="0" applyFill="1" applyBorder="1" applyAlignment="1">
      <alignment horizontal="center" vertical="center" wrapText="1"/>
    </xf>
    <xf numFmtId="0" fontId="0" fillId="21" borderId="1" xfId="0" applyFill="1" applyBorder="1"/>
    <xf numFmtId="0" fontId="0" fillId="0" borderId="1" xfId="0" applyBorder="1" applyAlignment="1">
      <alignment vertical="center"/>
    </xf>
    <xf numFmtId="0" fontId="0" fillId="0" borderId="35" xfId="0" applyBorder="1"/>
    <xf numFmtId="0" fontId="0" fillId="0" borderId="36" xfId="0" applyBorder="1"/>
    <xf numFmtId="0" fontId="0" fillId="0" borderId="18" xfId="0" applyBorder="1"/>
    <xf numFmtId="165" fontId="0" fillId="0" borderId="35" xfId="1" applyFont="1" applyBorder="1"/>
    <xf numFmtId="165" fontId="0" fillId="0" borderId="0" xfId="1" applyFont="1" applyBorder="1"/>
    <xf numFmtId="0" fontId="2" fillId="0" borderId="17" xfId="0" applyFont="1" applyBorder="1" applyAlignment="1"/>
    <xf numFmtId="165" fontId="2" fillId="0" borderId="1" xfId="1" applyFont="1" applyBorder="1" applyAlignment="1">
      <alignment vertical="center"/>
    </xf>
    <xf numFmtId="165" fontId="2" fillId="0" borderId="1" xfId="1" applyFont="1" applyBorder="1"/>
    <xf numFmtId="165" fontId="0" fillId="0" borderId="5" xfId="1" applyFont="1" applyBorder="1"/>
    <xf numFmtId="165" fontId="2" fillId="0" borderId="5" xfId="1" applyFont="1" applyBorder="1" applyAlignment="1">
      <alignment vertical="center"/>
    </xf>
    <xf numFmtId="165" fontId="2" fillId="0" borderId="5" xfId="1" applyFont="1" applyBorder="1"/>
    <xf numFmtId="0" fontId="2" fillId="0" borderId="25" xfId="0" applyFont="1" applyBorder="1"/>
    <xf numFmtId="0" fontId="0" fillId="0" borderId="25" xfId="0" applyBorder="1"/>
    <xf numFmtId="0" fontId="0" fillId="0" borderId="26" xfId="0" applyBorder="1"/>
    <xf numFmtId="165" fontId="0" fillId="0" borderId="26" xfId="1" applyFont="1" applyBorder="1"/>
    <xf numFmtId="165" fontId="2" fillId="0" borderId="26" xfId="1" applyFont="1" applyBorder="1"/>
    <xf numFmtId="0" fontId="2" fillId="0" borderId="25" xfId="0" applyFont="1" applyBorder="1" applyAlignment="1">
      <alignment wrapText="1"/>
    </xf>
    <xf numFmtId="165" fontId="0" fillId="0" borderId="36" xfId="1" applyFont="1" applyBorder="1"/>
    <xf numFmtId="165" fontId="0" fillId="0" borderId="18" xfId="1" applyFont="1" applyBorder="1"/>
    <xf numFmtId="165" fontId="2" fillId="0" borderId="25" xfId="1" applyFont="1" applyBorder="1"/>
    <xf numFmtId="165" fontId="0" fillId="0" borderId="25" xfId="1" applyFont="1" applyBorder="1"/>
    <xf numFmtId="165" fontId="2" fillId="0" borderId="25" xfId="1" applyFont="1" applyBorder="1" applyAlignment="1">
      <alignment wrapText="1"/>
    </xf>
    <xf numFmtId="165" fontId="0" fillId="0" borderId="1" xfId="1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2" fillId="0" borderId="25" xfId="0" applyFont="1" applyBorder="1" applyAlignment="1">
      <alignment vertical="center" wrapText="1"/>
    </xf>
    <xf numFmtId="0" fontId="1" fillId="0" borderId="37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/>
    </xf>
    <xf numFmtId="0" fontId="1" fillId="0" borderId="39" xfId="0" applyFont="1" applyBorder="1" applyAlignment="1">
      <alignment horizontal="center" vertical="center"/>
    </xf>
    <xf numFmtId="0" fontId="1" fillId="0" borderId="39" xfId="0" applyFont="1" applyBorder="1" applyAlignment="1"/>
    <xf numFmtId="0" fontId="1" fillId="0" borderId="40" xfId="0" applyFont="1" applyBorder="1" applyAlignment="1"/>
    <xf numFmtId="168" fontId="4" fillId="8" borderId="1" xfId="0" applyNumberFormat="1" applyFont="1" applyFill="1" applyBorder="1" applyAlignment="1" applyProtection="1">
      <alignment horizontal="right" vertical="center" shrinkToFit="1"/>
      <protection locked="0"/>
    </xf>
    <xf numFmtId="0" fontId="1" fillId="0" borderId="37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3" xfId="0" applyBorder="1" applyAlignment="1">
      <alignment vertical="center"/>
    </xf>
    <xf numFmtId="165" fontId="2" fillId="2" borderId="28" xfId="1" applyFont="1" applyFill="1" applyBorder="1"/>
    <xf numFmtId="165" fontId="2" fillId="2" borderId="29" xfId="1" applyFont="1" applyFill="1" applyBorder="1"/>
    <xf numFmtId="0" fontId="0" fillId="0" borderId="4" xfId="0" applyBorder="1"/>
    <xf numFmtId="0" fontId="0" fillId="0" borderId="7" xfId="0" applyBorder="1"/>
    <xf numFmtId="0" fontId="0" fillId="22" borderId="1" xfId="0" applyFill="1" applyBorder="1" applyAlignment="1">
      <alignment horizontal="center"/>
    </xf>
    <xf numFmtId="0" fontId="0" fillId="23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25" borderId="1" xfId="0" applyFill="1" applyBorder="1"/>
    <xf numFmtId="0" fontId="0" fillId="6" borderId="1" xfId="0" applyFill="1" applyBorder="1"/>
    <xf numFmtId="0" fontId="0" fillId="2" borderId="1" xfId="0" applyFill="1" applyBorder="1"/>
    <xf numFmtId="0" fontId="0" fillId="26" borderId="1" xfId="0" applyFill="1" applyBorder="1"/>
    <xf numFmtId="0" fontId="0" fillId="26" borderId="1" xfId="1" applyNumberFormat="1" applyFont="1" applyFill="1" applyBorder="1"/>
    <xf numFmtId="165" fontId="0" fillId="26" borderId="1" xfId="1" applyFont="1" applyFill="1" applyBorder="1"/>
    <xf numFmtId="0" fontId="0" fillId="14" borderId="1" xfId="0" applyFill="1" applyBorder="1"/>
    <xf numFmtId="165" fontId="0" fillId="3" borderId="1" xfId="0" applyNumberFormat="1" applyFill="1" applyBorder="1"/>
    <xf numFmtId="165" fontId="0" fillId="28" borderId="1" xfId="0" applyNumberFormat="1" applyFill="1" applyBorder="1"/>
    <xf numFmtId="165" fontId="0" fillId="6" borderId="1" xfId="0" applyNumberFormat="1" applyFill="1" applyBorder="1"/>
    <xf numFmtId="0" fontId="0" fillId="0" borderId="6" xfId="0" applyBorder="1"/>
    <xf numFmtId="0" fontId="0" fillId="5" borderId="4" xfId="0" applyFill="1" applyBorder="1" applyAlignment="1"/>
    <xf numFmtId="0" fontId="0" fillId="23" borderId="1" xfId="0" applyFill="1" applyBorder="1" applyAlignment="1">
      <alignment horizontal="center"/>
    </xf>
    <xf numFmtId="0" fontId="0" fillId="26" borderId="1" xfId="0" applyFill="1" applyBorder="1" applyAlignment="1">
      <alignment horizontal="center"/>
    </xf>
    <xf numFmtId="0" fontId="0" fillId="25" borderId="1" xfId="0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27" borderId="1" xfId="0" applyFill="1" applyBorder="1" applyAlignment="1">
      <alignment horizontal="center"/>
    </xf>
    <xf numFmtId="0" fontId="2" fillId="0" borderId="0" xfId="0" applyFont="1"/>
    <xf numFmtId="0" fontId="0" fillId="0" borderId="8" xfId="0" applyFill="1" applyBorder="1" applyAlignment="1">
      <alignment vertical="center"/>
    </xf>
    <xf numFmtId="165" fontId="0" fillId="0" borderId="0" xfId="0" applyNumberFormat="1"/>
    <xf numFmtId="165" fontId="0" fillId="2" borderId="0" xfId="0" applyNumberFormat="1" applyFill="1"/>
    <xf numFmtId="0" fontId="2" fillId="2" borderId="38" xfId="0" applyFont="1" applyFill="1" applyBorder="1"/>
    <xf numFmtId="165" fontId="0" fillId="2" borderId="15" xfId="0" applyNumberFormat="1" applyFont="1" applyFill="1" applyBorder="1"/>
    <xf numFmtId="165" fontId="0" fillId="2" borderId="1" xfId="0" applyNumberFormat="1" applyFill="1" applyBorder="1"/>
    <xf numFmtId="0" fontId="2" fillId="2" borderId="5" xfId="0" applyFont="1" applyFill="1" applyBorder="1" applyAlignment="1">
      <alignment vertical="center" wrapText="1"/>
    </xf>
    <xf numFmtId="165" fontId="0" fillId="2" borderId="2" xfId="0" applyNumberFormat="1" applyFill="1" applyBorder="1"/>
    <xf numFmtId="0" fontId="2" fillId="2" borderId="10" xfId="0" applyFont="1" applyFill="1" applyBorder="1" applyAlignment="1">
      <alignment vertical="center" wrapText="1"/>
    </xf>
    <xf numFmtId="165" fontId="0" fillId="2" borderId="12" xfId="0" applyNumberFormat="1" applyFill="1" applyBorder="1"/>
    <xf numFmtId="0" fontId="0" fillId="2" borderId="5" xfId="0" applyFill="1" applyBorder="1"/>
    <xf numFmtId="0" fontId="0" fillId="2" borderId="2" xfId="0" applyFill="1" applyBorder="1"/>
    <xf numFmtId="0" fontId="0" fillId="2" borderId="5" xfId="0" applyFont="1" applyFill="1" applyBorder="1"/>
    <xf numFmtId="0" fontId="0" fillId="2" borderId="2" xfId="0" applyFont="1" applyFill="1" applyBorder="1"/>
    <xf numFmtId="0" fontId="0" fillId="23" borderId="8" xfId="0" applyFill="1" applyBorder="1" applyAlignment="1">
      <alignment horizontal="center"/>
    </xf>
    <xf numFmtId="165" fontId="0" fillId="23" borderId="0" xfId="0" applyNumberFormat="1" applyFill="1"/>
    <xf numFmtId="165" fontId="0" fillId="23" borderId="1" xfId="0" applyNumberFormat="1" applyFill="1" applyBorder="1"/>
    <xf numFmtId="0" fontId="0" fillId="27" borderId="1" xfId="0" applyFill="1" applyBorder="1"/>
    <xf numFmtId="0" fontId="0" fillId="0" borderId="1" xfId="0" applyBorder="1" applyAlignment="1">
      <alignment horizontal="center"/>
    </xf>
    <xf numFmtId="165" fontId="0" fillId="2" borderId="42" xfId="0" applyNumberFormat="1" applyFont="1" applyFill="1" applyBorder="1"/>
    <xf numFmtId="0" fontId="2" fillId="0" borderId="1" xfId="0" applyFont="1" applyFill="1" applyBorder="1" applyAlignment="1">
      <alignment horizontal="center" vertical="center"/>
    </xf>
    <xf numFmtId="0" fontId="0" fillId="20" borderId="0" xfId="0" applyFill="1"/>
    <xf numFmtId="0" fontId="0" fillId="20" borderId="1" xfId="0" applyFill="1" applyBorder="1"/>
    <xf numFmtId="168" fontId="4" fillId="20" borderId="1" xfId="0" applyNumberFormat="1" applyFont="1" applyFill="1" applyBorder="1" applyAlignment="1" applyProtection="1">
      <alignment horizontal="right" vertical="center" shrinkToFit="1"/>
      <protection locked="0"/>
    </xf>
    <xf numFmtId="0" fontId="0" fillId="20" borderId="21" xfId="0" applyFont="1" applyFill="1" applyBorder="1" applyAlignment="1">
      <alignment horizontal="center"/>
    </xf>
    <xf numFmtId="0" fontId="0" fillId="20" borderId="0" xfId="0" applyFill="1" applyAlignment="1">
      <alignment horizontal="center"/>
    </xf>
    <xf numFmtId="0" fontId="0" fillId="0" borderId="1" xfId="0" applyBorder="1" applyAlignment="1">
      <alignment wrapText="1"/>
    </xf>
    <xf numFmtId="0" fontId="0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/>
    <xf numFmtId="168" fontId="4" fillId="2" borderId="1" xfId="0" applyNumberFormat="1" applyFont="1" applyFill="1" applyBorder="1" applyAlignment="1" applyProtection="1">
      <alignment horizontal="right" vertical="center" shrinkToFit="1"/>
      <protection locked="0"/>
    </xf>
    <xf numFmtId="168" fontId="0" fillId="2" borderId="1" xfId="0" applyNumberFormat="1" applyFill="1" applyBorder="1"/>
    <xf numFmtId="0" fontId="2" fillId="3" borderId="1" xfId="0" applyFont="1" applyFill="1" applyBorder="1"/>
    <xf numFmtId="165" fontId="2" fillId="3" borderId="1" xfId="1" applyFont="1" applyFill="1" applyBorder="1"/>
    <xf numFmtId="0" fontId="0" fillId="0" borderId="1" xfId="2" applyNumberFormat="1" applyFont="1" applyBorder="1"/>
    <xf numFmtId="0" fontId="2" fillId="3" borderId="1" xfId="0" applyFont="1" applyFill="1" applyBorder="1" applyAlignment="1">
      <alignment horizontal="center" vertical="center" wrapText="1"/>
    </xf>
    <xf numFmtId="0" fontId="2" fillId="20" borderId="1" xfId="0" applyFont="1" applyFill="1" applyBorder="1" applyAlignment="1">
      <alignment horizontal="center" vertical="center" wrapText="1"/>
    </xf>
    <xf numFmtId="165" fontId="2" fillId="2" borderId="1" xfId="1" applyFont="1" applyFill="1" applyBorder="1"/>
    <xf numFmtId="0" fontId="2" fillId="3" borderId="1" xfId="2" applyNumberFormat="1" applyFont="1" applyFill="1" applyBorder="1"/>
    <xf numFmtId="0" fontId="2" fillId="2" borderId="1" xfId="0" applyFont="1" applyFill="1" applyBorder="1" applyAlignment="1">
      <alignment horizontal="center" vertical="center" wrapText="1"/>
    </xf>
    <xf numFmtId="165" fontId="0" fillId="0" borderId="8" xfId="1" applyFont="1" applyFill="1" applyBorder="1"/>
    <xf numFmtId="0" fontId="2" fillId="3" borderId="1" xfId="0" applyFont="1" applyFill="1" applyBorder="1" applyAlignment="1">
      <alignment horizontal="center"/>
    </xf>
    <xf numFmtId="165" fontId="2" fillId="3" borderId="1" xfId="0" applyNumberFormat="1" applyFont="1" applyFill="1" applyBorder="1"/>
    <xf numFmtId="0" fontId="6" fillId="8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right" vertical="center" wrapText="1"/>
    </xf>
    <xf numFmtId="0" fontId="0" fillId="8" borderId="1" xfId="0" applyFill="1" applyBorder="1"/>
    <xf numFmtId="0" fontId="0" fillId="28" borderId="1" xfId="0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right" vertical="center" wrapText="1"/>
    </xf>
    <xf numFmtId="164" fontId="0" fillId="0" borderId="0" xfId="0" applyNumberFormat="1"/>
    <xf numFmtId="165" fontId="0" fillId="27" borderId="1" xfId="0" applyNumberFormat="1" applyFill="1" applyBorder="1" applyAlignment="1">
      <alignment horizontal="center"/>
    </xf>
    <xf numFmtId="164" fontId="0" fillId="0" borderId="1" xfId="0" applyNumberFormat="1" applyBorder="1"/>
    <xf numFmtId="1" fontId="8" fillId="8" borderId="1" xfId="0" applyNumberFormat="1" applyFont="1" applyFill="1" applyBorder="1" applyAlignment="1">
      <alignment horizontal="center" vertical="center" wrapText="1"/>
    </xf>
    <xf numFmtId="164" fontId="8" fillId="8" borderId="1" xfId="1" applyNumberFormat="1" applyFont="1" applyFill="1" applyBorder="1" applyAlignment="1">
      <alignment horizontal="right" vertical="center" wrapText="1"/>
    </xf>
    <xf numFmtId="0" fontId="0" fillId="0" borderId="1" xfId="1" applyNumberFormat="1" applyFont="1" applyBorder="1" applyAlignment="1">
      <alignment horizontal="center"/>
    </xf>
    <xf numFmtId="0" fontId="2" fillId="28" borderId="1" xfId="0" applyFont="1" applyFill="1" applyBorder="1" applyAlignment="1">
      <alignment horizontal="center"/>
    </xf>
    <xf numFmtId="0" fontId="0" fillId="0" borderId="1" xfId="0" applyBorder="1" applyAlignment="1"/>
    <xf numFmtId="10" fontId="5" fillId="0" borderId="1" xfId="0" applyNumberFormat="1" applyFont="1" applyBorder="1" applyAlignment="1">
      <alignment wrapText="1"/>
    </xf>
    <xf numFmtId="0" fontId="2" fillId="29" borderId="1" xfId="0" applyFont="1" applyFill="1" applyBorder="1" applyAlignment="1">
      <alignment horizontal="center" vertical="center" wrapText="1"/>
    </xf>
    <xf numFmtId="165" fontId="2" fillId="29" borderId="1" xfId="1" applyFont="1" applyFill="1" applyBorder="1"/>
    <xf numFmtId="0" fontId="2" fillId="29" borderId="1" xfId="2" applyNumberFormat="1" applyFont="1" applyFill="1" applyBorder="1"/>
    <xf numFmtId="0" fontId="2" fillId="0" borderId="1" xfId="0" applyFont="1" applyFill="1" applyBorder="1" applyAlignment="1">
      <alignment horizontal="center"/>
    </xf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0" fontId="0" fillId="30" borderId="1" xfId="0" applyFill="1" applyBorder="1" applyAlignment="1">
      <alignment horizontal="center"/>
    </xf>
    <xf numFmtId="165" fontId="0" fillId="30" borderId="1" xfId="0" applyNumberFormat="1" applyFill="1" applyBorder="1"/>
    <xf numFmtId="0" fontId="2" fillId="0" borderId="2" xfId="0" applyFont="1" applyBorder="1"/>
    <xf numFmtId="165" fontId="0" fillId="0" borderId="2" xfId="0" applyNumberFormat="1" applyBorder="1"/>
    <xf numFmtId="165" fontId="0" fillId="30" borderId="2" xfId="0" applyNumberFormat="1" applyFill="1" applyBorder="1"/>
    <xf numFmtId="165" fontId="2" fillId="3" borderId="2" xfId="0" applyNumberFormat="1" applyFont="1" applyFill="1" applyBorder="1"/>
    <xf numFmtId="0" fontId="2" fillId="0" borderId="2" xfId="0" applyFon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5" fontId="0" fillId="0" borderId="2" xfId="0" applyNumberFormat="1" applyBorder="1" applyAlignment="1">
      <alignment horizontal="center"/>
    </xf>
    <xf numFmtId="165" fontId="2" fillId="3" borderId="1" xfId="0" applyNumberFormat="1" applyFont="1" applyFill="1" applyBorder="1" applyAlignment="1">
      <alignment horizontal="center"/>
    </xf>
    <xf numFmtId="165" fontId="2" fillId="3" borderId="2" xfId="0" applyNumberFormat="1" applyFont="1" applyFill="1" applyBorder="1" applyAlignment="1">
      <alignment horizontal="center"/>
    </xf>
    <xf numFmtId="165" fontId="0" fillId="30" borderId="1" xfId="0" applyNumberFormat="1" applyFill="1" applyBorder="1" applyAlignment="1">
      <alignment horizontal="center"/>
    </xf>
    <xf numFmtId="165" fontId="0" fillId="30" borderId="2" xfId="0" applyNumberFormat="1" applyFill="1" applyBorder="1" applyAlignment="1">
      <alignment horizontal="center"/>
    </xf>
    <xf numFmtId="165" fontId="0" fillId="2" borderId="1" xfId="0" applyNumberFormat="1" applyFill="1" applyBorder="1" applyAlignment="1">
      <alignment horizontal="center"/>
    </xf>
    <xf numFmtId="0" fontId="2" fillId="27" borderId="1" xfId="0" applyFon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 vertical="center" wrapText="1"/>
    </xf>
    <xf numFmtId="164" fontId="0" fillId="0" borderId="1" xfId="1" applyNumberFormat="1" applyFont="1" applyFill="1" applyBorder="1" applyAlignment="1">
      <alignment horizontal="right" vertical="center" wrapText="1"/>
    </xf>
    <xf numFmtId="164" fontId="7" fillId="2" borderId="1" xfId="0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/>
    </xf>
    <xf numFmtId="0" fontId="0" fillId="27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3" xfId="0" applyBorder="1"/>
    <xf numFmtId="0" fontId="0" fillId="0" borderId="45" xfId="0" applyBorder="1"/>
    <xf numFmtId="173" fontId="0" fillId="0" borderId="46" xfId="0" applyNumberFormat="1" applyBorder="1"/>
    <xf numFmtId="164" fontId="0" fillId="0" borderId="44" xfId="0" applyNumberFormat="1" applyBorder="1"/>
    <xf numFmtId="0" fontId="2" fillId="27" borderId="3" xfId="0" applyFont="1" applyFill="1" applyBorder="1" applyAlignment="1">
      <alignment horizontal="center"/>
    </xf>
    <xf numFmtId="165" fontId="0" fillId="0" borderId="46" xfId="0" applyNumberFormat="1" applyFill="1" applyBorder="1" applyAlignment="1">
      <alignment horizontal="center"/>
    </xf>
    <xf numFmtId="0" fontId="0" fillId="0" borderId="22" xfId="0" applyBorder="1" applyAlignment="1">
      <alignment horizontal="center"/>
    </xf>
    <xf numFmtId="165" fontId="0" fillId="0" borderId="23" xfId="0" applyNumberFormat="1" applyBorder="1" applyAlignment="1">
      <alignment horizontal="center"/>
    </xf>
    <xf numFmtId="0" fontId="0" fillId="0" borderId="23" xfId="0" applyBorder="1" applyAlignment="1">
      <alignment horizontal="center"/>
    </xf>
    <xf numFmtId="165" fontId="0" fillId="0" borderId="24" xfId="0" applyNumberFormat="1" applyBorder="1" applyAlignment="1">
      <alignment horizontal="center"/>
    </xf>
    <xf numFmtId="0" fontId="0" fillId="0" borderId="25" xfId="0" applyBorder="1" applyAlignment="1">
      <alignment horizontal="center"/>
    </xf>
    <xf numFmtId="165" fontId="0" fillId="0" borderId="26" xfId="0" applyNumberFormat="1" applyBorder="1" applyAlignment="1">
      <alignment horizontal="center"/>
    </xf>
    <xf numFmtId="0" fontId="0" fillId="0" borderId="27" xfId="0" applyBorder="1" applyAlignment="1">
      <alignment horizontal="center"/>
    </xf>
    <xf numFmtId="165" fontId="0" fillId="0" borderId="28" xfId="0" applyNumberFormat="1" applyBorder="1" applyAlignment="1">
      <alignment horizontal="center"/>
    </xf>
    <xf numFmtId="0" fontId="0" fillId="0" borderId="28" xfId="0" applyBorder="1" applyAlignment="1">
      <alignment horizontal="center"/>
    </xf>
    <xf numFmtId="165" fontId="0" fillId="0" borderId="29" xfId="0" applyNumberFormat="1" applyBorder="1" applyAlignment="1">
      <alignment horizontal="center"/>
    </xf>
    <xf numFmtId="9" fontId="0" fillId="0" borderId="25" xfId="2" applyFont="1" applyBorder="1"/>
    <xf numFmtId="165" fontId="0" fillId="0" borderId="26" xfId="0" applyNumberFormat="1" applyBorder="1"/>
    <xf numFmtId="9" fontId="0" fillId="0" borderId="27" xfId="2" applyFont="1" applyBorder="1"/>
    <xf numFmtId="0" fontId="0" fillId="0" borderId="14" xfId="0" applyBorder="1"/>
    <xf numFmtId="169" fontId="0" fillId="0" borderId="0" xfId="0" applyNumberFormat="1" applyBorder="1"/>
    <xf numFmtId="174" fontId="0" fillId="0" borderId="0" xfId="0" applyNumberFormat="1"/>
    <xf numFmtId="9" fontId="0" fillId="0" borderId="0" xfId="2" applyFont="1" applyBorder="1"/>
    <xf numFmtId="171" fontId="0" fillId="0" borderId="0" xfId="0" applyNumberFormat="1" applyBorder="1"/>
    <xf numFmtId="172" fontId="0" fillId="0" borderId="25" xfId="2" applyNumberFormat="1" applyFont="1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3" xfId="0" applyFill="1" applyBorder="1" applyAlignment="1">
      <alignment horizontal="center"/>
    </xf>
    <xf numFmtId="9" fontId="0" fillId="22" borderId="1" xfId="0" applyNumberFormat="1" applyFill="1" applyBorder="1" applyAlignment="1">
      <alignment horizontal="center"/>
    </xf>
    <xf numFmtId="165" fontId="0" fillId="0" borderId="14" xfId="1" applyFont="1" applyBorder="1"/>
    <xf numFmtId="9" fontId="0" fillId="22" borderId="1" xfId="0" applyNumberFormat="1" applyFill="1" applyBorder="1"/>
    <xf numFmtId="0" fontId="9" fillId="0" borderId="47" xfId="0" applyFont="1" applyBorder="1" applyAlignment="1">
      <alignment horizontal="left" vertical="center" indent="3"/>
    </xf>
    <xf numFmtId="0" fontId="0" fillId="27" borderId="1" xfId="0" applyFill="1" applyBorder="1" applyAlignment="1">
      <alignment horizontal="center" wrapText="1"/>
    </xf>
    <xf numFmtId="0" fontId="0" fillId="27" borderId="1" xfId="0" applyFill="1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 wrapText="1"/>
    </xf>
    <xf numFmtId="9" fontId="0" fillId="0" borderId="22" xfId="2" applyFont="1" applyBorder="1"/>
    <xf numFmtId="165" fontId="0" fillId="0" borderId="24" xfId="0" applyNumberFormat="1" applyBorder="1"/>
    <xf numFmtId="165" fontId="0" fillId="0" borderId="29" xfId="0" applyNumberFormat="1" applyFill="1" applyBorder="1"/>
    <xf numFmtId="1" fontId="0" fillId="0" borderId="0" xfId="0" applyNumberFormat="1"/>
    <xf numFmtId="0" fontId="2" fillId="0" borderId="1" xfId="0" applyFont="1" applyBorder="1" applyAlignment="1">
      <alignment horizontal="center"/>
    </xf>
    <xf numFmtId="0" fontId="0" fillId="20" borderId="17" xfId="0" applyFont="1" applyFill="1" applyBorder="1" applyAlignment="1">
      <alignment horizontal="center" vertical="center"/>
    </xf>
    <xf numFmtId="0" fontId="1" fillId="20" borderId="18" xfId="0" applyFont="1" applyFill="1" applyBorder="1" applyAlignment="1">
      <alignment horizontal="center" vertical="center"/>
    </xf>
    <xf numFmtId="0" fontId="1" fillId="20" borderId="19" xfId="0" applyFont="1" applyFill="1" applyBorder="1" applyAlignment="1">
      <alignment horizontal="center" vertical="center"/>
    </xf>
    <xf numFmtId="0" fontId="1" fillId="20" borderId="17" xfId="0" applyFont="1" applyFill="1" applyBorder="1" applyAlignment="1">
      <alignment horizontal="center" vertical="center"/>
    </xf>
    <xf numFmtId="0" fontId="1" fillId="20" borderId="20" xfId="0" applyFont="1" applyFill="1" applyBorder="1" applyAlignment="1">
      <alignment horizontal="center" vertical="center"/>
    </xf>
    <xf numFmtId="0" fontId="1" fillId="20" borderId="21" xfId="0" applyFont="1" applyFill="1" applyBorder="1" applyAlignment="1">
      <alignment horizontal="center" vertical="center"/>
    </xf>
    <xf numFmtId="0" fontId="0" fillId="14" borderId="1" xfId="0" applyFill="1" applyBorder="1" applyAlignment="1">
      <alignment horizontal="center"/>
    </xf>
    <xf numFmtId="0" fontId="0" fillId="21" borderId="1" xfId="0" applyFill="1" applyBorder="1" applyAlignment="1">
      <alignment horizontal="center"/>
    </xf>
    <xf numFmtId="0" fontId="0" fillId="10" borderId="1" xfId="0" applyNumberFormat="1" applyFill="1" applyBorder="1" applyAlignment="1">
      <alignment horizontal="center"/>
    </xf>
    <xf numFmtId="165" fontId="2" fillId="0" borderId="22" xfId="1" applyFont="1" applyBorder="1" applyAlignment="1">
      <alignment horizontal="center"/>
    </xf>
    <xf numFmtId="165" fontId="2" fillId="0" borderId="23" xfId="1" applyFont="1" applyBorder="1" applyAlignment="1">
      <alignment horizontal="center"/>
    </xf>
    <xf numFmtId="165" fontId="2" fillId="0" borderId="24" xfId="1" applyFont="1" applyBorder="1" applyAlignment="1">
      <alignment horizontal="center"/>
    </xf>
    <xf numFmtId="165" fontId="2" fillId="0" borderId="1" xfId="1" applyFont="1" applyBorder="1" applyAlignment="1">
      <alignment horizontal="center"/>
    </xf>
    <xf numFmtId="165" fontId="2" fillId="0" borderId="26" xfId="1" applyFont="1" applyBorder="1" applyAlignment="1">
      <alignment horizontal="center"/>
    </xf>
    <xf numFmtId="165" fontId="2" fillId="0" borderId="32" xfId="1" applyFont="1" applyBorder="1" applyAlignment="1">
      <alignment horizontal="center"/>
    </xf>
    <xf numFmtId="165" fontId="2" fillId="0" borderId="33" xfId="1" applyFont="1" applyBorder="1" applyAlignment="1">
      <alignment horizontal="center"/>
    </xf>
    <xf numFmtId="165" fontId="2" fillId="0" borderId="34" xfId="1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35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41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0" xfId="0" applyBorder="1" applyAlignment="1">
      <alignment horizontal="center"/>
    </xf>
    <xf numFmtId="165" fontId="0" fillId="0" borderId="9" xfId="1" applyFont="1" applyBorder="1" applyAlignment="1">
      <alignment horizontal="center"/>
    </xf>
    <xf numFmtId="165" fontId="0" fillId="0" borderId="0" xfId="1" applyFont="1" applyBorder="1" applyAlignment="1">
      <alignment horizontal="center"/>
    </xf>
    <xf numFmtId="0" fontId="0" fillId="7" borderId="9" xfId="0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0" borderId="10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14" borderId="2" xfId="0" applyFill="1" applyBorder="1" applyAlignment="1">
      <alignment horizontal="center" vertical="center" wrapText="1"/>
    </xf>
    <xf numFmtId="0" fontId="0" fillId="14" borderId="1" xfId="0" applyFill="1" applyBorder="1" applyAlignment="1">
      <alignment horizontal="center" vertical="center" wrapText="1"/>
    </xf>
    <xf numFmtId="0" fontId="0" fillId="14" borderId="5" xfId="0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0" fillId="7" borderId="1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5" borderId="5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4" borderId="10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19" borderId="5" xfId="0" applyFill="1" applyBorder="1" applyAlignment="1">
      <alignment horizontal="center" wrapText="1"/>
    </xf>
    <xf numFmtId="0" fontId="0" fillId="19" borderId="2" xfId="0" applyFill="1" applyBorder="1" applyAlignment="1">
      <alignment horizontal="center" wrapText="1"/>
    </xf>
    <xf numFmtId="0" fontId="0" fillId="21" borderId="5" xfId="0" applyFill="1" applyBorder="1" applyAlignment="1">
      <alignment horizontal="center" wrapText="1"/>
    </xf>
    <xf numFmtId="0" fontId="0" fillId="21" borderId="2" xfId="0" applyFill="1" applyBorder="1" applyAlignment="1">
      <alignment horizontal="center" wrapText="1"/>
    </xf>
    <xf numFmtId="0" fontId="0" fillId="4" borderId="13" xfId="0" applyFill="1" applyBorder="1" applyAlignment="1">
      <alignment horizontal="center" vertical="center" wrapText="1"/>
    </xf>
    <xf numFmtId="0" fontId="0" fillId="4" borderId="14" xfId="0" applyFill="1" applyBorder="1" applyAlignment="1">
      <alignment horizontal="center" vertical="center" wrapText="1"/>
    </xf>
    <xf numFmtId="0" fontId="0" fillId="4" borderId="15" xfId="0" applyFill="1" applyBorder="1" applyAlignment="1">
      <alignment horizontal="center" vertical="center" wrapText="1"/>
    </xf>
    <xf numFmtId="0" fontId="0" fillId="7" borderId="5" xfId="0" applyFill="1" applyBorder="1" applyAlignment="1">
      <alignment horizontal="center" vertical="center" wrapText="1"/>
    </xf>
    <xf numFmtId="0" fontId="0" fillId="7" borderId="6" xfId="0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 vertical="center" wrapText="1"/>
    </xf>
    <xf numFmtId="0" fontId="0" fillId="16" borderId="5" xfId="0" applyFill="1" applyBorder="1" applyAlignment="1">
      <alignment horizontal="center" wrapText="1"/>
    </xf>
    <xf numFmtId="0" fontId="0" fillId="16" borderId="2" xfId="0" applyFill="1" applyBorder="1" applyAlignment="1">
      <alignment horizontal="center" wrapText="1"/>
    </xf>
    <xf numFmtId="0" fontId="0" fillId="27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11" borderId="5" xfId="0" applyFill="1" applyBorder="1" applyAlignment="1">
      <alignment horizontal="center"/>
    </xf>
    <xf numFmtId="0" fontId="0" fillId="11" borderId="6" xfId="0" applyFill="1" applyBorder="1" applyAlignment="1">
      <alignment horizontal="center"/>
    </xf>
    <xf numFmtId="0" fontId="0" fillId="11" borderId="2" xfId="0" applyFill="1" applyBorder="1" applyAlignment="1">
      <alignment horizontal="center"/>
    </xf>
    <xf numFmtId="0" fontId="0" fillId="23" borderId="1" xfId="0" applyFill="1" applyBorder="1" applyAlignment="1">
      <alignment horizontal="center"/>
    </xf>
    <xf numFmtId="0" fontId="0" fillId="24" borderId="1" xfId="0" applyFill="1" applyBorder="1" applyAlignment="1">
      <alignment horizontal="center"/>
    </xf>
    <xf numFmtId="0" fontId="2" fillId="28" borderId="1" xfId="0" applyFont="1" applyFill="1" applyBorder="1" applyAlignment="1">
      <alignment horizontal="center"/>
    </xf>
    <xf numFmtId="0" fontId="0" fillId="28" borderId="1" xfId="0" applyFill="1" applyBorder="1" applyAlignment="1">
      <alignment horizontal="center"/>
    </xf>
    <xf numFmtId="0" fontId="0" fillId="27" borderId="5" xfId="0" applyFill="1" applyBorder="1" applyAlignment="1">
      <alignment horizontal="center"/>
    </xf>
    <xf numFmtId="0" fontId="0" fillId="27" borderId="6" xfId="0" applyFill="1" applyBorder="1" applyAlignment="1">
      <alignment horizontal="center"/>
    </xf>
    <xf numFmtId="0" fontId="0" fillId="27" borderId="2" xfId="0" applyFill="1" applyBorder="1" applyAlignment="1">
      <alignment horizontal="center"/>
    </xf>
    <xf numFmtId="0" fontId="2" fillId="22" borderId="5" xfId="0" applyFont="1" applyFill="1" applyBorder="1" applyAlignment="1">
      <alignment horizontal="center"/>
    </xf>
    <xf numFmtId="0" fontId="2" fillId="22" borderId="6" xfId="0" applyFont="1" applyFill="1" applyBorder="1" applyAlignment="1">
      <alignment horizontal="center"/>
    </xf>
    <xf numFmtId="0" fontId="2" fillId="22" borderId="2" xfId="0" applyFon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27" borderId="11" xfId="0" applyFont="1" applyFill="1" applyBorder="1" applyAlignment="1">
      <alignment horizontal="center"/>
    </xf>
  </cellXfs>
  <cellStyles count="4">
    <cellStyle name="Hipervínculo" xfId="3" builtinId="8"/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FF9933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Inversion!$B$23</c:f>
              <c:strCache>
                <c:ptCount val="1"/>
                <c:pt idx="0">
                  <c:v>% de la inversión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B7E-4205-BA79-8F1DDA315CA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B7E-4205-BA79-8F1DDA315CA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B7E-4205-BA79-8F1DDA315CA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B7E-4205-BA79-8F1DDA315CA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5B7E-4205-BA79-8F1DDA315CA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Inversion!$A$24:$A$28</c:f>
              <c:strCache>
                <c:ptCount val="5"/>
                <c:pt idx="0">
                  <c:v>Inversión activos depreciables</c:v>
                </c:pt>
                <c:pt idx="1">
                  <c:v>Inversión medios interactivos</c:v>
                </c:pt>
                <c:pt idx="2">
                  <c:v>Otros gastos</c:v>
                </c:pt>
                <c:pt idx="3">
                  <c:v>Capital de trabajo</c:v>
                </c:pt>
                <c:pt idx="4">
                  <c:v>Inversión activos no depreciables</c:v>
                </c:pt>
              </c:strCache>
            </c:strRef>
          </c:cat>
          <c:val>
            <c:numRef>
              <c:f>Inversion!$B$24:$B$28</c:f>
              <c:numCache>
                <c:formatCode>General</c:formatCode>
                <c:ptCount val="5"/>
                <c:pt idx="0">
                  <c:v>83.053323561526952</c:v>
                </c:pt>
                <c:pt idx="1">
                  <c:v>0.33605466051108263</c:v>
                </c:pt>
                <c:pt idx="2">
                  <c:v>5.4087997609258753</c:v>
                </c:pt>
                <c:pt idx="3">
                  <c:v>11.201822017036088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00-4C63-9088-5C17E2BED2E3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ingresos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'Flujo de caja (recursos)'!$B$60:$B$69</c:f>
              <c:numCache>
                <c:formatCode>General</c:formatCode>
                <c:ptCount val="10"/>
                <c:pt idx="0">
                  <c:v>152</c:v>
                </c:pt>
                <c:pt idx="1">
                  <c:v>158.08000000000001</c:v>
                </c:pt>
                <c:pt idx="2">
                  <c:v>164.40320000000003</c:v>
                </c:pt>
                <c:pt idx="3">
                  <c:v>170.97932800000004</c:v>
                </c:pt>
                <c:pt idx="4">
                  <c:v>177.81850112000004</c:v>
                </c:pt>
                <c:pt idx="5">
                  <c:v>184.93124116480004</c:v>
                </c:pt>
                <c:pt idx="6">
                  <c:v>192.32849081139204</c:v>
                </c:pt>
                <c:pt idx="7">
                  <c:v>200.02163044384773</c:v>
                </c:pt>
                <c:pt idx="8">
                  <c:v>208.02249566160165</c:v>
                </c:pt>
                <c:pt idx="9">
                  <c:v>216.34339548806574</c:v>
                </c:pt>
              </c:numCache>
            </c:numRef>
          </c:xVal>
          <c:yVal>
            <c:numRef>
              <c:f>'Flujo de caja (recursos)'!$C$60:$C$69</c:f>
              <c:numCache>
                <c:formatCode>General</c:formatCode>
                <c:ptCount val="10"/>
                <c:pt idx="0">
                  <c:v>208882353.7885797</c:v>
                </c:pt>
                <c:pt idx="1">
                  <c:v>217237647.9401229</c:v>
                </c:pt>
                <c:pt idx="2">
                  <c:v>225927153.85772783</c:v>
                </c:pt>
                <c:pt idx="3">
                  <c:v>234964240.01203695</c:v>
                </c:pt>
                <c:pt idx="4">
                  <c:v>244362809.6125184</c:v>
                </c:pt>
                <c:pt idx="5">
                  <c:v>254137321.99701914</c:v>
                </c:pt>
                <c:pt idx="6">
                  <c:v>264302814.8768999</c:v>
                </c:pt>
                <c:pt idx="7">
                  <c:v>274874927.47197592</c:v>
                </c:pt>
                <c:pt idx="8">
                  <c:v>285869924.57085496</c:v>
                </c:pt>
                <c:pt idx="9">
                  <c:v>297304721.55368924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A77-431D-81D1-78E436274DB9}"/>
            </c:ext>
          </c:extLst>
        </c:ser>
        <c:ser>
          <c:idx val="1"/>
          <c:order val="1"/>
          <c:tx>
            <c:v>costos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'Flujo de caja (recursos)'!$F$60:$F$69</c:f>
              <c:numCache>
                <c:formatCode>General</c:formatCode>
                <c:ptCount val="10"/>
                <c:pt idx="0">
                  <c:v>152</c:v>
                </c:pt>
                <c:pt idx="1">
                  <c:v>158.08000000000001</c:v>
                </c:pt>
                <c:pt idx="2">
                  <c:v>164.40320000000003</c:v>
                </c:pt>
                <c:pt idx="3">
                  <c:v>170.97932800000004</c:v>
                </c:pt>
                <c:pt idx="4">
                  <c:v>177.81850112000004</c:v>
                </c:pt>
                <c:pt idx="5">
                  <c:v>184.93124116480004</c:v>
                </c:pt>
                <c:pt idx="6">
                  <c:v>192.32849081139204</c:v>
                </c:pt>
                <c:pt idx="7">
                  <c:v>200.02163044384773</c:v>
                </c:pt>
                <c:pt idx="8">
                  <c:v>208.02249566160165</c:v>
                </c:pt>
                <c:pt idx="9">
                  <c:v>216.34339548806574</c:v>
                </c:pt>
              </c:numCache>
            </c:numRef>
          </c:xVal>
          <c:yVal>
            <c:numRef>
              <c:f>'Flujo de caja (recursos)'!$G$60:$G$69</c:f>
              <c:numCache>
                <c:formatCode>General</c:formatCode>
                <c:ptCount val="10"/>
                <c:pt idx="0">
                  <c:v>175497301.49048311</c:v>
                </c:pt>
                <c:pt idx="1">
                  <c:v>182353379.95010245</c:v>
                </c:pt>
                <c:pt idx="2">
                  <c:v>189483701.54810655</c:v>
                </c:pt>
                <c:pt idx="3">
                  <c:v>196899236.01003081</c:v>
                </c:pt>
                <c:pt idx="4">
                  <c:v>204611391.85043204</c:v>
                </c:pt>
                <c:pt idx="5">
                  <c:v>212384893.92444932</c:v>
                </c:pt>
                <c:pt idx="6">
                  <c:v>220726361.6814273</c:v>
                </c:pt>
                <c:pt idx="7">
                  <c:v>229401488.14868441</c:v>
                </c:pt>
                <c:pt idx="8">
                  <c:v>238423619.6746318</c:v>
                </c:pt>
                <c:pt idx="9">
                  <c:v>247806636.46161708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A77-431D-81D1-78E436274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148032"/>
        <c:axId val="151149568"/>
      </c:scatterChart>
      <c:valAx>
        <c:axId val="151148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149568"/>
        <c:crosses val="autoZero"/>
        <c:crossBetween val="midCat"/>
      </c:valAx>
      <c:valAx>
        <c:axId val="151149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1480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Punto equilibrio Pesimista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ingresos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2D05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'Flujo de caja (recursos)'!$B$72:$B$96</c:f>
              <c:numCache>
                <c:formatCode>General</c:formatCode>
                <c:ptCount val="25"/>
                <c:pt idx="0">
                  <c:v>-22</c:v>
                </c:pt>
                <c:pt idx="1">
                  <c:v>-12</c:v>
                </c:pt>
                <c:pt idx="2">
                  <c:v>-2</c:v>
                </c:pt>
                <c:pt idx="3">
                  <c:v>8</c:v>
                </c:pt>
                <c:pt idx="4">
                  <c:v>20</c:v>
                </c:pt>
                <c:pt idx="5">
                  <c:v>32</c:v>
                </c:pt>
                <c:pt idx="6">
                  <c:v>44</c:v>
                </c:pt>
                <c:pt idx="7">
                  <c:v>56</c:v>
                </c:pt>
                <c:pt idx="8">
                  <c:v>68</c:v>
                </c:pt>
                <c:pt idx="9">
                  <c:v>80</c:v>
                </c:pt>
                <c:pt idx="10">
                  <c:v>92</c:v>
                </c:pt>
                <c:pt idx="11">
                  <c:v>104</c:v>
                </c:pt>
                <c:pt idx="12">
                  <c:v>116</c:v>
                </c:pt>
                <c:pt idx="13">
                  <c:v>128</c:v>
                </c:pt>
                <c:pt idx="14">
                  <c:v>140</c:v>
                </c:pt>
                <c:pt idx="15">
                  <c:v>152</c:v>
                </c:pt>
                <c:pt idx="16">
                  <c:v>158.08000000000001</c:v>
                </c:pt>
                <c:pt idx="17">
                  <c:v>164.40320000000003</c:v>
                </c:pt>
                <c:pt idx="18">
                  <c:v>170.97932800000004</c:v>
                </c:pt>
                <c:pt idx="19">
                  <c:v>177.81850112000004</c:v>
                </c:pt>
                <c:pt idx="20">
                  <c:v>184.93124116480004</c:v>
                </c:pt>
                <c:pt idx="21">
                  <c:v>192.32849081139204</c:v>
                </c:pt>
                <c:pt idx="22">
                  <c:v>200.02163044384773</c:v>
                </c:pt>
                <c:pt idx="23">
                  <c:v>208.02249566160165</c:v>
                </c:pt>
                <c:pt idx="24">
                  <c:v>216.34339548806574</c:v>
                </c:pt>
              </c:numCache>
            </c:numRef>
          </c:xVal>
          <c:yVal>
            <c:numRef>
              <c:f>'Flujo de caja (recursos)'!$C$72:$C$96</c:f>
              <c:numCache>
                <c:formatCode>General</c:formatCode>
                <c:ptCount val="25"/>
                <c:pt idx="3">
                  <c:v>10993808.094135802</c:v>
                </c:pt>
                <c:pt idx="4">
                  <c:v>27484520.235339463</c:v>
                </c:pt>
                <c:pt idx="5">
                  <c:v>43975232.37654312</c:v>
                </c:pt>
                <c:pt idx="6">
                  <c:v>60465944.517746776</c:v>
                </c:pt>
                <c:pt idx="7">
                  <c:v>76956656.658950433</c:v>
                </c:pt>
                <c:pt idx="8">
                  <c:v>93447368.80015409</c:v>
                </c:pt>
                <c:pt idx="9">
                  <c:v>109938080.94135776</c:v>
                </c:pt>
                <c:pt idx="10">
                  <c:v>126428793.08256142</c:v>
                </c:pt>
                <c:pt idx="11">
                  <c:v>142919505.22376508</c:v>
                </c:pt>
                <c:pt idx="12">
                  <c:v>159410217.36496872</c:v>
                </c:pt>
                <c:pt idx="13">
                  <c:v>175900929.50617239</c:v>
                </c:pt>
                <c:pt idx="14">
                  <c:v>192391641.64737606</c:v>
                </c:pt>
                <c:pt idx="15">
                  <c:v>208882353.7885797</c:v>
                </c:pt>
                <c:pt idx="16">
                  <c:v>217237647.9401229</c:v>
                </c:pt>
                <c:pt idx="17">
                  <c:v>225927153.85772783</c:v>
                </c:pt>
                <c:pt idx="18">
                  <c:v>234964240.01203695</c:v>
                </c:pt>
                <c:pt idx="19">
                  <c:v>244362809.6125184</c:v>
                </c:pt>
                <c:pt idx="20">
                  <c:v>254137321.99701914</c:v>
                </c:pt>
                <c:pt idx="21">
                  <c:v>264302814.8768999</c:v>
                </c:pt>
                <c:pt idx="22">
                  <c:v>274874927.47197592</c:v>
                </c:pt>
                <c:pt idx="23">
                  <c:v>285869924.57085496</c:v>
                </c:pt>
                <c:pt idx="24">
                  <c:v>297304721.55368924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BF7-4B25-B9DD-F6FFBCC0AE8F}"/>
            </c:ext>
          </c:extLst>
        </c:ser>
        <c:ser>
          <c:idx val="1"/>
          <c:order val="1"/>
          <c:tx>
            <c:v>costos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4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9-6BF7-4B25-B9DD-F6FFBCC0AE8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'Flujo de caja (recursos)'!$F$72:$F$96</c:f>
              <c:numCache>
                <c:formatCode>General</c:formatCode>
                <c:ptCount val="25"/>
                <c:pt idx="3">
                  <c:v>8</c:v>
                </c:pt>
                <c:pt idx="4">
                  <c:v>20</c:v>
                </c:pt>
                <c:pt idx="5">
                  <c:v>32</c:v>
                </c:pt>
                <c:pt idx="6">
                  <c:v>44</c:v>
                </c:pt>
                <c:pt idx="7">
                  <c:v>56</c:v>
                </c:pt>
                <c:pt idx="8">
                  <c:v>68</c:v>
                </c:pt>
                <c:pt idx="9">
                  <c:v>80</c:v>
                </c:pt>
                <c:pt idx="10">
                  <c:v>92</c:v>
                </c:pt>
                <c:pt idx="11">
                  <c:v>104</c:v>
                </c:pt>
                <c:pt idx="12">
                  <c:v>116</c:v>
                </c:pt>
                <c:pt idx="13">
                  <c:v>128</c:v>
                </c:pt>
                <c:pt idx="14">
                  <c:v>140</c:v>
                </c:pt>
                <c:pt idx="15">
                  <c:v>152</c:v>
                </c:pt>
                <c:pt idx="16">
                  <c:v>158.08000000000001</c:v>
                </c:pt>
                <c:pt idx="17">
                  <c:v>164.40320000000003</c:v>
                </c:pt>
                <c:pt idx="18">
                  <c:v>170.97932800000004</c:v>
                </c:pt>
                <c:pt idx="19">
                  <c:v>177.81850112000004</c:v>
                </c:pt>
                <c:pt idx="20">
                  <c:v>184.93124116480004</c:v>
                </c:pt>
                <c:pt idx="21">
                  <c:v>192.32849081139204</c:v>
                </c:pt>
                <c:pt idx="22">
                  <c:v>200.02163044384773</c:v>
                </c:pt>
                <c:pt idx="23">
                  <c:v>208.02249566160165</c:v>
                </c:pt>
                <c:pt idx="24">
                  <c:v>216.34339548806574</c:v>
                </c:pt>
              </c:numCache>
            </c:numRef>
          </c:xVal>
          <c:yVal>
            <c:numRef>
              <c:f>'Flujo de caja (recursos)'!$G$72:$G$96</c:f>
              <c:numCache>
                <c:formatCode>General</c:formatCode>
                <c:ptCount val="25"/>
                <c:pt idx="3">
                  <c:v>13973634.793358441</c:v>
                </c:pt>
                <c:pt idx="4">
                  <c:v>27440717.01050486</c:v>
                </c:pt>
                <c:pt idx="5">
                  <c:v>40910280.604012273</c:v>
                </c:pt>
                <c:pt idx="6">
                  <c:v>54371219.978452802</c:v>
                </c:pt>
                <c:pt idx="7">
                  <c:v>67828329.973136321</c:v>
                </c:pt>
                <c:pt idx="8">
                  <c:v>81284129.419041097</c:v>
                </c:pt>
                <c:pt idx="9">
                  <c:v>94740174.539896965</c:v>
                </c:pt>
                <c:pt idx="10">
                  <c:v>108229981.21431676</c:v>
                </c:pt>
                <c:pt idx="11">
                  <c:v>121702605.26464078</c:v>
                </c:pt>
                <c:pt idx="12">
                  <c:v>135162333.23523453</c:v>
                </c:pt>
                <c:pt idx="13">
                  <c:v>148614071.55293432</c:v>
                </c:pt>
                <c:pt idx="14">
                  <c:v>162064196.82048029</c:v>
                </c:pt>
                <c:pt idx="15">
                  <c:v>175497301.49048311</c:v>
                </c:pt>
                <c:pt idx="16">
                  <c:v>182353379.95010245</c:v>
                </c:pt>
                <c:pt idx="17">
                  <c:v>189483701.54810655</c:v>
                </c:pt>
                <c:pt idx="18">
                  <c:v>196899236.01003081</c:v>
                </c:pt>
                <c:pt idx="19">
                  <c:v>204611391.85043204</c:v>
                </c:pt>
                <c:pt idx="20">
                  <c:v>212384893.92444932</c:v>
                </c:pt>
                <c:pt idx="21">
                  <c:v>220726361.6814273</c:v>
                </c:pt>
                <c:pt idx="22">
                  <c:v>229401488.14868441</c:v>
                </c:pt>
                <c:pt idx="23">
                  <c:v>238423619.6746318</c:v>
                </c:pt>
                <c:pt idx="24">
                  <c:v>247806636.46161708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BF7-4B25-B9DD-F6FFBCC0AE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148032"/>
        <c:axId val="151149568"/>
      </c:scatterChart>
      <c:valAx>
        <c:axId val="1511480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cantidad auditorias </a:t>
                </a:r>
              </a:p>
            </c:rich>
          </c:tx>
          <c:layout>
            <c:manualLayout>
              <c:xMode val="edge"/>
              <c:yMode val="edge"/>
              <c:x val="0.42858695918436346"/>
              <c:y val="0.883784701233115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149568"/>
        <c:crosses val="autoZero"/>
        <c:crossBetween val="midCat"/>
      </c:valAx>
      <c:valAx>
        <c:axId val="151149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valor</a:t>
                </a:r>
                <a:r>
                  <a:rPr lang="es-CO" baseline="0"/>
                  <a:t> COP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1480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600" b="1"/>
              <a:t>Punto equilibrio optimista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Ingresos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'Flujo de caja (Financiado)'!$A$134:$A$220</c:f>
              <c:numCache>
                <c:formatCode>General</c:formatCode>
                <c:ptCount val="87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14</c:v>
                </c:pt>
                <c:pt idx="7">
                  <c:v>16</c:v>
                </c:pt>
                <c:pt idx="8">
                  <c:v>18</c:v>
                </c:pt>
                <c:pt idx="9">
                  <c:v>20</c:v>
                </c:pt>
                <c:pt idx="10">
                  <c:v>21</c:v>
                </c:pt>
                <c:pt idx="11">
                  <c:v>22</c:v>
                </c:pt>
                <c:pt idx="12">
                  <c:v>23</c:v>
                </c:pt>
                <c:pt idx="13">
                  <c:v>24</c:v>
                </c:pt>
                <c:pt idx="14">
                  <c:v>26</c:v>
                </c:pt>
                <c:pt idx="15">
                  <c:v>28</c:v>
                </c:pt>
                <c:pt idx="16">
                  <c:v>30</c:v>
                </c:pt>
                <c:pt idx="17">
                  <c:v>32</c:v>
                </c:pt>
                <c:pt idx="18">
                  <c:v>34</c:v>
                </c:pt>
                <c:pt idx="19">
                  <c:v>36</c:v>
                </c:pt>
                <c:pt idx="20">
                  <c:v>38</c:v>
                </c:pt>
                <c:pt idx="21">
                  <c:v>40</c:v>
                </c:pt>
                <c:pt idx="22">
                  <c:v>42</c:v>
                </c:pt>
                <c:pt idx="23">
                  <c:v>44</c:v>
                </c:pt>
                <c:pt idx="24">
                  <c:v>46</c:v>
                </c:pt>
                <c:pt idx="25">
                  <c:v>48</c:v>
                </c:pt>
                <c:pt idx="26">
                  <c:v>50</c:v>
                </c:pt>
                <c:pt idx="27">
                  <c:v>52</c:v>
                </c:pt>
                <c:pt idx="28">
                  <c:v>54</c:v>
                </c:pt>
                <c:pt idx="29">
                  <c:v>56</c:v>
                </c:pt>
                <c:pt idx="30">
                  <c:v>58</c:v>
                </c:pt>
                <c:pt idx="31">
                  <c:v>60</c:v>
                </c:pt>
                <c:pt idx="32">
                  <c:v>62</c:v>
                </c:pt>
                <c:pt idx="33">
                  <c:v>64</c:v>
                </c:pt>
                <c:pt idx="34">
                  <c:v>66</c:v>
                </c:pt>
                <c:pt idx="35">
                  <c:v>68</c:v>
                </c:pt>
                <c:pt idx="36">
                  <c:v>70</c:v>
                </c:pt>
                <c:pt idx="37">
                  <c:v>72</c:v>
                </c:pt>
                <c:pt idx="38">
                  <c:v>74</c:v>
                </c:pt>
                <c:pt idx="39">
                  <c:v>76</c:v>
                </c:pt>
                <c:pt idx="40">
                  <c:v>78</c:v>
                </c:pt>
                <c:pt idx="41">
                  <c:v>80</c:v>
                </c:pt>
                <c:pt idx="42">
                  <c:v>82</c:v>
                </c:pt>
                <c:pt idx="43">
                  <c:v>84</c:v>
                </c:pt>
                <c:pt idx="44">
                  <c:v>86</c:v>
                </c:pt>
                <c:pt idx="45">
                  <c:v>88</c:v>
                </c:pt>
                <c:pt idx="46">
                  <c:v>90</c:v>
                </c:pt>
                <c:pt idx="47">
                  <c:v>92</c:v>
                </c:pt>
                <c:pt idx="48">
                  <c:v>94</c:v>
                </c:pt>
                <c:pt idx="49">
                  <c:v>96</c:v>
                </c:pt>
                <c:pt idx="50">
                  <c:v>98</c:v>
                </c:pt>
                <c:pt idx="51">
                  <c:v>100</c:v>
                </c:pt>
                <c:pt idx="52">
                  <c:v>102</c:v>
                </c:pt>
                <c:pt idx="53">
                  <c:v>104</c:v>
                </c:pt>
                <c:pt idx="54">
                  <c:v>106</c:v>
                </c:pt>
                <c:pt idx="55">
                  <c:v>108</c:v>
                </c:pt>
                <c:pt idx="56">
                  <c:v>110</c:v>
                </c:pt>
                <c:pt idx="57">
                  <c:v>112</c:v>
                </c:pt>
                <c:pt idx="58">
                  <c:v>114</c:v>
                </c:pt>
                <c:pt idx="59">
                  <c:v>116</c:v>
                </c:pt>
                <c:pt idx="60">
                  <c:v>118</c:v>
                </c:pt>
                <c:pt idx="61">
                  <c:v>120</c:v>
                </c:pt>
                <c:pt idx="62">
                  <c:v>122</c:v>
                </c:pt>
                <c:pt idx="63">
                  <c:v>124</c:v>
                </c:pt>
                <c:pt idx="64">
                  <c:v>126</c:v>
                </c:pt>
                <c:pt idx="65">
                  <c:v>128</c:v>
                </c:pt>
                <c:pt idx="66">
                  <c:v>130</c:v>
                </c:pt>
                <c:pt idx="67">
                  <c:v>132</c:v>
                </c:pt>
                <c:pt idx="68">
                  <c:v>134</c:v>
                </c:pt>
                <c:pt idx="69">
                  <c:v>136</c:v>
                </c:pt>
                <c:pt idx="70">
                  <c:v>138</c:v>
                </c:pt>
                <c:pt idx="71">
                  <c:v>140</c:v>
                </c:pt>
                <c:pt idx="72">
                  <c:v>142</c:v>
                </c:pt>
                <c:pt idx="73">
                  <c:v>144</c:v>
                </c:pt>
                <c:pt idx="74">
                  <c:v>146</c:v>
                </c:pt>
                <c:pt idx="75">
                  <c:v>148</c:v>
                </c:pt>
                <c:pt idx="76">
                  <c:v>150</c:v>
                </c:pt>
                <c:pt idx="77">
                  <c:v>152</c:v>
                </c:pt>
                <c:pt idx="78" formatCode="0">
                  <c:v>158.08000000000001</c:v>
                </c:pt>
                <c:pt idx="79" formatCode="0">
                  <c:v>164.40320000000003</c:v>
                </c:pt>
                <c:pt idx="80" formatCode="0">
                  <c:v>170.97932800000004</c:v>
                </c:pt>
                <c:pt idx="81" formatCode="0">
                  <c:v>177.81850112000004</c:v>
                </c:pt>
                <c:pt idx="82" formatCode="0">
                  <c:v>184.93124116480004</c:v>
                </c:pt>
                <c:pt idx="83" formatCode="0">
                  <c:v>192.32849081139204</c:v>
                </c:pt>
                <c:pt idx="84" formatCode="0">
                  <c:v>200.02163044384773</c:v>
                </c:pt>
                <c:pt idx="85" formatCode="0">
                  <c:v>208.02249566160165</c:v>
                </c:pt>
                <c:pt idx="86" formatCode="0">
                  <c:v>216.34339548806574</c:v>
                </c:pt>
              </c:numCache>
            </c:numRef>
          </c:xVal>
          <c:yVal>
            <c:numRef>
              <c:f>'Flujo de caja (Financiado)'!$B$134:$B$220</c:f>
              <c:numCache>
                <c:formatCode>General</c:formatCode>
                <c:ptCount val="87"/>
                <c:pt idx="0">
                  <c:v>2748452.0235340609</c:v>
                </c:pt>
                <c:pt idx="1">
                  <c:v>5496904.0470680026</c:v>
                </c:pt>
                <c:pt idx="2">
                  <c:v>8245356.0706019439</c:v>
                </c:pt>
                <c:pt idx="3">
                  <c:v>10993808.094135886</c:v>
                </c:pt>
                <c:pt idx="4">
                  <c:v>13742260.117669828</c:v>
                </c:pt>
                <c:pt idx="5">
                  <c:v>16490712.141203769</c:v>
                </c:pt>
                <c:pt idx="6">
                  <c:v>19239164.164737713</c:v>
                </c:pt>
                <c:pt idx="7">
                  <c:v>21987616.188271653</c:v>
                </c:pt>
                <c:pt idx="8">
                  <c:v>24736068.211805593</c:v>
                </c:pt>
                <c:pt idx="9">
                  <c:v>27484520.235339537</c:v>
                </c:pt>
                <c:pt idx="10">
                  <c:v>28858746.247106507</c:v>
                </c:pt>
                <c:pt idx="11">
                  <c:v>30232972.258873478</c:v>
                </c:pt>
                <c:pt idx="12">
                  <c:v>31607198.270640448</c:v>
                </c:pt>
                <c:pt idx="13">
                  <c:v>32981424.282407418</c:v>
                </c:pt>
                <c:pt idx="14">
                  <c:v>35729876.305941358</c:v>
                </c:pt>
                <c:pt idx="15">
                  <c:v>38478328.329475306</c:v>
                </c:pt>
                <c:pt idx="16">
                  <c:v>41226780.353009246</c:v>
                </c:pt>
                <c:pt idx="17">
                  <c:v>43975232.376543187</c:v>
                </c:pt>
                <c:pt idx="18">
                  <c:v>46723684.400077127</c:v>
                </c:pt>
                <c:pt idx="19">
                  <c:v>49472136.423611067</c:v>
                </c:pt>
                <c:pt idx="20">
                  <c:v>52220588.447145015</c:v>
                </c:pt>
                <c:pt idx="21">
                  <c:v>54969040.470678955</c:v>
                </c:pt>
                <c:pt idx="22">
                  <c:v>57717492.494212896</c:v>
                </c:pt>
                <c:pt idx="23">
                  <c:v>60465944.517746836</c:v>
                </c:pt>
                <c:pt idx="24">
                  <c:v>63214396.541280776</c:v>
                </c:pt>
                <c:pt idx="25">
                  <c:v>65962848.564814717</c:v>
                </c:pt>
                <c:pt idx="26">
                  <c:v>68711300.588348657</c:v>
                </c:pt>
                <c:pt idx="27">
                  <c:v>71459752.611882597</c:v>
                </c:pt>
                <c:pt idx="28">
                  <c:v>74208204.635416552</c:v>
                </c:pt>
                <c:pt idx="29">
                  <c:v>76956656.658950493</c:v>
                </c:pt>
                <c:pt idx="30">
                  <c:v>79705108.682484433</c:v>
                </c:pt>
                <c:pt idx="31">
                  <c:v>82453560.706018373</c:v>
                </c:pt>
                <c:pt idx="32">
                  <c:v>85202012.729552314</c:v>
                </c:pt>
                <c:pt idx="33">
                  <c:v>87950464.753086254</c:v>
                </c:pt>
                <c:pt idx="34">
                  <c:v>90698916.776620194</c:v>
                </c:pt>
                <c:pt idx="35">
                  <c:v>93447368.800154135</c:v>
                </c:pt>
                <c:pt idx="36">
                  <c:v>96195820.823688075</c:v>
                </c:pt>
                <c:pt idx="37">
                  <c:v>98944272.847222015</c:v>
                </c:pt>
                <c:pt idx="38">
                  <c:v>101692724.87075596</c:v>
                </c:pt>
                <c:pt idx="39">
                  <c:v>104441176.89428991</c:v>
                </c:pt>
                <c:pt idx="40">
                  <c:v>107189628.91782385</c:v>
                </c:pt>
                <c:pt idx="41">
                  <c:v>109938080.94135779</c:v>
                </c:pt>
                <c:pt idx="42">
                  <c:v>112686532.96489173</c:v>
                </c:pt>
                <c:pt idx="43">
                  <c:v>115434984.98842567</c:v>
                </c:pt>
                <c:pt idx="44">
                  <c:v>118183437.01195961</c:v>
                </c:pt>
                <c:pt idx="45">
                  <c:v>120931889.03549355</c:v>
                </c:pt>
                <c:pt idx="46">
                  <c:v>123680341.05902749</c:v>
                </c:pt>
                <c:pt idx="47">
                  <c:v>126428793.08256143</c:v>
                </c:pt>
                <c:pt idx="48">
                  <c:v>129177245.10609537</c:v>
                </c:pt>
                <c:pt idx="49">
                  <c:v>131925697.12962931</c:v>
                </c:pt>
                <c:pt idx="50">
                  <c:v>134674149.15316325</c:v>
                </c:pt>
                <c:pt idx="51">
                  <c:v>137422601.17669719</c:v>
                </c:pt>
                <c:pt idx="52">
                  <c:v>140171053.20023113</c:v>
                </c:pt>
                <c:pt idx="53">
                  <c:v>142919505.22376508</c:v>
                </c:pt>
                <c:pt idx="54">
                  <c:v>145667957.24729902</c:v>
                </c:pt>
                <c:pt idx="55">
                  <c:v>148416409.27083299</c:v>
                </c:pt>
                <c:pt idx="56">
                  <c:v>151164861.29436693</c:v>
                </c:pt>
                <c:pt idx="57">
                  <c:v>153913313.31790087</c:v>
                </c:pt>
                <c:pt idx="58">
                  <c:v>156661765.34143481</c:v>
                </c:pt>
                <c:pt idx="59">
                  <c:v>159410217.36496875</c:v>
                </c:pt>
                <c:pt idx="60">
                  <c:v>162158669.38850269</c:v>
                </c:pt>
                <c:pt idx="61">
                  <c:v>164907121.41203663</c:v>
                </c:pt>
                <c:pt idx="62">
                  <c:v>167655573.43557057</c:v>
                </c:pt>
                <c:pt idx="63">
                  <c:v>170404025.45910451</c:v>
                </c:pt>
                <c:pt idx="64">
                  <c:v>173152477.48263845</c:v>
                </c:pt>
                <c:pt idx="65">
                  <c:v>175900929.50617239</c:v>
                </c:pt>
                <c:pt idx="66">
                  <c:v>178649381.52970633</c:v>
                </c:pt>
                <c:pt idx="67">
                  <c:v>181397833.55324027</c:v>
                </c:pt>
                <c:pt idx="68">
                  <c:v>184146285.57677421</c:v>
                </c:pt>
                <c:pt idx="69">
                  <c:v>186894737.60030815</c:v>
                </c:pt>
                <c:pt idx="70">
                  <c:v>189643189.62384209</c:v>
                </c:pt>
                <c:pt idx="71">
                  <c:v>192391641.64737603</c:v>
                </c:pt>
                <c:pt idx="72">
                  <c:v>195140093.67090997</c:v>
                </c:pt>
                <c:pt idx="73">
                  <c:v>197888545.69444391</c:v>
                </c:pt>
                <c:pt idx="74">
                  <c:v>200636997.71797785</c:v>
                </c:pt>
                <c:pt idx="75">
                  <c:v>203385449.74151179</c:v>
                </c:pt>
                <c:pt idx="76">
                  <c:v>206133901.76504576</c:v>
                </c:pt>
                <c:pt idx="77">
                  <c:v>208882353.7885797</c:v>
                </c:pt>
                <c:pt idx="78">
                  <c:v>217237647.9401229</c:v>
                </c:pt>
                <c:pt idx="79">
                  <c:v>225927153.85772783</c:v>
                </c:pt>
                <c:pt idx="80">
                  <c:v>234964240.01203695</c:v>
                </c:pt>
                <c:pt idx="81">
                  <c:v>244362809.6125184</c:v>
                </c:pt>
                <c:pt idx="82">
                  <c:v>254137321.99701914</c:v>
                </c:pt>
                <c:pt idx="83">
                  <c:v>264302814.8768999</c:v>
                </c:pt>
                <c:pt idx="84">
                  <c:v>274874927.47197592</c:v>
                </c:pt>
                <c:pt idx="85">
                  <c:v>285869924.57085496</c:v>
                </c:pt>
                <c:pt idx="86">
                  <c:v>297304721.55368924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2C2-486A-82FD-3B10BADDDA4F}"/>
            </c:ext>
          </c:extLst>
        </c:ser>
        <c:ser>
          <c:idx val="1"/>
          <c:order val="1"/>
          <c:tx>
            <c:v>costos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9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2C2-486A-82FD-3B10BADDDA4F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xVal>
            <c:numRef>
              <c:f>'Flujo de caja (Financiado)'!$E$134:$E$220</c:f>
              <c:numCache>
                <c:formatCode>0</c:formatCode>
                <c:ptCount val="87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14</c:v>
                </c:pt>
                <c:pt idx="7">
                  <c:v>16</c:v>
                </c:pt>
                <c:pt idx="8">
                  <c:v>18</c:v>
                </c:pt>
                <c:pt idx="9">
                  <c:v>20</c:v>
                </c:pt>
                <c:pt idx="10" formatCode="General">
                  <c:v>21</c:v>
                </c:pt>
                <c:pt idx="11">
                  <c:v>22</c:v>
                </c:pt>
                <c:pt idx="12" formatCode="General">
                  <c:v>23</c:v>
                </c:pt>
                <c:pt idx="13">
                  <c:v>24</c:v>
                </c:pt>
                <c:pt idx="14">
                  <c:v>26</c:v>
                </c:pt>
                <c:pt idx="15">
                  <c:v>28</c:v>
                </c:pt>
                <c:pt idx="16">
                  <c:v>30</c:v>
                </c:pt>
                <c:pt idx="17">
                  <c:v>32</c:v>
                </c:pt>
                <c:pt idx="18">
                  <c:v>34</c:v>
                </c:pt>
                <c:pt idx="19">
                  <c:v>36</c:v>
                </c:pt>
                <c:pt idx="20">
                  <c:v>38</c:v>
                </c:pt>
                <c:pt idx="21">
                  <c:v>40</c:v>
                </c:pt>
                <c:pt idx="22">
                  <c:v>42</c:v>
                </c:pt>
                <c:pt idx="23">
                  <c:v>44</c:v>
                </c:pt>
                <c:pt idx="24">
                  <c:v>46</c:v>
                </c:pt>
                <c:pt idx="25">
                  <c:v>48</c:v>
                </c:pt>
                <c:pt idx="26">
                  <c:v>50</c:v>
                </c:pt>
                <c:pt idx="27">
                  <c:v>52</c:v>
                </c:pt>
                <c:pt idx="28">
                  <c:v>54</c:v>
                </c:pt>
                <c:pt idx="29">
                  <c:v>56</c:v>
                </c:pt>
                <c:pt idx="30">
                  <c:v>58</c:v>
                </c:pt>
                <c:pt idx="31">
                  <c:v>60</c:v>
                </c:pt>
                <c:pt idx="32">
                  <c:v>62</c:v>
                </c:pt>
                <c:pt idx="33">
                  <c:v>64</c:v>
                </c:pt>
                <c:pt idx="34">
                  <c:v>66</c:v>
                </c:pt>
                <c:pt idx="35">
                  <c:v>68</c:v>
                </c:pt>
                <c:pt idx="36">
                  <c:v>70</c:v>
                </c:pt>
                <c:pt idx="37">
                  <c:v>72</c:v>
                </c:pt>
                <c:pt idx="38">
                  <c:v>74</c:v>
                </c:pt>
                <c:pt idx="39">
                  <c:v>76</c:v>
                </c:pt>
                <c:pt idx="40">
                  <c:v>78</c:v>
                </c:pt>
                <c:pt idx="41">
                  <c:v>80</c:v>
                </c:pt>
                <c:pt idx="42">
                  <c:v>82</c:v>
                </c:pt>
                <c:pt idx="43">
                  <c:v>84</c:v>
                </c:pt>
                <c:pt idx="44">
                  <c:v>86</c:v>
                </c:pt>
                <c:pt idx="45">
                  <c:v>88</c:v>
                </c:pt>
                <c:pt idx="46">
                  <c:v>90</c:v>
                </c:pt>
                <c:pt idx="47">
                  <c:v>92</c:v>
                </c:pt>
                <c:pt idx="48">
                  <c:v>94</c:v>
                </c:pt>
                <c:pt idx="49">
                  <c:v>96</c:v>
                </c:pt>
                <c:pt idx="50">
                  <c:v>98</c:v>
                </c:pt>
                <c:pt idx="51">
                  <c:v>100</c:v>
                </c:pt>
                <c:pt idx="52">
                  <c:v>102</c:v>
                </c:pt>
                <c:pt idx="53">
                  <c:v>104</c:v>
                </c:pt>
                <c:pt idx="54">
                  <c:v>106</c:v>
                </c:pt>
                <c:pt idx="55">
                  <c:v>108</c:v>
                </c:pt>
                <c:pt idx="56">
                  <c:v>110</c:v>
                </c:pt>
                <c:pt idx="57">
                  <c:v>112</c:v>
                </c:pt>
                <c:pt idx="58">
                  <c:v>114</c:v>
                </c:pt>
                <c:pt idx="59">
                  <c:v>116</c:v>
                </c:pt>
                <c:pt idx="60">
                  <c:v>118</c:v>
                </c:pt>
                <c:pt idx="61">
                  <c:v>120</c:v>
                </c:pt>
                <c:pt idx="62">
                  <c:v>122</c:v>
                </c:pt>
                <c:pt idx="63">
                  <c:v>124</c:v>
                </c:pt>
                <c:pt idx="64">
                  <c:v>126</c:v>
                </c:pt>
                <c:pt idx="65">
                  <c:v>128</c:v>
                </c:pt>
                <c:pt idx="66">
                  <c:v>130</c:v>
                </c:pt>
                <c:pt idx="67">
                  <c:v>132</c:v>
                </c:pt>
                <c:pt idx="68">
                  <c:v>134</c:v>
                </c:pt>
                <c:pt idx="69">
                  <c:v>136</c:v>
                </c:pt>
                <c:pt idx="70">
                  <c:v>138</c:v>
                </c:pt>
                <c:pt idx="71">
                  <c:v>140</c:v>
                </c:pt>
                <c:pt idx="72">
                  <c:v>142</c:v>
                </c:pt>
                <c:pt idx="73">
                  <c:v>144</c:v>
                </c:pt>
                <c:pt idx="74">
                  <c:v>146</c:v>
                </c:pt>
                <c:pt idx="75">
                  <c:v>148</c:v>
                </c:pt>
                <c:pt idx="76">
                  <c:v>150</c:v>
                </c:pt>
                <c:pt idx="77">
                  <c:v>152</c:v>
                </c:pt>
                <c:pt idx="78">
                  <c:v>158.08000000000001</c:v>
                </c:pt>
                <c:pt idx="79">
                  <c:v>164.40320000000003</c:v>
                </c:pt>
                <c:pt idx="80">
                  <c:v>170.97932800000004</c:v>
                </c:pt>
                <c:pt idx="81">
                  <c:v>177.81850112000004</c:v>
                </c:pt>
                <c:pt idx="82">
                  <c:v>184.93124116480004</c:v>
                </c:pt>
                <c:pt idx="83">
                  <c:v>192.32849081139204</c:v>
                </c:pt>
                <c:pt idx="84">
                  <c:v>200.02163044384773</c:v>
                </c:pt>
                <c:pt idx="85">
                  <c:v>208.02249566160165</c:v>
                </c:pt>
                <c:pt idx="86">
                  <c:v>216.34339548806574</c:v>
                </c:pt>
              </c:numCache>
            </c:numRef>
          </c:xVal>
          <c:yVal>
            <c:numRef>
              <c:f>'Flujo de caja (Financiado)'!$F$134:$F$220</c:f>
              <c:numCache>
                <c:formatCode>General</c:formatCode>
                <c:ptCount val="87"/>
                <c:pt idx="0">
                  <c:v>7170873.5207586475</c:v>
                </c:pt>
                <c:pt idx="1">
                  <c:v>9415704.2932183817</c:v>
                </c:pt>
                <c:pt idx="2">
                  <c:v>11660535.065678114</c:v>
                </c:pt>
                <c:pt idx="3">
                  <c:v>13905365.838137848</c:v>
                </c:pt>
                <c:pt idx="4">
                  <c:v>16150196.610597583</c:v>
                </c:pt>
                <c:pt idx="5">
                  <c:v>18395027.383057315</c:v>
                </c:pt>
                <c:pt idx="6">
                  <c:v>20639858.155517049</c:v>
                </c:pt>
                <c:pt idx="7">
                  <c:v>22884688.927976783</c:v>
                </c:pt>
                <c:pt idx="8">
                  <c:v>25129519.700436518</c:v>
                </c:pt>
                <c:pt idx="9">
                  <c:v>27374350.472896252</c:v>
                </c:pt>
                <c:pt idx="10">
                  <c:v>28496765.859126117</c:v>
                </c:pt>
                <c:pt idx="11">
                  <c:v>29619181.245355986</c:v>
                </c:pt>
                <c:pt idx="12">
                  <c:v>30741596.631585851</c:v>
                </c:pt>
                <c:pt idx="13">
                  <c:v>31864012.017815717</c:v>
                </c:pt>
                <c:pt idx="14">
                  <c:v>34108842.790275455</c:v>
                </c:pt>
                <c:pt idx="15">
                  <c:v>36353673.562735185</c:v>
                </c:pt>
                <c:pt idx="16">
                  <c:v>38598504.335194923</c:v>
                </c:pt>
                <c:pt idx="17">
                  <c:v>40843335.107654653</c:v>
                </c:pt>
                <c:pt idx="18">
                  <c:v>43088165.880114384</c:v>
                </c:pt>
                <c:pt idx="19">
                  <c:v>45332996.652574122</c:v>
                </c:pt>
                <c:pt idx="20">
                  <c:v>47577827.425033852</c:v>
                </c:pt>
                <c:pt idx="21">
                  <c:v>49822658.19749359</c:v>
                </c:pt>
                <c:pt idx="22">
                  <c:v>52067488.969953321</c:v>
                </c:pt>
                <c:pt idx="23">
                  <c:v>54312319.742413059</c:v>
                </c:pt>
                <c:pt idx="24">
                  <c:v>56557150.514872789</c:v>
                </c:pt>
                <c:pt idx="25">
                  <c:v>58801981.28733252</c:v>
                </c:pt>
                <c:pt idx="26">
                  <c:v>61046812.059792258</c:v>
                </c:pt>
                <c:pt idx="27">
                  <c:v>63291642.832251988</c:v>
                </c:pt>
                <c:pt idx="28">
                  <c:v>65536473.604711726</c:v>
                </c:pt>
                <c:pt idx="29">
                  <c:v>67781304.377171457</c:v>
                </c:pt>
                <c:pt idx="30">
                  <c:v>70026135.149631202</c:v>
                </c:pt>
                <c:pt idx="31">
                  <c:v>72270965.922090933</c:v>
                </c:pt>
                <c:pt idx="32">
                  <c:v>74515796.694550663</c:v>
                </c:pt>
                <c:pt idx="33">
                  <c:v>76760627.467010394</c:v>
                </c:pt>
                <c:pt idx="34">
                  <c:v>79005458.239470124</c:v>
                </c:pt>
                <c:pt idx="35">
                  <c:v>81250289.011929855</c:v>
                </c:pt>
                <c:pt idx="36">
                  <c:v>83495119.7843896</c:v>
                </c:pt>
                <c:pt idx="37">
                  <c:v>85739950.556849331</c:v>
                </c:pt>
                <c:pt idx="38">
                  <c:v>87984781.329309061</c:v>
                </c:pt>
                <c:pt idx="39">
                  <c:v>90229612.101768792</c:v>
                </c:pt>
                <c:pt idx="40">
                  <c:v>92474442.874228537</c:v>
                </c:pt>
                <c:pt idx="41">
                  <c:v>94719273.646688268</c:v>
                </c:pt>
                <c:pt idx="42">
                  <c:v>96964104.419147998</c:v>
                </c:pt>
                <c:pt idx="43">
                  <c:v>99208935.191607729</c:v>
                </c:pt>
                <c:pt idx="44">
                  <c:v>101453765.96406746</c:v>
                </c:pt>
                <c:pt idx="45">
                  <c:v>103698596.7365272</c:v>
                </c:pt>
                <c:pt idx="46">
                  <c:v>105943427.50898694</c:v>
                </c:pt>
                <c:pt idx="47">
                  <c:v>108188258.28144667</c:v>
                </c:pt>
                <c:pt idx="48">
                  <c:v>110433089.0539064</c:v>
                </c:pt>
                <c:pt idx="49">
                  <c:v>112677919.82636613</c:v>
                </c:pt>
                <c:pt idx="50">
                  <c:v>114922750.59882587</c:v>
                </c:pt>
                <c:pt idx="51">
                  <c:v>117167581.3712856</c:v>
                </c:pt>
                <c:pt idx="52">
                  <c:v>119412412.14374533</c:v>
                </c:pt>
                <c:pt idx="53">
                  <c:v>121657242.91620506</c:v>
                </c:pt>
                <c:pt idx="54">
                  <c:v>123902073.68866481</c:v>
                </c:pt>
                <c:pt idx="55">
                  <c:v>126146904.46112454</c:v>
                </c:pt>
                <c:pt idx="56">
                  <c:v>128391735.23358427</c:v>
                </c:pt>
                <c:pt idx="57">
                  <c:v>130636566.006044</c:v>
                </c:pt>
                <c:pt idx="58">
                  <c:v>132881396.77850373</c:v>
                </c:pt>
                <c:pt idx="59">
                  <c:v>135126227.55096346</c:v>
                </c:pt>
                <c:pt idx="60">
                  <c:v>137371058.32342321</c:v>
                </c:pt>
                <c:pt idx="61">
                  <c:v>139615889.09588295</c:v>
                </c:pt>
                <c:pt idx="62">
                  <c:v>141860719.86834267</c:v>
                </c:pt>
                <c:pt idx="63">
                  <c:v>144105550.64080241</c:v>
                </c:pt>
                <c:pt idx="64">
                  <c:v>146350381.41326213</c:v>
                </c:pt>
                <c:pt idx="65">
                  <c:v>148595212.18572187</c:v>
                </c:pt>
                <c:pt idx="66">
                  <c:v>150840042.95818162</c:v>
                </c:pt>
                <c:pt idx="67">
                  <c:v>153084873.73064134</c:v>
                </c:pt>
                <c:pt idx="68">
                  <c:v>155329704.50310108</c:v>
                </c:pt>
                <c:pt idx="69">
                  <c:v>157574535.2755608</c:v>
                </c:pt>
                <c:pt idx="70">
                  <c:v>159819366.04802054</c:v>
                </c:pt>
                <c:pt idx="71">
                  <c:v>162064196.82048029</c:v>
                </c:pt>
                <c:pt idx="72">
                  <c:v>164309027.59294</c:v>
                </c:pt>
                <c:pt idx="73">
                  <c:v>166553858.36539975</c:v>
                </c:pt>
                <c:pt idx="74">
                  <c:v>168798689.13785946</c:v>
                </c:pt>
                <c:pt idx="75">
                  <c:v>171043519.91031921</c:v>
                </c:pt>
                <c:pt idx="76">
                  <c:v>173288350.68277895</c:v>
                </c:pt>
                <c:pt idx="77">
                  <c:v>175497301.49048311</c:v>
                </c:pt>
                <c:pt idx="78">
                  <c:v>182353379.95010245</c:v>
                </c:pt>
                <c:pt idx="79">
                  <c:v>189483701.54810655</c:v>
                </c:pt>
                <c:pt idx="80">
                  <c:v>196899236.01003081</c:v>
                </c:pt>
                <c:pt idx="81">
                  <c:v>204611391.85043204</c:v>
                </c:pt>
                <c:pt idx="82">
                  <c:v>212384893.92444932</c:v>
                </c:pt>
                <c:pt idx="83">
                  <c:v>220726361.6814273</c:v>
                </c:pt>
                <c:pt idx="84">
                  <c:v>229401488.14868441</c:v>
                </c:pt>
                <c:pt idx="85">
                  <c:v>238423619.6746318</c:v>
                </c:pt>
                <c:pt idx="86">
                  <c:v>247806636.46161708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2C2-486A-82FD-3B10BADDDA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148032"/>
        <c:axId val="151149568"/>
      </c:scatterChart>
      <c:valAx>
        <c:axId val="1511480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7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700" b="1"/>
                  <a:t>cantidad auditorias </a:t>
                </a:r>
              </a:p>
            </c:rich>
          </c:tx>
          <c:layout>
            <c:manualLayout>
              <c:xMode val="edge"/>
              <c:yMode val="edge"/>
              <c:x val="0.42745815240394691"/>
              <c:y val="0.93191856794298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7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149568"/>
        <c:crosses val="autoZero"/>
        <c:crossBetween val="midCat"/>
      </c:valAx>
      <c:valAx>
        <c:axId val="151149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7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700" b="1"/>
                  <a:t>valor</a:t>
                </a:r>
                <a:r>
                  <a:rPr lang="es-CO" sz="1700" b="1" baseline="0"/>
                  <a:t> COP</a:t>
                </a:r>
                <a:endParaRPr lang="es-CO" sz="1700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7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1480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TD Optimista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areaChart>
        <c:grouping val="stacked"/>
        <c:varyColors val="0"/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'Optimista vpn y tir'!$F$6:$F$20</c:f>
              <c:numCache>
                <c:formatCode>0%</c:formatCode>
                <c:ptCount val="15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 formatCode="0.0000%">
                  <c:v>0.33864206222348781</c:v>
                </c:pt>
                <c:pt idx="8">
                  <c:v>0.35</c:v>
                </c:pt>
                <c:pt idx="9">
                  <c:v>0.4</c:v>
                </c:pt>
                <c:pt idx="10">
                  <c:v>0.45</c:v>
                </c:pt>
                <c:pt idx="11">
                  <c:v>0.5</c:v>
                </c:pt>
                <c:pt idx="12">
                  <c:v>0.55000000000000004</c:v>
                </c:pt>
                <c:pt idx="13">
                  <c:v>0.6</c:v>
                </c:pt>
                <c:pt idx="14">
                  <c:v>0.65</c:v>
                </c:pt>
              </c:numCache>
            </c:numRef>
          </c:cat>
          <c:val>
            <c:numRef>
              <c:f>'Optimista vpn y tir'!$G$6:$G$20</c:f>
              <c:numCache>
                <c:formatCode>_-"$"* #,##0.00_-;\-"$"* #,##0.00_-;_-"$"* "-"??_-;_-@_-</c:formatCode>
                <c:ptCount val="15"/>
                <c:pt idx="0">
                  <c:v>66760238.124751426</c:v>
                </c:pt>
                <c:pt idx="1">
                  <c:v>41925919.819661491</c:v>
                </c:pt>
                <c:pt idx="2">
                  <c:v>26266847.72893526</c:v>
                </c:pt>
                <c:pt idx="3">
                  <c:v>16126404.901704345</c:v>
                </c:pt>
                <c:pt idx="4">
                  <c:v>9406353.5614935011</c:v>
                </c:pt>
                <c:pt idx="5">
                  <c:v>4864495.4003129359</c:v>
                </c:pt>
                <c:pt idx="6">
                  <c:v>1744131.9782796637</c:v>
                </c:pt>
                <c:pt idx="7">
                  <c:v>-4.1743312909287317E-9</c:v>
                </c:pt>
                <c:pt idx="8">
                  <c:v>-427885.32188221317</c:v>
                </c:pt>
                <c:pt idx="9">
                  <c:v>-1954567.0176125236</c:v>
                </c:pt>
                <c:pt idx="10">
                  <c:v>-3034261.193532818</c:v>
                </c:pt>
                <c:pt idx="11">
                  <c:v>-3799434.0821029563</c:v>
                </c:pt>
                <c:pt idx="12">
                  <c:v>-4340190.8095355947</c:v>
                </c:pt>
                <c:pt idx="13">
                  <c:v>-4718858.6212776173</c:v>
                </c:pt>
                <c:pt idx="14">
                  <c:v>-4979215.7523523355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5A-44E1-A70B-11EA8B03F7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3357280"/>
        <c:axId val="467947168"/>
        <c:extLst>
          <c:ext xmlns:c15="http://schemas.microsoft.com/office/drawing/2012/chart" uri="{02D57815-91ED-43cb-92C2-25804820EDAC}">
            <c15:filteredAreaSeries>
              <c15:ser>
                <c:idx val="0"/>
                <c:order val="0"/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cat>
                  <c:numRef>
                    <c:extLst>
                      <c:ext uri="{02D57815-91ED-43cb-92C2-25804820EDAC}">
                        <c15:formulaRef>
                          <c15:sqref>'Optimista vpn y tir'!$F$6:$F$20</c15:sqref>
                        </c15:formulaRef>
                      </c:ext>
                    </c:extLst>
                    <c:numCache>
                      <c:formatCode>0%</c:formatCode>
                      <c:ptCount val="15"/>
                      <c:pt idx="0">
                        <c:v>0</c:v>
                      </c:pt>
                      <c:pt idx="1">
                        <c:v>0.05</c:v>
                      </c:pt>
                      <c:pt idx="2">
                        <c:v>0.1</c:v>
                      </c:pt>
                      <c:pt idx="3">
                        <c:v>0.15</c:v>
                      </c:pt>
                      <c:pt idx="4">
                        <c:v>0.2</c:v>
                      </c:pt>
                      <c:pt idx="5">
                        <c:v>0.25</c:v>
                      </c:pt>
                      <c:pt idx="6">
                        <c:v>0.3</c:v>
                      </c:pt>
                      <c:pt idx="7" formatCode="0.0000%">
                        <c:v>0.33864206222348781</c:v>
                      </c:pt>
                      <c:pt idx="8">
                        <c:v>0.35</c:v>
                      </c:pt>
                      <c:pt idx="9">
                        <c:v>0.4</c:v>
                      </c:pt>
                      <c:pt idx="10">
                        <c:v>0.45</c:v>
                      </c:pt>
                      <c:pt idx="11">
                        <c:v>0.5</c:v>
                      </c:pt>
                      <c:pt idx="12">
                        <c:v>0.55000000000000004</c:v>
                      </c:pt>
                      <c:pt idx="13">
                        <c:v>0.6</c:v>
                      </c:pt>
                      <c:pt idx="14">
                        <c:v>0.65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'Optimista vpn y tir'!$F$6:$F$20</c15:sqref>
                        </c15:formulaRef>
                      </c:ext>
                    </c:extLst>
                    <c:numCache>
                      <c:formatCode>0%</c:formatCode>
                      <c:ptCount val="15"/>
                      <c:pt idx="0">
                        <c:v>0</c:v>
                      </c:pt>
                      <c:pt idx="1">
                        <c:v>0.05</c:v>
                      </c:pt>
                      <c:pt idx="2">
                        <c:v>0.1</c:v>
                      </c:pt>
                      <c:pt idx="3">
                        <c:v>0.15</c:v>
                      </c:pt>
                      <c:pt idx="4">
                        <c:v>0.2</c:v>
                      </c:pt>
                      <c:pt idx="5">
                        <c:v>0.25</c:v>
                      </c:pt>
                      <c:pt idx="6">
                        <c:v>0.3</c:v>
                      </c:pt>
                      <c:pt idx="7" formatCode="0.0000%">
                        <c:v>0.33864206222348781</c:v>
                      </c:pt>
                      <c:pt idx="8">
                        <c:v>0.35</c:v>
                      </c:pt>
                      <c:pt idx="9">
                        <c:v>0.4</c:v>
                      </c:pt>
                      <c:pt idx="10">
                        <c:v>0.45</c:v>
                      </c:pt>
                      <c:pt idx="11">
                        <c:v>0.5</c:v>
                      </c:pt>
                      <c:pt idx="12">
                        <c:v>0.55000000000000004</c:v>
                      </c:pt>
                      <c:pt idx="13">
                        <c:v>0.6</c:v>
                      </c:pt>
                      <c:pt idx="14">
                        <c:v>0.65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985A-44E1-A70B-11EA8B03F752}"/>
                  </c:ext>
                </c:extLst>
              </c15:ser>
            </c15:filteredAreaSeries>
          </c:ext>
        </c:extLst>
      </c:areaChart>
      <c:catAx>
        <c:axId val="513357280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67947168"/>
        <c:crosses val="autoZero"/>
        <c:auto val="1"/>
        <c:lblAlgn val="ctr"/>
        <c:lblOffset val="100"/>
        <c:noMultiLvlLbl val="0"/>
      </c:catAx>
      <c:valAx>
        <c:axId val="467947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* #,##0.00_-;\-&quot;$&quot;* #,##0.00_-;_-&quot;$&quot;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33572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28</xdr:row>
      <xdr:rowOff>114300</xdr:rowOff>
    </xdr:from>
    <xdr:to>
      <xdr:col>4</xdr:col>
      <xdr:colOff>266700</xdr:colOff>
      <xdr:row>43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FEA86F0-08D9-4937-A8FE-39F644842B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547686</xdr:colOff>
      <xdr:row>5</xdr:row>
      <xdr:rowOff>23811</xdr:rowOff>
    </xdr:from>
    <xdr:to>
      <xdr:col>28</xdr:col>
      <xdr:colOff>291726</xdr:colOff>
      <xdr:row>39</xdr:row>
      <xdr:rowOff>71436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3EE908A-C0CC-4DB5-BC53-16AFEB60C0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595" t="11706" r="26635" b="14488"/>
        <a:stretch/>
      </xdr:blipFill>
      <xdr:spPr>
        <a:xfrm>
          <a:off x="10120311" y="1000124"/>
          <a:ext cx="11507415" cy="67151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22412</xdr:colOff>
      <xdr:row>57</xdr:row>
      <xdr:rowOff>134470</xdr:rowOff>
    </xdr:from>
    <xdr:to>
      <xdr:col>11</xdr:col>
      <xdr:colOff>1075765</xdr:colOff>
      <xdr:row>72</xdr:row>
      <xdr:rowOff>31375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F9A3C44D-0461-4526-8967-40CE593B87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1047750</xdr:colOff>
      <xdr:row>80</xdr:row>
      <xdr:rowOff>152400</xdr:rowOff>
    </xdr:from>
    <xdr:to>
      <xdr:col>11</xdr:col>
      <xdr:colOff>843803</xdr:colOff>
      <xdr:row>95</xdr:row>
      <xdr:rowOff>49305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BA4F4A9-AD8C-45D6-9D5D-F1C4F9400E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1442360</xdr:colOff>
      <xdr:row>77</xdr:row>
      <xdr:rowOff>142875</xdr:rowOff>
    </xdr:from>
    <xdr:to>
      <xdr:col>8</xdr:col>
      <xdr:colOff>714375</xdr:colOff>
      <xdr:row>101</xdr:row>
      <xdr:rowOff>77932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667F6A3A-2F89-4CE9-92BF-0C8B37E572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659186</xdr:colOff>
      <xdr:row>4</xdr:row>
      <xdr:rowOff>87406</xdr:rowOff>
    </xdr:from>
    <xdr:to>
      <xdr:col>12</xdr:col>
      <xdr:colOff>859211</xdr:colOff>
      <xdr:row>18</xdr:row>
      <xdr:rowOff>117662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F1353ED5-6894-4555-8E99-92DD40C6A6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homecenter.com.co/homecenter-co/product/318488/Camara-Deportiva-Ultra-Action-1080-P-Full-HD-VTA-83525/318488" TargetMode="External"/><Relationship Id="rId3" Type="http://schemas.openxmlformats.org/officeDocument/2006/relationships/hyperlink" Target="http://www.homecenter.com.co/homecenter-co/product/267048/Central-Telefonica-2-auriculares/267048" TargetMode="External"/><Relationship Id="rId7" Type="http://schemas.openxmlformats.org/officeDocument/2006/relationships/hyperlink" Target="http://www.homecenter.com.co/homecenter-co/product/186683/Silla-Ejecutiva-Cromada-con-Brazos-Negra/186683" TargetMode="External"/><Relationship Id="rId2" Type="http://schemas.openxmlformats.org/officeDocument/2006/relationships/hyperlink" Target="http://www.homecenter.com.co/homecenter-co/search/?Ntt=315271+315273+315275+315272+315274+315276&amp;cid=vtrlnd38296&amp;=INTERNA" TargetMode="External"/><Relationship Id="rId1" Type="http://schemas.openxmlformats.org/officeDocument/2006/relationships/hyperlink" Target="http://www.homecenter.com.co/homecenter-co/search/?Ntt=315271+315273+315275+315272+315274+315276&amp;cid=vtrlnd38296&amp;=INTERNA" TargetMode="External"/><Relationship Id="rId6" Type="http://schemas.openxmlformats.org/officeDocument/2006/relationships/hyperlink" Target="http://www.homecenter.com.co/homecenter-co/product/144086/Casco-Ajuste-Ratchet-Blanco/144086" TargetMode="External"/><Relationship Id="rId5" Type="http://schemas.openxmlformats.org/officeDocument/2006/relationships/hyperlink" Target="http://www.fluke.com/fluke/coes/termometros/termometros-por-infrarrojos/fluke-vt04.htm?pid=77085" TargetMode="External"/><Relationship Id="rId4" Type="http://schemas.openxmlformats.org/officeDocument/2006/relationships/hyperlink" Target="http://www.exmacol.com/68-fluke-323-bogota-colombia.html" TargetMode="External"/><Relationship Id="rId9" Type="http://schemas.openxmlformats.org/officeDocument/2006/relationships/hyperlink" Target="https://articulo.mercadolibre.com.co/MCO-448701645-termometro-pirometro-digital-infrarrojo-sin-contacto-unit-_J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"/>
  <sheetViews>
    <sheetView tabSelected="1" zoomScaleNormal="100" workbookViewId="0">
      <selection activeCell="H38" sqref="H38"/>
    </sheetView>
  </sheetViews>
  <sheetFormatPr baseColWidth="10" defaultColWidth="9.140625" defaultRowHeight="15"/>
  <cols>
    <col min="1" max="1" width="31.85546875" customWidth="1"/>
    <col min="2" max="2" width="16.42578125" bestFit="1" customWidth="1"/>
    <col min="8" max="8" width="14.28515625" bestFit="1" customWidth="1"/>
    <col min="10" max="10" width="15.28515625" bestFit="1" customWidth="1"/>
    <col min="13" max="13" width="20.140625" bestFit="1" customWidth="1"/>
    <col min="17" max="17" width="31.140625" bestFit="1" customWidth="1"/>
    <col min="18" max="18" width="16.140625" bestFit="1" customWidth="1"/>
  </cols>
  <sheetData>
    <row r="1" spans="1:13">
      <c r="A1" s="160" t="s">
        <v>96</v>
      </c>
      <c r="B1" s="313" t="s">
        <v>120</v>
      </c>
      <c r="C1" s="313"/>
      <c r="D1" s="313"/>
      <c r="E1" s="313"/>
      <c r="F1" s="313"/>
      <c r="G1" s="313"/>
      <c r="H1" s="313"/>
      <c r="I1" s="313"/>
      <c r="J1" s="313"/>
      <c r="K1" s="313"/>
      <c r="L1" s="313"/>
      <c r="M1" s="2"/>
    </row>
    <row r="2" spans="1:13">
      <c r="A2" s="160" t="s">
        <v>97</v>
      </c>
      <c r="B2" s="160">
        <v>0</v>
      </c>
      <c r="C2" s="160">
        <v>1</v>
      </c>
      <c r="D2" s="160">
        <v>2</v>
      </c>
      <c r="E2" s="160">
        <v>3</v>
      </c>
      <c r="F2" s="160">
        <v>4</v>
      </c>
      <c r="G2" s="160">
        <v>5</v>
      </c>
      <c r="H2" s="160">
        <v>6</v>
      </c>
      <c r="I2" s="160">
        <v>7</v>
      </c>
      <c r="J2" s="160">
        <v>8</v>
      </c>
      <c r="K2" s="160">
        <v>9</v>
      </c>
      <c r="L2" s="160">
        <v>10</v>
      </c>
      <c r="M2" s="92" t="s">
        <v>124</v>
      </c>
    </row>
    <row r="3" spans="1:13">
      <c r="A3" s="228" t="s">
        <v>98</v>
      </c>
      <c r="B3" s="220">
        <f>SUM(B4:B11)</f>
        <v>24214745.82</v>
      </c>
      <c r="C3" s="220">
        <f t="shared" ref="C3:L3" si="0">SUM(C4:C11)</f>
        <v>0</v>
      </c>
      <c r="D3" s="220">
        <f t="shared" si="0"/>
        <v>0</v>
      </c>
      <c r="E3" s="220">
        <f t="shared" si="0"/>
        <v>0</v>
      </c>
      <c r="F3" s="220">
        <f t="shared" si="0"/>
        <v>0</v>
      </c>
      <c r="G3" s="220">
        <f t="shared" si="0"/>
        <v>0</v>
      </c>
      <c r="H3" s="220">
        <f t="shared" si="0"/>
        <v>1856600</v>
      </c>
      <c r="I3" s="220">
        <f t="shared" si="0"/>
        <v>0</v>
      </c>
      <c r="J3" s="220">
        <f t="shared" si="0"/>
        <v>11000000</v>
      </c>
      <c r="K3" s="220">
        <f t="shared" si="0"/>
        <v>0</v>
      </c>
      <c r="L3" s="220">
        <f t="shared" si="0"/>
        <v>0</v>
      </c>
      <c r="M3" s="219">
        <f>((SUM(B3:L3)/$M21)*100)</f>
        <v>83.053323561526952</v>
      </c>
    </row>
    <row r="4" spans="1:13">
      <c r="A4" s="6" t="s">
        <v>35</v>
      </c>
      <c r="B4" s="35">
        <f>Equipos!D3</f>
        <v>5396000</v>
      </c>
      <c r="C4" s="35">
        <v>0</v>
      </c>
      <c r="D4" s="35">
        <v>0</v>
      </c>
      <c r="E4" s="35">
        <v>0</v>
      </c>
      <c r="F4" s="35">
        <v>0</v>
      </c>
      <c r="G4" s="35">
        <v>0</v>
      </c>
      <c r="H4" s="35">
        <v>0</v>
      </c>
      <c r="I4" s="35">
        <v>0</v>
      </c>
      <c r="J4" s="35">
        <v>0</v>
      </c>
      <c r="K4" s="35">
        <v>0</v>
      </c>
      <c r="L4" s="35">
        <v>0</v>
      </c>
      <c r="M4" s="221">
        <f>((SUM(B4:L4)/M21)*100)</f>
        <v>12.089006320785346</v>
      </c>
    </row>
    <row r="5" spans="1:13">
      <c r="A5" s="6" t="s">
        <v>107</v>
      </c>
      <c r="B5" s="35">
        <f>Equipos!D43</f>
        <v>307390</v>
      </c>
      <c r="C5" s="35">
        <v>0</v>
      </c>
      <c r="D5" s="35">
        <v>0</v>
      </c>
      <c r="E5" s="35">
        <v>0</v>
      </c>
      <c r="F5" s="35">
        <v>0</v>
      </c>
      <c r="G5" s="35">
        <v>0</v>
      </c>
      <c r="H5" s="35">
        <v>0</v>
      </c>
      <c r="I5" s="35">
        <v>0</v>
      </c>
      <c r="J5" s="35">
        <v>0</v>
      </c>
      <c r="K5" s="35">
        <v>0</v>
      </c>
      <c r="L5" s="35">
        <v>0</v>
      </c>
      <c r="M5" s="221">
        <f>((SUM(B5:L5)/$M$21)*100)</f>
        <v>0.68866561396334469</v>
      </c>
    </row>
    <row r="6" spans="1:13">
      <c r="A6" s="91" t="s">
        <v>108</v>
      </c>
      <c r="B6" s="35">
        <f>Equipos!D9+Equipos!D10</f>
        <v>768000</v>
      </c>
      <c r="C6" s="35">
        <v>0</v>
      </c>
      <c r="D6" s="35">
        <v>0</v>
      </c>
      <c r="E6" s="35">
        <v>0</v>
      </c>
      <c r="F6" s="35">
        <v>0</v>
      </c>
      <c r="G6" s="35">
        <v>0</v>
      </c>
      <c r="H6" s="35">
        <f>B6</f>
        <v>768000</v>
      </c>
      <c r="I6" s="35">
        <v>0</v>
      </c>
      <c r="J6" s="35">
        <v>0</v>
      </c>
      <c r="K6" s="35">
        <v>0</v>
      </c>
      <c r="L6" s="35">
        <v>0</v>
      </c>
      <c r="M6" s="221">
        <f t="shared" ref="M6:M20" si="1">((SUM(B6:L6)/$M$21)*100)</f>
        <v>3.4411997236334861</v>
      </c>
    </row>
    <row r="7" spans="1:13">
      <c r="A7" s="91" t="s">
        <v>109</v>
      </c>
      <c r="B7" s="35">
        <v>0</v>
      </c>
      <c r="C7" s="35">
        <v>0</v>
      </c>
      <c r="D7" s="35">
        <v>0</v>
      </c>
      <c r="E7" s="35">
        <v>0</v>
      </c>
      <c r="F7" s="35">
        <v>0</v>
      </c>
      <c r="G7" s="35">
        <v>0</v>
      </c>
      <c r="H7" s="35">
        <v>0</v>
      </c>
      <c r="I7" s="35">
        <v>0</v>
      </c>
      <c r="J7" s="35">
        <f>Equipos!D32</f>
        <v>11000000</v>
      </c>
      <c r="K7" s="35">
        <v>0</v>
      </c>
      <c r="L7" s="35">
        <v>0</v>
      </c>
      <c r="M7" s="221">
        <f t="shared" si="1"/>
        <v>24.644008437479396</v>
      </c>
    </row>
    <row r="8" spans="1:13">
      <c r="A8" s="91" t="s">
        <v>110</v>
      </c>
      <c r="B8" s="35">
        <f>Equipos!D8</f>
        <v>100000</v>
      </c>
      <c r="C8" s="35">
        <v>0</v>
      </c>
      <c r="D8" s="35">
        <v>0</v>
      </c>
      <c r="E8" s="35">
        <v>0</v>
      </c>
      <c r="F8" s="35">
        <v>0</v>
      </c>
      <c r="G8" s="35">
        <v>0</v>
      </c>
      <c r="H8" s="35">
        <v>0</v>
      </c>
      <c r="I8" s="35">
        <v>0</v>
      </c>
      <c r="J8" s="35">
        <v>0</v>
      </c>
      <c r="K8" s="35">
        <v>0</v>
      </c>
      <c r="L8" s="35">
        <v>0</v>
      </c>
      <c r="M8" s="221">
        <f t="shared" si="1"/>
        <v>0.22403644034072176</v>
      </c>
    </row>
    <row r="9" spans="1:13">
      <c r="A9" s="91" t="s">
        <v>111</v>
      </c>
      <c r="B9" s="35">
        <f>Equipos!D12</f>
        <v>338700</v>
      </c>
      <c r="C9" s="35">
        <v>0</v>
      </c>
      <c r="D9" s="35">
        <v>0</v>
      </c>
      <c r="E9" s="35">
        <v>0</v>
      </c>
      <c r="F9" s="35">
        <v>0</v>
      </c>
      <c r="G9" s="35">
        <v>0</v>
      </c>
      <c r="H9" s="35">
        <f>B9</f>
        <v>338700</v>
      </c>
      <c r="I9" s="35">
        <v>0</v>
      </c>
      <c r="J9" s="35">
        <v>0</v>
      </c>
      <c r="K9" s="35">
        <v>0</v>
      </c>
      <c r="L9" s="35">
        <v>0</v>
      </c>
      <c r="M9" s="221">
        <f t="shared" si="1"/>
        <v>1.5176228468680493</v>
      </c>
    </row>
    <row r="10" spans="1:13">
      <c r="A10" s="91" t="s">
        <v>112</v>
      </c>
      <c r="B10" s="35">
        <f>Equipos!D11</f>
        <v>749900</v>
      </c>
      <c r="C10" s="35">
        <v>0</v>
      </c>
      <c r="D10" s="35">
        <v>0</v>
      </c>
      <c r="E10" s="35">
        <v>0</v>
      </c>
      <c r="F10" s="35">
        <v>0</v>
      </c>
      <c r="G10" s="35">
        <v>0</v>
      </c>
      <c r="H10" s="35">
        <f>B10</f>
        <v>749900</v>
      </c>
      <c r="I10" s="35">
        <v>0</v>
      </c>
      <c r="J10" s="35">
        <v>0</v>
      </c>
      <c r="K10" s="35">
        <v>0</v>
      </c>
      <c r="L10" s="35">
        <v>0</v>
      </c>
      <c r="M10" s="221">
        <f t="shared" si="1"/>
        <v>3.3600985322301451</v>
      </c>
    </row>
    <row r="11" spans="1:13">
      <c r="A11" s="91" t="s">
        <v>113</v>
      </c>
      <c r="B11" s="35">
        <f>Equipos!D40</f>
        <v>16554755.82</v>
      </c>
      <c r="C11" s="35">
        <v>0</v>
      </c>
      <c r="D11" s="35">
        <v>0</v>
      </c>
      <c r="E11" s="35">
        <v>0</v>
      </c>
      <c r="F11" s="35">
        <v>0</v>
      </c>
      <c r="G11" s="35">
        <v>0</v>
      </c>
      <c r="H11" s="35">
        <v>0</v>
      </c>
      <c r="I11" s="35">
        <v>0</v>
      </c>
      <c r="J11" s="35">
        <v>0</v>
      </c>
      <c r="K11" s="35">
        <v>0</v>
      </c>
      <c r="L11" s="35">
        <v>0</v>
      </c>
      <c r="M11" s="221">
        <f t="shared" si="1"/>
        <v>37.088685646226466</v>
      </c>
    </row>
    <row r="12" spans="1:13">
      <c r="A12" s="246" t="s">
        <v>114</v>
      </c>
      <c r="B12" s="247">
        <f>B13</f>
        <v>150000</v>
      </c>
      <c r="C12" s="247">
        <f t="shared" ref="C12:L12" si="2">C13</f>
        <v>0</v>
      </c>
      <c r="D12" s="247">
        <f t="shared" si="2"/>
        <v>0</v>
      </c>
      <c r="E12" s="247">
        <f t="shared" si="2"/>
        <v>0</v>
      </c>
      <c r="F12" s="247">
        <f t="shared" si="2"/>
        <v>0</v>
      </c>
      <c r="G12" s="247">
        <f t="shared" si="2"/>
        <v>0</v>
      </c>
      <c r="H12" s="247">
        <f t="shared" si="2"/>
        <v>0</v>
      </c>
      <c r="I12" s="247">
        <f t="shared" si="2"/>
        <v>0</v>
      </c>
      <c r="J12" s="247">
        <f t="shared" si="2"/>
        <v>0</v>
      </c>
      <c r="K12" s="247">
        <f t="shared" si="2"/>
        <v>0</v>
      </c>
      <c r="L12" s="247">
        <f t="shared" si="2"/>
        <v>0</v>
      </c>
      <c r="M12" s="248">
        <f t="shared" si="1"/>
        <v>0.33605466051108263</v>
      </c>
    </row>
    <row r="13" spans="1:13">
      <c r="A13" s="93" t="s">
        <v>115</v>
      </c>
      <c r="B13" s="35">
        <v>150000</v>
      </c>
      <c r="C13" s="35">
        <v>0</v>
      </c>
      <c r="D13" s="35">
        <v>0</v>
      </c>
      <c r="E13" s="35">
        <v>0</v>
      </c>
      <c r="F13" s="35">
        <v>0</v>
      </c>
      <c r="G13" s="35">
        <v>0</v>
      </c>
      <c r="H13" s="35">
        <v>0</v>
      </c>
      <c r="I13" s="35">
        <v>0</v>
      </c>
      <c r="J13" s="35">
        <v>0</v>
      </c>
      <c r="K13" s="35">
        <v>0</v>
      </c>
      <c r="L13" s="35">
        <v>0</v>
      </c>
      <c r="M13" s="221">
        <f t="shared" si="1"/>
        <v>0.33605466051108263</v>
      </c>
    </row>
    <row r="14" spans="1:13">
      <c r="A14" s="246" t="s">
        <v>116</v>
      </c>
      <c r="B14" s="247">
        <f>SUM(B15,B16)</f>
        <v>2414250</v>
      </c>
      <c r="C14" s="247">
        <f t="shared" ref="C14:L14" si="3">SUM(C15,C16)</f>
        <v>0</v>
      </c>
      <c r="D14" s="247">
        <f t="shared" si="3"/>
        <v>0</v>
      </c>
      <c r="E14" s="247">
        <f t="shared" si="3"/>
        <v>0</v>
      </c>
      <c r="F14" s="247">
        <f t="shared" si="3"/>
        <v>0</v>
      </c>
      <c r="G14" s="247">
        <f t="shared" si="3"/>
        <v>0</v>
      </c>
      <c r="H14" s="247">
        <f t="shared" si="3"/>
        <v>0</v>
      </c>
      <c r="I14" s="247">
        <f t="shared" si="3"/>
        <v>0</v>
      </c>
      <c r="J14" s="247">
        <f t="shared" si="3"/>
        <v>0</v>
      </c>
      <c r="K14" s="247">
        <f t="shared" si="3"/>
        <v>0</v>
      </c>
      <c r="L14" s="247">
        <f t="shared" si="3"/>
        <v>0</v>
      </c>
      <c r="M14" s="248">
        <f t="shared" si="1"/>
        <v>5.4087997609258753</v>
      </c>
    </row>
    <row r="15" spans="1:13">
      <c r="A15" s="93" t="s">
        <v>303</v>
      </c>
      <c r="B15" s="35">
        <v>414250</v>
      </c>
      <c r="C15" s="35">
        <v>0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221">
        <f t="shared" si="1"/>
        <v>0.92807095411143992</v>
      </c>
    </row>
    <row r="16" spans="1:13">
      <c r="A16" s="93" t="s">
        <v>117</v>
      </c>
      <c r="B16" s="35">
        <v>2000000</v>
      </c>
      <c r="C16" s="35"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35">
        <v>0</v>
      </c>
      <c r="J16" s="35">
        <v>0</v>
      </c>
      <c r="K16" s="35">
        <v>0</v>
      </c>
      <c r="L16" s="35">
        <v>0</v>
      </c>
      <c r="M16" s="221">
        <f t="shared" si="1"/>
        <v>4.4807288068144349</v>
      </c>
    </row>
    <row r="17" spans="1:13">
      <c r="A17" s="246" t="s">
        <v>122</v>
      </c>
      <c r="B17" s="247">
        <f>B18</f>
        <v>5000000</v>
      </c>
      <c r="C17" s="247">
        <f t="shared" ref="C17:L17" si="4">C18</f>
        <v>0</v>
      </c>
      <c r="D17" s="247">
        <f t="shared" si="4"/>
        <v>0</v>
      </c>
      <c r="E17" s="247">
        <f t="shared" si="4"/>
        <v>0</v>
      </c>
      <c r="F17" s="247">
        <f t="shared" si="4"/>
        <v>0</v>
      </c>
      <c r="G17" s="247">
        <f t="shared" si="4"/>
        <v>0</v>
      </c>
      <c r="H17" s="247">
        <f t="shared" si="4"/>
        <v>0</v>
      </c>
      <c r="I17" s="247">
        <f t="shared" si="4"/>
        <v>0</v>
      </c>
      <c r="J17" s="247">
        <f t="shared" si="4"/>
        <v>0</v>
      </c>
      <c r="K17" s="247">
        <f t="shared" si="4"/>
        <v>0</v>
      </c>
      <c r="L17" s="247">
        <f t="shared" si="4"/>
        <v>0</v>
      </c>
      <c r="M17" s="248">
        <f t="shared" si="1"/>
        <v>11.201822017036088</v>
      </c>
    </row>
    <row r="18" spans="1:13">
      <c r="A18" s="93" t="s">
        <v>123</v>
      </c>
      <c r="B18" s="35">
        <v>5000000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0</v>
      </c>
      <c r="I18" s="35">
        <v>0</v>
      </c>
      <c r="J18" s="35">
        <v>0</v>
      </c>
      <c r="K18" s="35">
        <v>0</v>
      </c>
      <c r="L18" s="35">
        <v>0</v>
      </c>
      <c r="M18" s="221">
        <f t="shared" si="1"/>
        <v>11.201822017036088</v>
      </c>
    </row>
    <row r="19" spans="1:13">
      <c r="A19" s="219" t="s">
        <v>118</v>
      </c>
      <c r="B19" s="220">
        <f>B20</f>
        <v>0</v>
      </c>
      <c r="C19" s="220">
        <f t="shared" ref="C19:L19" si="5">C20</f>
        <v>0</v>
      </c>
      <c r="D19" s="220">
        <f t="shared" si="5"/>
        <v>0</v>
      </c>
      <c r="E19" s="220">
        <f t="shared" si="5"/>
        <v>0</v>
      </c>
      <c r="F19" s="220">
        <f t="shared" si="5"/>
        <v>0</v>
      </c>
      <c r="G19" s="220">
        <f t="shared" si="5"/>
        <v>0</v>
      </c>
      <c r="H19" s="220">
        <f t="shared" si="5"/>
        <v>0</v>
      </c>
      <c r="I19" s="220">
        <f t="shared" si="5"/>
        <v>0</v>
      </c>
      <c r="J19" s="220">
        <f t="shared" si="5"/>
        <v>0</v>
      </c>
      <c r="K19" s="220">
        <f t="shared" si="5"/>
        <v>0</v>
      </c>
      <c r="L19" s="220">
        <f t="shared" si="5"/>
        <v>0</v>
      </c>
      <c r="M19" s="225">
        <f t="shared" si="1"/>
        <v>0</v>
      </c>
    </row>
    <row r="20" spans="1:13">
      <c r="A20" s="93" t="s">
        <v>119</v>
      </c>
      <c r="B20" s="35">
        <v>0</v>
      </c>
      <c r="C20" s="35">
        <v>0</v>
      </c>
      <c r="D20" s="35">
        <v>0</v>
      </c>
      <c r="E20" s="35">
        <v>0</v>
      </c>
      <c r="F20" s="35">
        <v>0</v>
      </c>
      <c r="G20" s="35">
        <v>0</v>
      </c>
      <c r="H20" s="35">
        <v>0</v>
      </c>
      <c r="I20" s="35">
        <v>0</v>
      </c>
      <c r="J20" s="35">
        <v>0</v>
      </c>
      <c r="K20" s="35">
        <v>0</v>
      </c>
      <c r="L20" s="35">
        <v>0</v>
      </c>
      <c r="M20" s="221">
        <f t="shared" si="1"/>
        <v>0</v>
      </c>
    </row>
    <row r="21" spans="1:13">
      <c r="A21" s="226" t="s">
        <v>121</v>
      </c>
      <c r="B21" s="224">
        <f>SUM(B3,B12,B14,B17,B19)</f>
        <v>31778995.82</v>
      </c>
      <c r="C21" s="224">
        <f t="shared" ref="C21:L21" si="6">SUM(C3,C12,C14,C17,C19)</f>
        <v>0</v>
      </c>
      <c r="D21" s="224">
        <f t="shared" si="6"/>
        <v>0</v>
      </c>
      <c r="E21" s="224">
        <f t="shared" si="6"/>
        <v>0</v>
      </c>
      <c r="F21" s="224">
        <f t="shared" si="6"/>
        <v>0</v>
      </c>
      <c r="G21" s="224">
        <f t="shared" si="6"/>
        <v>0</v>
      </c>
      <c r="H21" s="224">
        <f t="shared" si="6"/>
        <v>1856600</v>
      </c>
      <c r="I21" s="224">
        <f t="shared" si="6"/>
        <v>0</v>
      </c>
      <c r="J21" s="224">
        <f t="shared" si="6"/>
        <v>11000000</v>
      </c>
      <c r="K21" s="224">
        <f t="shared" si="6"/>
        <v>0</v>
      </c>
      <c r="L21" s="224">
        <f t="shared" si="6"/>
        <v>0</v>
      </c>
      <c r="M21" s="224">
        <f>SUM(B21:L21)</f>
        <v>44635595.82</v>
      </c>
    </row>
    <row r="23" spans="1:13">
      <c r="A23" s="186" t="s">
        <v>307</v>
      </c>
      <c r="B23" s="205" t="s">
        <v>308</v>
      </c>
    </row>
    <row r="24" spans="1:13">
      <c r="A24" s="228" t="s">
        <v>309</v>
      </c>
      <c r="B24" s="2">
        <f>M3</f>
        <v>83.053323561526952</v>
      </c>
    </row>
    <row r="25" spans="1:13">
      <c r="A25" s="223" t="s">
        <v>310</v>
      </c>
      <c r="B25" s="2">
        <f>M12</f>
        <v>0.33605466051108263</v>
      </c>
    </row>
    <row r="26" spans="1:13">
      <c r="A26" s="223" t="s">
        <v>116</v>
      </c>
      <c r="B26" s="2">
        <f>M14</f>
        <v>5.4087997609258753</v>
      </c>
    </row>
    <row r="27" spans="1:13">
      <c r="A27" s="223" t="s">
        <v>122</v>
      </c>
      <c r="B27" s="2">
        <f>M17</f>
        <v>11.201822017036088</v>
      </c>
    </row>
    <row r="28" spans="1:13">
      <c r="A28" s="228" t="s">
        <v>311</v>
      </c>
      <c r="B28" s="2">
        <f>M19</f>
        <v>0</v>
      </c>
    </row>
  </sheetData>
  <mergeCells count="1">
    <mergeCell ref="B1:L1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K90"/>
  <sheetViews>
    <sheetView zoomScale="70" zoomScaleNormal="70" workbookViewId="0">
      <selection activeCell="T55" sqref="T55"/>
    </sheetView>
  </sheetViews>
  <sheetFormatPr baseColWidth="10" defaultColWidth="9.140625" defaultRowHeight="15"/>
  <cols>
    <col min="2" max="2" width="23.42578125" bestFit="1" customWidth="1"/>
    <col min="3" max="3" width="16" bestFit="1" customWidth="1"/>
    <col min="4" max="4" width="21" bestFit="1" customWidth="1"/>
    <col min="5" max="5" width="19.42578125" bestFit="1" customWidth="1"/>
    <col min="6" max="6" width="16.7109375" bestFit="1" customWidth="1"/>
    <col min="7" max="7" width="10.140625" bestFit="1" customWidth="1"/>
    <col min="8" max="8" width="12.7109375" bestFit="1" customWidth="1"/>
    <col min="9" max="9" width="16.42578125" customWidth="1"/>
  </cols>
  <sheetData>
    <row r="2" spans="2:11">
      <c r="B2" s="305" t="s">
        <v>312</v>
      </c>
      <c r="C2" s="305" t="s">
        <v>313</v>
      </c>
      <c r="D2" s="305" t="s">
        <v>315</v>
      </c>
      <c r="E2" s="305" t="s">
        <v>316</v>
      </c>
      <c r="F2" s="305" t="s">
        <v>317</v>
      </c>
      <c r="G2" s="305" t="s">
        <v>314</v>
      </c>
      <c r="H2" s="305" t="s">
        <v>320</v>
      </c>
      <c r="K2" s="44" t="s">
        <v>364</v>
      </c>
    </row>
    <row r="3" spans="2:11">
      <c r="B3" s="214" t="s">
        <v>506</v>
      </c>
      <c r="C3" s="214" t="s">
        <v>319</v>
      </c>
      <c r="D3" s="298" t="s">
        <v>321</v>
      </c>
      <c r="E3" s="244" t="s">
        <v>367</v>
      </c>
      <c r="F3" s="214" t="s">
        <v>318</v>
      </c>
      <c r="G3" s="214">
        <v>20000000</v>
      </c>
      <c r="H3" s="245">
        <v>5.6599999999999998E-2</v>
      </c>
    </row>
    <row r="4" spans="2:11" ht="17.25" customHeight="1">
      <c r="B4" s="214" t="s">
        <v>507</v>
      </c>
      <c r="C4" s="214" t="s">
        <v>319</v>
      </c>
      <c r="D4" s="244" t="s">
        <v>322</v>
      </c>
      <c r="E4" s="244" t="s">
        <v>367</v>
      </c>
      <c r="F4" s="214" t="s">
        <v>318</v>
      </c>
      <c r="G4" s="214">
        <v>20000000</v>
      </c>
      <c r="H4" s="245">
        <v>5.6599999999999998E-2</v>
      </c>
    </row>
    <row r="8" spans="2:11">
      <c r="B8" s="44" t="s">
        <v>364</v>
      </c>
    </row>
    <row r="9" spans="2:11">
      <c r="B9" s="388" t="s">
        <v>508</v>
      </c>
      <c r="C9" s="388"/>
      <c r="D9" s="388"/>
      <c r="E9" s="388"/>
      <c r="F9" s="388"/>
    </row>
    <row r="10" spans="2:11">
      <c r="B10" s="243" t="s">
        <v>360</v>
      </c>
      <c r="C10" s="243" t="s">
        <v>361</v>
      </c>
      <c r="D10" s="243" t="s">
        <v>509</v>
      </c>
      <c r="E10" s="243" t="s">
        <v>362</v>
      </c>
      <c r="F10" s="243" t="s">
        <v>363</v>
      </c>
      <c r="I10" s="189"/>
    </row>
    <row r="11" spans="2:11">
      <c r="B11" s="240">
        <v>0</v>
      </c>
      <c r="C11" s="241">
        <v>0</v>
      </c>
      <c r="D11" s="241">
        <v>0</v>
      </c>
      <c r="E11" s="241">
        <v>0</v>
      </c>
      <c r="F11" s="241">
        <v>20000000</v>
      </c>
    </row>
    <row r="12" spans="2:11">
      <c r="B12" s="240">
        <v>1</v>
      </c>
      <c r="C12" s="241">
        <v>555555.56000000006</v>
      </c>
      <c r="D12" s="241">
        <v>310274.33</v>
      </c>
      <c r="E12" s="241">
        <v>865829.88</v>
      </c>
      <c r="F12" s="241">
        <v>19444444.440000001</v>
      </c>
      <c r="H12" s="238" t="s">
        <v>365</v>
      </c>
      <c r="I12" s="186" t="s">
        <v>366</v>
      </c>
    </row>
    <row r="13" spans="2:11">
      <c r="B13" s="240">
        <v>2</v>
      </c>
      <c r="C13" s="241">
        <v>555555.56000000006</v>
      </c>
      <c r="D13" s="241">
        <v>301655.59999999998</v>
      </c>
      <c r="E13" s="241">
        <v>857211.15</v>
      </c>
      <c r="F13" s="241">
        <v>18888888.890000001</v>
      </c>
      <c r="H13" s="37">
        <v>1</v>
      </c>
      <c r="I13" s="239">
        <f>SUM(E11:E22,E23)</f>
        <v>9821122.3300000001</v>
      </c>
    </row>
    <row r="14" spans="2:11">
      <c r="B14" s="240">
        <v>3</v>
      </c>
      <c r="C14" s="241">
        <v>555555.56000000006</v>
      </c>
      <c r="D14" s="241">
        <v>293036.87</v>
      </c>
      <c r="E14" s="241">
        <v>848592.42</v>
      </c>
      <c r="F14" s="241">
        <v>18333333.329999998</v>
      </c>
      <c r="H14" s="54">
        <v>2</v>
      </c>
      <c r="I14" s="239">
        <f>SUM(E24:E34)</f>
        <v>7912425.9700000007</v>
      </c>
    </row>
    <row r="15" spans="2:11">
      <c r="B15" s="240">
        <v>4</v>
      </c>
      <c r="C15" s="241">
        <v>555555.56000000006</v>
      </c>
      <c r="D15" s="241">
        <v>284418.13</v>
      </c>
      <c r="E15" s="241">
        <v>839973.69</v>
      </c>
      <c r="F15" s="241">
        <v>17777777.780000001</v>
      </c>
      <c r="H15" s="242">
        <v>3</v>
      </c>
      <c r="I15" s="239">
        <f>SUM(E35:E46,E47)</f>
        <v>8006526.7700000005</v>
      </c>
    </row>
    <row r="16" spans="2:11">
      <c r="B16" s="240">
        <v>5</v>
      </c>
      <c r="C16" s="241">
        <v>555555.56000000006</v>
      </c>
      <c r="D16" s="241">
        <v>275799.40000000002</v>
      </c>
      <c r="E16" s="241">
        <v>831354.96</v>
      </c>
      <c r="F16" s="241">
        <v>17222222.219999999</v>
      </c>
      <c r="I16" s="237">
        <f>SUM(I13:I15)</f>
        <v>25740075.07</v>
      </c>
    </row>
    <row r="17" spans="2:7">
      <c r="B17" s="240">
        <v>6</v>
      </c>
      <c r="C17" s="241">
        <v>555555.56000000006</v>
      </c>
      <c r="D17" s="241">
        <v>267180.67</v>
      </c>
      <c r="E17" s="241">
        <v>822736.23</v>
      </c>
      <c r="F17" s="241">
        <v>16666666.67</v>
      </c>
    </row>
    <row r="18" spans="2:7">
      <c r="B18" s="240">
        <v>7</v>
      </c>
      <c r="C18" s="241">
        <v>555555.56000000006</v>
      </c>
      <c r="D18" s="241">
        <v>258561.94</v>
      </c>
      <c r="E18" s="241">
        <v>814117.5</v>
      </c>
      <c r="F18" s="241">
        <v>16111111.109999999</v>
      </c>
    </row>
    <row r="19" spans="2:7">
      <c r="B19" s="240">
        <v>8</v>
      </c>
      <c r="C19" s="241">
        <v>555555.56000000006</v>
      </c>
      <c r="D19" s="241">
        <v>249943.21</v>
      </c>
      <c r="E19" s="241">
        <v>805498.76</v>
      </c>
      <c r="F19" s="241">
        <v>15555555.560000001</v>
      </c>
      <c r="G19" s="189"/>
    </row>
    <row r="20" spans="2:7">
      <c r="B20" s="240">
        <v>9</v>
      </c>
      <c r="C20" s="241">
        <v>555555.56000000006</v>
      </c>
      <c r="D20" s="241">
        <v>241324.48</v>
      </c>
      <c r="E20" s="241">
        <v>796880.03</v>
      </c>
      <c r="F20" s="241">
        <v>15000000</v>
      </c>
    </row>
    <row r="21" spans="2:7">
      <c r="B21" s="240">
        <v>10</v>
      </c>
      <c r="C21" s="241">
        <v>555555.56000000006</v>
      </c>
      <c r="D21" s="241">
        <v>232705.75</v>
      </c>
      <c r="E21" s="241">
        <v>788261.3</v>
      </c>
      <c r="F21" s="241">
        <v>14444444.439999999</v>
      </c>
    </row>
    <row r="22" spans="2:7">
      <c r="B22" s="240">
        <v>11</v>
      </c>
      <c r="C22" s="241">
        <v>555555.56000000006</v>
      </c>
      <c r="D22" s="241">
        <v>224087.01</v>
      </c>
      <c r="E22" s="241">
        <v>779642.57</v>
      </c>
      <c r="F22" s="241">
        <v>13888888.890000001</v>
      </c>
    </row>
    <row r="23" spans="2:7">
      <c r="B23" s="240">
        <v>12</v>
      </c>
      <c r="C23" s="241">
        <v>555555.56000000006</v>
      </c>
      <c r="D23" s="241">
        <v>215468.28</v>
      </c>
      <c r="E23" s="241">
        <v>771023.84</v>
      </c>
      <c r="F23" s="241">
        <v>13333333.33</v>
      </c>
    </row>
    <row r="24" spans="2:7">
      <c r="B24" s="240">
        <v>13</v>
      </c>
      <c r="C24" s="241">
        <v>555555.56000000006</v>
      </c>
      <c r="D24" s="241">
        <v>206849.55</v>
      </c>
      <c r="E24" s="241">
        <v>762405.11</v>
      </c>
      <c r="F24" s="241">
        <v>12777777.779999999</v>
      </c>
    </row>
    <row r="25" spans="2:7">
      <c r="B25" s="240">
        <v>14</v>
      </c>
      <c r="C25" s="241">
        <v>555555.56000000006</v>
      </c>
      <c r="D25" s="241">
        <v>198230.82</v>
      </c>
      <c r="E25" s="241">
        <v>753786.38</v>
      </c>
      <c r="F25" s="241">
        <v>12222222.220000001</v>
      </c>
    </row>
    <row r="26" spans="2:7">
      <c r="B26" s="240">
        <v>15</v>
      </c>
      <c r="C26" s="241">
        <v>555555.56000000006</v>
      </c>
      <c r="D26" s="241">
        <v>189612.09</v>
      </c>
      <c r="E26" s="241">
        <v>745167.65</v>
      </c>
      <c r="F26" s="241">
        <v>11666666.67</v>
      </c>
    </row>
    <row r="27" spans="2:7">
      <c r="B27" s="240">
        <v>16</v>
      </c>
      <c r="C27" s="241">
        <v>555555.56000000006</v>
      </c>
      <c r="D27" s="241">
        <v>180993.36</v>
      </c>
      <c r="E27" s="241">
        <v>736548.91</v>
      </c>
      <c r="F27" s="241">
        <v>11111111.109999999</v>
      </c>
    </row>
    <row r="28" spans="2:7">
      <c r="B28" s="240">
        <v>17</v>
      </c>
      <c r="C28" s="241">
        <v>555555.56000000006</v>
      </c>
      <c r="D28" s="241">
        <v>172374.63</v>
      </c>
      <c r="E28" s="241">
        <v>727930.18</v>
      </c>
      <c r="F28" s="241">
        <v>10555555.560000001</v>
      </c>
    </row>
    <row r="29" spans="2:7">
      <c r="B29" s="240">
        <v>18</v>
      </c>
      <c r="C29" s="241">
        <v>555555.56000000006</v>
      </c>
      <c r="D29" s="241">
        <v>163755.9</v>
      </c>
      <c r="E29" s="241">
        <v>719311.45</v>
      </c>
      <c r="F29" s="241">
        <v>10000000</v>
      </c>
    </row>
    <row r="30" spans="2:7">
      <c r="B30" s="240">
        <v>19</v>
      </c>
      <c r="C30" s="241">
        <v>555555.56000000006</v>
      </c>
      <c r="D30" s="241">
        <v>155137.16</v>
      </c>
      <c r="E30" s="241">
        <v>710692.72</v>
      </c>
      <c r="F30" s="241">
        <v>9444444.4399999995</v>
      </c>
    </row>
    <row r="31" spans="2:7">
      <c r="B31" s="240">
        <v>20</v>
      </c>
      <c r="C31" s="241">
        <v>555555.56000000006</v>
      </c>
      <c r="D31" s="241">
        <v>146518.43</v>
      </c>
      <c r="E31" s="241">
        <v>702073.99</v>
      </c>
      <c r="F31" s="241">
        <v>8888888.8900000006</v>
      </c>
    </row>
    <row r="32" spans="2:7">
      <c r="B32" s="240">
        <v>21</v>
      </c>
      <c r="C32" s="241">
        <v>555555.56000000006</v>
      </c>
      <c r="D32" s="241">
        <v>137899.70000000001</v>
      </c>
      <c r="E32" s="241">
        <v>693455.26</v>
      </c>
      <c r="F32" s="241">
        <v>8333333.3300000001</v>
      </c>
    </row>
    <row r="33" spans="2:6" ht="29.25" customHeight="1">
      <c r="B33" s="240">
        <v>22</v>
      </c>
      <c r="C33" s="241">
        <v>555555.56000000006</v>
      </c>
      <c r="D33" s="241">
        <v>129280.97</v>
      </c>
      <c r="E33" s="241">
        <v>684836.53</v>
      </c>
      <c r="F33" s="241">
        <v>7777777.7800000003</v>
      </c>
    </row>
    <row r="34" spans="2:6">
      <c r="B34" s="240">
        <v>23</v>
      </c>
      <c r="C34" s="241">
        <v>555555.56000000006</v>
      </c>
      <c r="D34" s="241">
        <v>120662.24</v>
      </c>
      <c r="E34" s="241">
        <v>676217.79</v>
      </c>
      <c r="F34" s="241">
        <v>7222222.2199999997</v>
      </c>
    </row>
    <row r="35" spans="2:6">
      <c r="B35" s="240">
        <v>24</v>
      </c>
      <c r="C35" s="241">
        <v>555555.56000000006</v>
      </c>
      <c r="D35" s="241">
        <v>112043.51</v>
      </c>
      <c r="E35" s="241">
        <v>667599.06000000006</v>
      </c>
      <c r="F35" s="241">
        <v>6666666.6699999999</v>
      </c>
    </row>
    <row r="36" spans="2:6">
      <c r="B36" s="240">
        <v>25</v>
      </c>
      <c r="C36" s="241">
        <v>555555.56000000006</v>
      </c>
      <c r="D36" s="241">
        <v>103424.78</v>
      </c>
      <c r="E36" s="241">
        <v>658980.32999999996</v>
      </c>
      <c r="F36" s="241">
        <v>6111111.1100000003</v>
      </c>
    </row>
    <row r="37" spans="2:6">
      <c r="B37" s="240">
        <v>26</v>
      </c>
      <c r="C37" s="241">
        <v>555555.56000000006</v>
      </c>
      <c r="D37" s="241">
        <v>94806.04</v>
      </c>
      <c r="E37" s="241">
        <v>650361.59999999998</v>
      </c>
      <c r="F37" s="241">
        <v>5555555.5599999996</v>
      </c>
    </row>
    <row r="38" spans="2:6">
      <c r="B38" s="240">
        <v>27</v>
      </c>
      <c r="C38" s="241">
        <v>555555.56000000006</v>
      </c>
      <c r="D38" s="241">
        <v>86187.31</v>
      </c>
      <c r="E38" s="241">
        <v>641742.87</v>
      </c>
      <c r="F38" s="241">
        <v>5000000</v>
      </c>
    </row>
    <row r="39" spans="2:6">
      <c r="B39" s="240">
        <v>28</v>
      </c>
      <c r="C39" s="241">
        <v>555555.56000000006</v>
      </c>
      <c r="D39" s="241">
        <v>77568.58</v>
      </c>
      <c r="E39" s="241">
        <v>633124.14</v>
      </c>
      <c r="F39" s="241">
        <v>4444444.4400000004</v>
      </c>
    </row>
    <row r="40" spans="2:6">
      <c r="B40" s="240">
        <v>29</v>
      </c>
      <c r="C40" s="241">
        <v>555555.56000000006</v>
      </c>
      <c r="D40" s="241">
        <v>68949.850000000006</v>
      </c>
      <c r="E40" s="241">
        <v>624505.41</v>
      </c>
      <c r="F40" s="241">
        <v>3888888.89</v>
      </c>
    </row>
    <row r="41" spans="2:6">
      <c r="B41" s="240">
        <v>30</v>
      </c>
      <c r="C41" s="241">
        <v>555555.56000000006</v>
      </c>
      <c r="D41" s="241">
        <v>60331.12</v>
      </c>
      <c r="E41" s="241">
        <v>615886.67000000004</v>
      </c>
      <c r="F41" s="241">
        <v>3333333.33</v>
      </c>
    </row>
    <row r="42" spans="2:6">
      <c r="B42" s="240">
        <v>31</v>
      </c>
      <c r="C42" s="241">
        <v>555555.56000000006</v>
      </c>
      <c r="D42" s="241">
        <v>51712.39</v>
      </c>
      <c r="E42" s="241">
        <v>607267.93999999994</v>
      </c>
      <c r="F42" s="241">
        <v>2777777.78</v>
      </c>
    </row>
    <row r="43" spans="2:6">
      <c r="B43" s="240">
        <v>32</v>
      </c>
      <c r="C43" s="241">
        <v>555555.56000000006</v>
      </c>
      <c r="D43" s="241">
        <v>43093.66</v>
      </c>
      <c r="E43" s="241">
        <v>598649.21</v>
      </c>
      <c r="F43" s="241">
        <v>2222222.2200000002</v>
      </c>
    </row>
    <row r="44" spans="2:6">
      <c r="B44" s="240">
        <v>33</v>
      </c>
      <c r="C44" s="241">
        <v>555555.56000000006</v>
      </c>
      <c r="D44" s="241">
        <v>34474.93</v>
      </c>
      <c r="E44" s="241">
        <v>590030.48</v>
      </c>
      <c r="F44" s="241">
        <v>1666666.67</v>
      </c>
    </row>
    <row r="45" spans="2:6">
      <c r="B45" s="240">
        <v>34</v>
      </c>
      <c r="C45" s="241">
        <v>555555.56000000006</v>
      </c>
      <c r="D45" s="241">
        <v>25856.19</v>
      </c>
      <c r="E45" s="241">
        <v>581411.75</v>
      </c>
      <c r="F45" s="241">
        <v>1111111.1100000001</v>
      </c>
    </row>
    <row r="46" spans="2:6">
      <c r="B46" s="240">
        <v>35</v>
      </c>
      <c r="C46" s="241">
        <v>555555.56000000006</v>
      </c>
      <c r="D46" s="241">
        <v>17237.46</v>
      </c>
      <c r="E46" s="241">
        <v>572793.02</v>
      </c>
      <c r="F46" s="241">
        <v>555555.56000000006</v>
      </c>
    </row>
    <row r="47" spans="2:6">
      <c r="B47" s="267">
        <v>36</v>
      </c>
      <c r="C47" s="268">
        <v>555555.56000000006</v>
      </c>
      <c r="D47" s="268">
        <v>8618.73</v>
      </c>
      <c r="E47" s="268">
        <v>564174.29</v>
      </c>
      <c r="F47" s="241">
        <v>0</v>
      </c>
    </row>
    <row r="48" spans="2:6">
      <c r="B48" s="234" t="s">
        <v>121</v>
      </c>
      <c r="C48" s="269">
        <v>20000000</v>
      </c>
      <c r="D48" s="269">
        <v>5740075.0700000003</v>
      </c>
      <c r="E48" s="269">
        <v>25740075.07</v>
      </c>
      <c r="F48" s="232"/>
    </row>
    <row r="50" spans="2:6">
      <c r="B50" s="232"/>
      <c r="C50" s="232"/>
      <c r="D50" s="232"/>
      <c r="E50" s="232"/>
      <c r="F50" s="232"/>
    </row>
    <row r="51" spans="2:6">
      <c r="B51" s="389" t="s">
        <v>508</v>
      </c>
      <c r="C51" s="389"/>
      <c r="D51" s="389"/>
      <c r="E51" s="389"/>
      <c r="F51" s="389"/>
    </row>
    <row r="52" spans="2:6">
      <c r="B52" s="233" t="s">
        <v>360</v>
      </c>
      <c r="C52" s="233" t="s">
        <v>361</v>
      </c>
      <c r="D52" s="233" t="s">
        <v>509</v>
      </c>
      <c r="E52" s="233" t="s">
        <v>362</v>
      </c>
      <c r="F52" s="233" t="s">
        <v>363</v>
      </c>
    </row>
    <row r="53" spans="2:6">
      <c r="B53" s="230">
        <v>0</v>
      </c>
      <c r="C53" s="231" t="s">
        <v>323</v>
      </c>
      <c r="D53" s="231" t="s">
        <v>323</v>
      </c>
      <c r="E53" s="231" t="s">
        <v>323</v>
      </c>
      <c r="F53" s="231" t="s">
        <v>324</v>
      </c>
    </row>
    <row r="54" spans="2:6">
      <c r="B54" s="230">
        <v>1</v>
      </c>
      <c r="C54" s="231" t="s">
        <v>325</v>
      </c>
      <c r="D54" s="231" t="s">
        <v>432</v>
      </c>
      <c r="E54" s="231" t="s">
        <v>433</v>
      </c>
      <c r="F54" s="231" t="s">
        <v>326</v>
      </c>
    </row>
    <row r="55" spans="2:6">
      <c r="B55" s="230">
        <v>2</v>
      </c>
      <c r="C55" s="231" t="s">
        <v>325</v>
      </c>
      <c r="D55" s="231" t="s">
        <v>434</v>
      </c>
      <c r="E55" s="231" t="s">
        <v>435</v>
      </c>
      <c r="F55" s="231" t="s">
        <v>327</v>
      </c>
    </row>
    <row r="56" spans="2:6">
      <c r="B56" s="230">
        <v>3</v>
      </c>
      <c r="C56" s="231" t="s">
        <v>325</v>
      </c>
      <c r="D56" s="231" t="s">
        <v>436</v>
      </c>
      <c r="E56" s="231" t="s">
        <v>437</v>
      </c>
      <c r="F56" s="231" t="s">
        <v>328</v>
      </c>
    </row>
    <row r="57" spans="2:6">
      <c r="B57" s="230">
        <v>4</v>
      </c>
      <c r="C57" s="231" t="s">
        <v>325</v>
      </c>
      <c r="D57" s="231" t="s">
        <v>438</v>
      </c>
      <c r="E57" s="231" t="s">
        <v>439</v>
      </c>
      <c r="F57" s="231" t="s">
        <v>329</v>
      </c>
    </row>
    <row r="58" spans="2:6">
      <c r="B58" s="230">
        <v>5</v>
      </c>
      <c r="C58" s="231" t="s">
        <v>325</v>
      </c>
      <c r="D58" s="231" t="s">
        <v>440</v>
      </c>
      <c r="E58" s="231" t="s">
        <v>441</v>
      </c>
      <c r="F58" s="231" t="s">
        <v>330</v>
      </c>
    </row>
    <row r="59" spans="2:6">
      <c r="B59" s="230">
        <v>6</v>
      </c>
      <c r="C59" s="231" t="s">
        <v>325</v>
      </c>
      <c r="D59" s="231" t="s">
        <v>442</v>
      </c>
      <c r="E59" s="231" t="s">
        <v>443</v>
      </c>
      <c r="F59" s="231" t="s">
        <v>331</v>
      </c>
    </row>
    <row r="60" spans="2:6">
      <c r="B60" s="230">
        <v>7</v>
      </c>
      <c r="C60" s="231" t="s">
        <v>325</v>
      </c>
      <c r="D60" s="231" t="s">
        <v>444</v>
      </c>
      <c r="E60" s="231" t="s">
        <v>445</v>
      </c>
      <c r="F60" s="231" t="s">
        <v>332</v>
      </c>
    </row>
    <row r="61" spans="2:6">
      <c r="B61" s="230">
        <v>8</v>
      </c>
      <c r="C61" s="231" t="s">
        <v>325</v>
      </c>
      <c r="D61" s="231" t="s">
        <v>446</v>
      </c>
      <c r="E61" s="231" t="s">
        <v>447</v>
      </c>
      <c r="F61" s="231" t="s">
        <v>333</v>
      </c>
    </row>
    <row r="62" spans="2:6">
      <c r="B62" s="230">
        <v>9</v>
      </c>
      <c r="C62" s="231" t="s">
        <v>325</v>
      </c>
      <c r="D62" s="231" t="s">
        <v>448</v>
      </c>
      <c r="E62" s="231" t="s">
        <v>449</v>
      </c>
      <c r="F62" s="231" t="s">
        <v>334</v>
      </c>
    </row>
    <row r="63" spans="2:6">
      <c r="B63" s="230">
        <v>10</v>
      </c>
      <c r="C63" s="231" t="s">
        <v>325</v>
      </c>
      <c r="D63" s="231" t="s">
        <v>450</v>
      </c>
      <c r="E63" s="231" t="s">
        <v>451</v>
      </c>
      <c r="F63" s="231" t="s">
        <v>335</v>
      </c>
    </row>
    <row r="64" spans="2:6">
      <c r="B64" s="230">
        <v>11</v>
      </c>
      <c r="C64" s="231" t="s">
        <v>325</v>
      </c>
      <c r="D64" s="231" t="s">
        <v>452</v>
      </c>
      <c r="E64" s="231" t="s">
        <v>453</v>
      </c>
      <c r="F64" s="231" t="s">
        <v>336</v>
      </c>
    </row>
    <row r="65" spans="2:6">
      <c r="B65" s="230">
        <v>12</v>
      </c>
      <c r="C65" s="231" t="s">
        <v>325</v>
      </c>
      <c r="D65" s="231" t="s">
        <v>454</v>
      </c>
      <c r="E65" s="231" t="s">
        <v>455</v>
      </c>
      <c r="F65" s="231" t="s">
        <v>337</v>
      </c>
    </row>
    <row r="66" spans="2:6">
      <c r="B66" s="230">
        <v>13</v>
      </c>
      <c r="C66" s="231" t="s">
        <v>325</v>
      </c>
      <c r="D66" s="231" t="s">
        <v>456</v>
      </c>
      <c r="E66" s="231" t="s">
        <v>457</v>
      </c>
      <c r="F66" s="231" t="s">
        <v>338</v>
      </c>
    </row>
    <row r="67" spans="2:6">
      <c r="B67" s="230">
        <v>14</v>
      </c>
      <c r="C67" s="231" t="s">
        <v>325</v>
      </c>
      <c r="D67" s="231" t="s">
        <v>458</v>
      </c>
      <c r="E67" s="231" t="s">
        <v>459</v>
      </c>
      <c r="F67" s="231" t="s">
        <v>339</v>
      </c>
    </row>
    <row r="68" spans="2:6">
      <c r="B68" s="230">
        <v>15</v>
      </c>
      <c r="C68" s="231" t="s">
        <v>325</v>
      </c>
      <c r="D68" s="231" t="s">
        <v>460</v>
      </c>
      <c r="E68" s="231" t="s">
        <v>461</v>
      </c>
      <c r="F68" s="231" t="s">
        <v>340</v>
      </c>
    </row>
    <row r="69" spans="2:6">
      <c r="B69" s="230">
        <v>16</v>
      </c>
      <c r="C69" s="231" t="s">
        <v>325</v>
      </c>
      <c r="D69" s="231" t="s">
        <v>462</v>
      </c>
      <c r="E69" s="231" t="s">
        <v>463</v>
      </c>
      <c r="F69" s="231" t="s">
        <v>341</v>
      </c>
    </row>
    <row r="70" spans="2:6">
      <c r="B70" s="230">
        <v>17</v>
      </c>
      <c r="C70" s="231" t="s">
        <v>325</v>
      </c>
      <c r="D70" s="231" t="s">
        <v>464</v>
      </c>
      <c r="E70" s="231" t="s">
        <v>465</v>
      </c>
      <c r="F70" s="231" t="s">
        <v>342</v>
      </c>
    </row>
    <row r="71" spans="2:6">
      <c r="B71" s="230">
        <v>18</v>
      </c>
      <c r="C71" s="231" t="s">
        <v>325</v>
      </c>
      <c r="D71" s="231" t="s">
        <v>466</v>
      </c>
      <c r="E71" s="231" t="s">
        <v>467</v>
      </c>
      <c r="F71" s="231" t="s">
        <v>343</v>
      </c>
    </row>
    <row r="72" spans="2:6">
      <c r="B72" s="230">
        <v>19</v>
      </c>
      <c r="C72" s="231" t="s">
        <v>325</v>
      </c>
      <c r="D72" s="231" t="s">
        <v>468</v>
      </c>
      <c r="E72" s="231" t="s">
        <v>469</v>
      </c>
      <c r="F72" s="231" t="s">
        <v>344</v>
      </c>
    </row>
    <row r="73" spans="2:6">
      <c r="B73" s="230">
        <v>20</v>
      </c>
      <c r="C73" s="231" t="s">
        <v>325</v>
      </c>
      <c r="D73" s="231" t="s">
        <v>470</v>
      </c>
      <c r="E73" s="231" t="s">
        <v>471</v>
      </c>
      <c r="F73" s="231" t="s">
        <v>345</v>
      </c>
    </row>
    <row r="74" spans="2:6">
      <c r="B74" s="230">
        <v>21</v>
      </c>
      <c r="C74" s="231" t="s">
        <v>325</v>
      </c>
      <c r="D74" s="231" t="s">
        <v>472</v>
      </c>
      <c r="E74" s="231" t="s">
        <v>473</v>
      </c>
      <c r="F74" s="231" t="s">
        <v>346</v>
      </c>
    </row>
    <row r="75" spans="2:6">
      <c r="B75" s="230">
        <v>22</v>
      </c>
      <c r="C75" s="231" t="s">
        <v>325</v>
      </c>
      <c r="D75" s="231" t="s">
        <v>474</v>
      </c>
      <c r="E75" s="231" t="s">
        <v>475</v>
      </c>
      <c r="F75" s="231" t="s">
        <v>347</v>
      </c>
    </row>
    <row r="76" spans="2:6">
      <c r="B76" s="230">
        <v>23</v>
      </c>
      <c r="C76" s="231" t="s">
        <v>325</v>
      </c>
      <c r="D76" s="231" t="s">
        <v>476</v>
      </c>
      <c r="E76" s="231" t="s">
        <v>477</v>
      </c>
      <c r="F76" s="231" t="s">
        <v>348</v>
      </c>
    </row>
    <row r="77" spans="2:6">
      <c r="B77" s="230">
        <v>24</v>
      </c>
      <c r="C77" s="231" t="s">
        <v>325</v>
      </c>
      <c r="D77" s="231" t="s">
        <v>478</v>
      </c>
      <c r="E77" s="231" t="s">
        <v>479</v>
      </c>
      <c r="F77" s="231" t="s">
        <v>349</v>
      </c>
    </row>
    <row r="78" spans="2:6">
      <c r="B78" s="230">
        <v>25</v>
      </c>
      <c r="C78" s="231" t="s">
        <v>325</v>
      </c>
      <c r="D78" s="231" t="s">
        <v>480</v>
      </c>
      <c r="E78" s="231" t="s">
        <v>481</v>
      </c>
      <c r="F78" s="231" t="s">
        <v>350</v>
      </c>
    </row>
    <row r="79" spans="2:6">
      <c r="B79" s="230">
        <v>26</v>
      </c>
      <c r="C79" s="231" t="s">
        <v>325</v>
      </c>
      <c r="D79" s="231" t="s">
        <v>482</v>
      </c>
      <c r="E79" s="231" t="s">
        <v>483</v>
      </c>
      <c r="F79" s="231" t="s">
        <v>351</v>
      </c>
    </row>
    <row r="80" spans="2:6">
      <c r="B80" s="230">
        <v>27</v>
      </c>
      <c r="C80" s="231" t="s">
        <v>325</v>
      </c>
      <c r="D80" s="231" t="s">
        <v>484</v>
      </c>
      <c r="E80" s="231" t="s">
        <v>485</v>
      </c>
      <c r="F80" s="231" t="s">
        <v>352</v>
      </c>
    </row>
    <row r="81" spans="2:6">
      <c r="B81" s="230">
        <v>28</v>
      </c>
      <c r="C81" s="231" t="s">
        <v>325</v>
      </c>
      <c r="D81" s="231" t="s">
        <v>486</v>
      </c>
      <c r="E81" s="231" t="s">
        <v>487</v>
      </c>
      <c r="F81" s="231" t="s">
        <v>353</v>
      </c>
    </row>
    <row r="82" spans="2:6">
      <c r="B82" s="230">
        <v>29</v>
      </c>
      <c r="C82" s="231" t="s">
        <v>325</v>
      </c>
      <c r="D82" s="231" t="s">
        <v>488</v>
      </c>
      <c r="E82" s="231" t="s">
        <v>489</v>
      </c>
      <c r="F82" s="231" t="s">
        <v>354</v>
      </c>
    </row>
    <row r="83" spans="2:6">
      <c r="B83" s="230">
        <v>30</v>
      </c>
      <c r="C83" s="231" t="s">
        <v>325</v>
      </c>
      <c r="D83" s="231" t="s">
        <v>490</v>
      </c>
      <c r="E83" s="231" t="s">
        <v>491</v>
      </c>
      <c r="F83" s="231" t="s">
        <v>355</v>
      </c>
    </row>
    <row r="84" spans="2:6">
      <c r="B84" s="230">
        <v>31</v>
      </c>
      <c r="C84" s="231" t="s">
        <v>325</v>
      </c>
      <c r="D84" s="231" t="s">
        <v>492</v>
      </c>
      <c r="E84" s="231" t="s">
        <v>493</v>
      </c>
      <c r="F84" s="231" t="s">
        <v>356</v>
      </c>
    </row>
    <row r="85" spans="2:6">
      <c r="B85" s="230">
        <v>32</v>
      </c>
      <c r="C85" s="231" t="s">
        <v>325</v>
      </c>
      <c r="D85" s="231" t="s">
        <v>494</v>
      </c>
      <c r="E85" s="231" t="s">
        <v>495</v>
      </c>
      <c r="F85" s="231" t="s">
        <v>357</v>
      </c>
    </row>
    <row r="86" spans="2:6">
      <c r="B86" s="230">
        <v>33</v>
      </c>
      <c r="C86" s="231" t="s">
        <v>325</v>
      </c>
      <c r="D86" s="231" t="s">
        <v>496</v>
      </c>
      <c r="E86" s="231" t="s">
        <v>497</v>
      </c>
      <c r="F86" s="231" t="s">
        <v>358</v>
      </c>
    </row>
    <row r="87" spans="2:6">
      <c r="B87" s="230">
        <v>34</v>
      </c>
      <c r="C87" s="231" t="s">
        <v>325</v>
      </c>
      <c r="D87" s="231" t="s">
        <v>498</v>
      </c>
      <c r="E87" s="231" t="s">
        <v>499</v>
      </c>
      <c r="F87" s="231" t="s">
        <v>359</v>
      </c>
    </row>
    <row r="88" spans="2:6">
      <c r="B88" s="230">
        <v>35</v>
      </c>
      <c r="C88" s="231" t="s">
        <v>325</v>
      </c>
      <c r="D88" s="231" t="s">
        <v>500</v>
      </c>
      <c r="E88" s="231" t="s">
        <v>501</v>
      </c>
      <c r="F88" s="231" t="s">
        <v>325</v>
      </c>
    </row>
    <row r="89" spans="2:6">
      <c r="B89" s="230">
        <v>36</v>
      </c>
      <c r="C89" s="231" t="s">
        <v>325</v>
      </c>
      <c r="D89" s="231" t="s">
        <v>502</v>
      </c>
      <c r="E89" s="231" t="s">
        <v>503</v>
      </c>
      <c r="F89" s="231" t="s">
        <v>323</v>
      </c>
    </row>
    <row r="90" spans="2:6">
      <c r="B90" s="234" t="s">
        <v>121</v>
      </c>
      <c r="C90" s="235" t="s">
        <v>324</v>
      </c>
      <c r="D90" s="236" t="s">
        <v>504</v>
      </c>
      <c r="E90" s="236" t="s">
        <v>505</v>
      </c>
      <c r="F90" s="232"/>
    </row>
  </sheetData>
  <mergeCells count="2">
    <mergeCell ref="B9:F9"/>
    <mergeCell ref="B51:F51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4:N104"/>
  <sheetViews>
    <sheetView topLeftCell="C1" zoomScale="85" zoomScaleNormal="85" workbookViewId="0">
      <selection activeCell="F53" sqref="F53"/>
    </sheetView>
  </sheetViews>
  <sheetFormatPr baseColWidth="10" defaultColWidth="9.140625" defaultRowHeight="15"/>
  <cols>
    <col min="1" max="1" width="33.28515625" bestFit="1" customWidth="1"/>
    <col min="2" max="2" width="18.85546875" customWidth="1"/>
    <col min="3" max="3" width="17.5703125" bestFit="1" customWidth="1"/>
    <col min="4" max="5" width="16.28515625" bestFit="1" customWidth="1"/>
    <col min="6" max="6" width="19.5703125" bestFit="1" customWidth="1"/>
    <col min="7" max="7" width="18.5703125" customWidth="1"/>
    <col min="8" max="8" width="18.85546875" customWidth="1"/>
    <col min="9" max="9" width="19.85546875" customWidth="1"/>
    <col min="10" max="10" width="18.28515625" customWidth="1"/>
    <col min="11" max="11" width="20.140625" customWidth="1"/>
    <col min="12" max="12" width="19" customWidth="1"/>
    <col min="14" max="14" width="15.28515625" bestFit="1" customWidth="1"/>
  </cols>
  <sheetData>
    <row r="4" spans="1:12">
      <c r="A4" s="393" t="s">
        <v>378</v>
      </c>
      <c r="B4" s="394"/>
      <c r="C4" s="394"/>
      <c r="D4" s="394"/>
      <c r="E4" s="394"/>
      <c r="F4" s="394"/>
      <c r="G4" s="394"/>
      <c r="H4" s="394"/>
      <c r="I4" s="394"/>
      <c r="J4" s="394"/>
      <c r="K4" s="394"/>
      <c r="L4" s="395"/>
    </row>
    <row r="5" spans="1:12">
      <c r="A5" s="2"/>
      <c r="B5" s="390" t="s">
        <v>369</v>
      </c>
      <c r="C5" s="391"/>
      <c r="D5" s="391"/>
      <c r="E5" s="391"/>
      <c r="F5" s="391"/>
      <c r="G5" s="391"/>
      <c r="H5" s="391"/>
      <c r="I5" s="391"/>
      <c r="J5" s="391"/>
      <c r="K5" s="391"/>
      <c r="L5" s="392"/>
    </row>
    <row r="6" spans="1:12">
      <c r="A6" s="206"/>
      <c r="B6" s="186">
        <v>0</v>
      </c>
      <c r="C6" s="186">
        <v>1</v>
      </c>
      <c r="D6" s="186">
        <v>2</v>
      </c>
      <c r="E6" s="186">
        <v>3</v>
      </c>
      <c r="F6" s="186">
        <v>4</v>
      </c>
      <c r="G6" s="186">
        <v>5</v>
      </c>
      <c r="H6" s="186">
        <v>6</v>
      </c>
      <c r="I6" s="186">
        <v>7</v>
      </c>
      <c r="J6" s="186">
        <v>8</v>
      </c>
      <c r="K6" s="186">
        <v>9</v>
      </c>
      <c r="L6" s="186">
        <v>10</v>
      </c>
    </row>
    <row r="7" spans="1:12">
      <c r="A7" s="184" t="s">
        <v>368</v>
      </c>
      <c r="B7" s="92"/>
      <c r="C7" s="254"/>
      <c r="D7" s="92"/>
      <c r="E7" s="92"/>
      <c r="F7" s="92"/>
      <c r="G7" s="92"/>
      <c r="H7" s="92"/>
      <c r="I7" s="92"/>
      <c r="J7" s="92"/>
      <c r="K7" s="92"/>
      <c r="L7" s="92"/>
    </row>
    <row r="8" spans="1:12">
      <c r="A8" s="206" t="s">
        <v>379</v>
      </c>
      <c r="B8" s="50">
        <f>'Estimacion de ingresos'!B25</f>
        <v>0</v>
      </c>
      <c r="C8" s="255">
        <f>'Estimacion de ingresos'!C25</f>
        <v>205682353.7885797</v>
      </c>
      <c r="D8" s="50">
        <f>'Estimacion de ingresos'!D25</f>
        <v>213909647.9401229</v>
      </c>
      <c r="E8" s="50">
        <f>'Estimacion de ingresos'!E25</f>
        <v>222466033.85772783</v>
      </c>
      <c r="F8" s="50">
        <f>'Estimacion de ingresos'!F25</f>
        <v>231364675.21203694</v>
      </c>
      <c r="G8" s="50">
        <f>'Estimacion de ingresos'!G25</f>
        <v>240619262.22051841</v>
      </c>
      <c r="H8" s="50">
        <f>'Estimacion de ingresos'!H25</f>
        <v>250244032.70933914</v>
      </c>
      <c r="I8" s="50">
        <f>'Estimacion de ingresos'!I25</f>
        <v>260253794.01771271</v>
      </c>
      <c r="J8" s="50">
        <f>'Estimacion de ingresos'!J25</f>
        <v>270663945.77842122</v>
      </c>
      <c r="K8" s="50">
        <f>'Estimacion de ingresos'!K25</f>
        <v>281490503.60955811</v>
      </c>
      <c r="L8" s="50">
        <f>'Estimacion de ingresos'!L25</f>
        <v>292750123.75394046</v>
      </c>
    </row>
    <row r="9" spans="1:12">
      <c r="A9" s="206" t="s">
        <v>380</v>
      </c>
      <c r="B9" s="50">
        <f>'Estimacion de ingresos'!B26</f>
        <v>0</v>
      </c>
      <c r="C9" s="255">
        <f>'Estimacion de ingresos'!D26</f>
        <v>3328000</v>
      </c>
      <c r="D9" s="50">
        <f>'Estimacion de ingresos'!E26</f>
        <v>3461120</v>
      </c>
      <c r="E9" s="50">
        <f>'Estimacion de ingresos'!F26</f>
        <v>3599564.8000000003</v>
      </c>
      <c r="F9" s="50">
        <f>'Estimacion de ingresos'!G26</f>
        <v>3743547.3920000005</v>
      </c>
      <c r="G9" s="50">
        <f>'Estimacion de ingresos'!H26</f>
        <v>3893289.2876800005</v>
      </c>
      <c r="H9" s="50">
        <f>'Estimacion de ingresos'!I26</f>
        <v>4049020.8591872007</v>
      </c>
      <c r="I9" s="50">
        <f>'Estimacion de ingresos'!J26</f>
        <v>4210981.6935546892</v>
      </c>
      <c r="J9" s="50">
        <f>'Estimacion de ingresos'!K26</f>
        <v>4379420.9612968769</v>
      </c>
      <c r="K9" s="50">
        <f>'Estimacion de ingresos'!L26</f>
        <v>4554597.7997487523</v>
      </c>
      <c r="L9" s="50">
        <f>'Estimacion de ingresos'!M27</f>
        <v>4736781.7117387028</v>
      </c>
    </row>
    <row r="10" spans="1:12">
      <c r="A10" s="228" t="s">
        <v>370</v>
      </c>
      <c r="B10" s="229">
        <f t="shared" ref="B10:L10" si="0">SUM(B8:B9)</f>
        <v>0</v>
      </c>
      <c r="C10" s="257">
        <f t="shared" si="0"/>
        <v>209010353.7885797</v>
      </c>
      <c r="D10" s="229">
        <f t="shared" si="0"/>
        <v>217370767.9401229</v>
      </c>
      <c r="E10" s="229">
        <f t="shared" si="0"/>
        <v>226065598.65772784</v>
      </c>
      <c r="F10" s="229">
        <f t="shared" si="0"/>
        <v>235108222.60403693</v>
      </c>
      <c r="G10" s="229">
        <f t="shared" si="0"/>
        <v>244512551.50819841</v>
      </c>
      <c r="H10" s="229">
        <f t="shared" si="0"/>
        <v>254293053.56852633</v>
      </c>
      <c r="I10" s="229">
        <f t="shared" si="0"/>
        <v>264464775.71126741</v>
      </c>
      <c r="J10" s="229">
        <f t="shared" si="0"/>
        <v>275043366.73971808</v>
      </c>
      <c r="K10" s="229">
        <f t="shared" si="0"/>
        <v>286045101.40930688</v>
      </c>
      <c r="L10" s="229">
        <f t="shared" si="0"/>
        <v>297486905.46567917</v>
      </c>
    </row>
    <row r="11" spans="1:12">
      <c r="A11" s="249" t="s">
        <v>381</v>
      </c>
      <c r="B11" s="92"/>
      <c r="C11" s="254"/>
      <c r="D11" s="92"/>
      <c r="E11" s="92"/>
      <c r="F11" s="92"/>
      <c r="G11" s="92"/>
      <c r="H11" s="92"/>
      <c r="I11" s="92"/>
      <c r="J11" s="92"/>
      <c r="K11" s="92"/>
      <c r="L11" s="92"/>
    </row>
    <row r="12" spans="1:12">
      <c r="A12" s="206" t="s">
        <v>272</v>
      </c>
      <c r="B12" s="50">
        <f>'Costo operacion'!G10</f>
        <v>0</v>
      </c>
      <c r="C12" s="255">
        <f>'Costo operacion'!H10</f>
        <v>159172800</v>
      </c>
      <c r="D12" s="50">
        <f>'Costo operacion'!I10</f>
        <v>165539712</v>
      </c>
      <c r="E12" s="50">
        <f>'Costo operacion'!J10</f>
        <v>172161300.48000002</v>
      </c>
      <c r="F12" s="50">
        <f>'Costo operacion'!K10</f>
        <v>179047752.49920002</v>
      </c>
      <c r="G12" s="50">
        <f>'Costo operacion'!L10</f>
        <v>186209662.59916803</v>
      </c>
      <c r="H12" s="50">
        <f>'Costo operacion'!M10</f>
        <v>193658049.10313475</v>
      </c>
      <c r="I12" s="50">
        <f>'Costo operacion'!N10</f>
        <v>201404371.06726015</v>
      </c>
      <c r="J12" s="50">
        <f>'Costo operacion'!O10</f>
        <v>209460545.90995058</v>
      </c>
      <c r="K12" s="50">
        <f>'Costo operacion'!P10</f>
        <v>217838967.74634859</v>
      </c>
      <c r="L12" s="50">
        <f>'Costo operacion'!Q10</f>
        <v>226552526.45620254</v>
      </c>
    </row>
    <row r="13" spans="1:12">
      <c r="A13" s="206" t="s">
        <v>382</v>
      </c>
      <c r="B13" s="50">
        <f>'Costo operacion'!G15</f>
        <v>0</v>
      </c>
      <c r="C13" s="255">
        <f>'Costo operacion'!H15</f>
        <v>5825814.5820000004</v>
      </c>
      <c r="D13" s="50">
        <f>'Costo operacion'!I15</f>
        <v>5825814.5820000004</v>
      </c>
      <c r="E13" s="50">
        <f>'Costo operacion'!J15</f>
        <v>5825814.5820000004</v>
      </c>
      <c r="F13" s="50">
        <f>'Costo operacion'!K15</f>
        <v>5825814.5820000004</v>
      </c>
      <c r="G13" s="50">
        <f>'Costo operacion'!L15</f>
        <v>5825814.5820000004</v>
      </c>
      <c r="H13" s="50">
        <f>'Costo operacion'!M15</f>
        <v>5825814.5820000004</v>
      </c>
      <c r="I13" s="50">
        <f>'Costo operacion'!N15</f>
        <v>8025814.5820000004</v>
      </c>
      <c r="J13" s="50">
        <f>'Costo operacion'!O15</f>
        <v>8025814.5820000004</v>
      </c>
      <c r="K13" s="50">
        <f>'Costo operacion'!P15</f>
        <v>8025814.5820000004</v>
      </c>
      <c r="L13" s="50">
        <f>'Costo operacion'!Q15</f>
        <v>8025814.5820000004</v>
      </c>
    </row>
    <row r="14" spans="1:12">
      <c r="A14" s="206" t="s">
        <v>371</v>
      </c>
      <c r="B14" s="50">
        <f>'Costo operacion'!G18</f>
        <v>0</v>
      </c>
      <c r="C14" s="255">
        <f>'Costo operacion'!H18</f>
        <v>33582220</v>
      </c>
      <c r="D14" s="50">
        <f>'Costo operacion'!I18</f>
        <v>34905695.200000003</v>
      </c>
      <c r="E14" s="50">
        <f>'Costo operacion'!J18</f>
        <v>36282109.408</v>
      </c>
      <c r="F14" s="50">
        <f>'Costo operacion'!K18</f>
        <v>37713580.184320003</v>
      </c>
      <c r="G14" s="50">
        <f>'Costo operacion'!L18</f>
        <v>39202309.791692808</v>
      </c>
      <c r="H14" s="50">
        <f>'Costo operacion'!M18</f>
        <v>40503448.583360523</v>
      </c>
      <c r="I14" s="50">
        <f>'Costo operacion'!N18</f>
        <v>42113658.526694939</v>
      </c>
      <c r="J14" s="50">
        <f>'Costo operacion'!O18</f>
        <v>43788276.867762744</v>
      </c>
      <c r="K14" s="50">
        <f>'Costo operacion'!P18</f>
        <v>45529879.942473255</v>
      </c>
      <c r="L14" s="50">
        <f>'Costo operacion'!Q18</f>
        <v>47341147.140172184</v>
      </c>
    </row>
    <row r="15" spans="1:12">
      <c r="A15" s="206" t="s">
        <v>281</v>
      </c>
      <c r="B15" s="50">
        <f>'Costo operacion'!G22</f>
        <v>0</v>
      </c>
      <c r="C15" s="255">
        <f>'Costo operacion'!H22</f>
        <v>500000</v>
      </c>
      <c r="D15" s="50">
        <f>'Costo operacion'!I22</f>
        <v>500000</v>
      </c>
      <c r="E15" s="50">
        <f>'Costo operacion'!J22</f>
        <v>500000</v>
      </c>
      <c r="F15" s="50">
        <f>'Costo operacion'!K22</f>
        <v>500000</v>
      </c>
      <c r="G15" s="50">
        <f>'Costo operacion'!L22</f>
        <v>500000</v>
      </c>
      <c r="H15" s="50">
        <f>'Costo operacion'!M22</f>
        <v>500000</v>
      </c>
      <c r="I15" s="50">
        <f>'Costo operacion'!N22</f>
        <v>500000</v>
      </c>
      <c r="J15" s="50">
        <f>'Costo operacion'!O22</f>
        <v>500000</v>
      </c>
      <c r="K15" s="50">
        <f>'Costo operacion'!P22</f>
        <v>500000</v>
      </c>
      <c r="L15" s="50">
        <f>'Costo operacion'!Q22</f>
        <v>500000</v>
      </c>
    </row>
    <row r="16" spans="1:12">
      <c r="A16" s="228" t="s">
        <v>383</v>
      </c>
      <c r="B16" s="229">
        <f>SUM(B12:B15)</f>
        <v>0</v>
      </c>
      <c r="C16" s="257">
        <f>SUM(C12:C15)</f>
        <v>199080834.58199999</v>
      </c>
      <c r="D16" s="229">
        <f t="shared" ref="D16:L16" si="1">SUM(D12:D15)</f>
        <v>206771221.78200001</v>
      </c>
      <c r="E16" s="229">
        <f t="shared" si="1"/>
        <v>214769224.47</v>
      </c>
      <c r="F16" s="229">
        <f t="shared" si="1"/>
        <v>223087147.26552001</v>
      </c>
      <c r="G16" s="229">
        <f t="shared" si="1"/>
        <v>231737786.97286081</v>
      </c>
      <c r="H16" s="229">
        <f t="shared" si="1"/>
        <v>240487312.26849526</v>
      </c>
      <c r="I16" s="229">
        <f t="shared" si="1"/>
        <v>252043844.17595506</v>
      </c>
      <c r="J16" s="229">
        <f t="shared" si="1"/>
        <v>261774637.35971332</v>
      </c>
      <c r="K16" s="229">
        <f t="shared" si="1"/>
        <v>271894662.27082181</v>
      </c>
      <c r="L16" s="229">
        <f t="shared" si="1"/>
        <v>282419488.17837471</v>
      </c>
    </row>
    <row r="17" spans="1:14">
      <c r="A17" s="184" t="s">
        <v>384</v>
      </c>
      <c r="B17" s="92"/>
      <c r="C17" s="254"/>
      <c r="D17" s="92"/>
      <c r="E17" s="92"/>
      <c r="F17" s="92"/>
      <c r="G17" s="92"/>
      <c r="H17" s="92"/>
      <c r="I17" s="92"/>
      <c r="J17" s="92"/>
      <c r="K17" s="92"/>
      <c r="L17" s="92"/>
    </row>
    <row r="18" spans="1:14">
      <c r="A18" s="206" t="s">
        <v>309</v>
      </c>
      <c r="B18" s="50">
        <f>-Inversion!B3</f>
        <v>-24214745.82</v>
      </c>
      <c r="C18" s="255">
        <f>-Inversion!C3</f>
        <v>0</v>
      </c>
      <c r="D18" s="50">
        <f>-Inversion!D3</f>
        <v>0</v>
      </c>
      <c r="E18" s="50">
        <f>-Inversion!E3</f>
        <v>0</v>
      </c>
      <c r="F18" s="50">
        <f>-Inversion!F3</f>
        <v>0</v>
      </c>
      <c r="G18" s="50">
        <f>-Inversion!G3</f>
        <v>0</v>
      </c>
      <c r="H18" s="50">
        <f>-Inversion!H3</f>
        <v>-1856600</v>
      </c>
      <c r="I18" s="50">
        <f>-Inversion!I3</f>
        <v>0</v>
      </c>
      <c r="J18" s="50">
        <f>-Inversion!J3</f>
        <v>-11000000</v>
      </c>
      <c r="K18" s="50">
        <f>-Inversion!K3</f>
        <v>0</v>
      </c>
      <c r="L18" s="50">
        <f>-Inversion!L3</f>
        <v>0</v>
      </c>
    </row>
    <row r="19" spans="1:14">
      <c r="A19" s="206" t="s">
        <v>310</v>
      </c>
      <c r="B19" s="50">
        <f>-Inversion!B12</f>
        <v>-150000</v>
      </c>
      <c r="C19" s="255">
        <f>-Inversion!C12</f>
        <v>0</v>
      </c>
      <c r="D19" s="50">
        <f>-Inversion!D12</f>
        <v>0</v>
      </c>
      <c r="E19" s="50">
        <f>-Inversion!E12</f>
        <v>0</v>
      </c>
      <c r="F19" s="50">
        <f>-Inversion!F12</f>
        <v>0</v>
      </c>
      <c r="G19" s="50">
        <f>-Inversion!G12</f>
        <v>0</v>
      </c>
      <c r="H19" s="50">
        <f>-Inversion!H12</f>
        <v>0</v>
      </c>
      <c r="I19" s="50">
        <f>-Inversion!I12</f>
        <v>0</v>
      </c>
      <c r="J19" s="50">
        <f>-Inversion!J12</f>
        <v>0</v>
      </c>
      <c r="K19" s="50">
        <f>-Inversion!K12</f>
        <v>0</v>
      </c>
      <c r="L19" s="50">
        <f>-Inversion!L12</f>
        <v>0</v>
      </c>
    </row>
    <row r="20" spans="1:14">
      <c r="A20" s="206" t="s">
        <v>116</v>
      </c>
      <c r="B20" s="50">
        <f>-Inversion!B14</f>
        <v>-2414250</v>
      </c>
      <c r="C20" s="255">
        <f>-Inversion!C14</f>
        <v>0</v>
      </c>
      <c r="D20" s="50">
        <f>-Inversion!D14</f>
        <v>0</v>
      </c>
      <c r="E20" s="50">
        <f>-Inversion!E14</f>
        <v>0</v>
      </c>
      <c r="F20" s="50">
        <f>-Inversion!F14</f>
        <v>0</v>
      </c>
      <c r="G20" s="50">
        <f>-Inversion!G14</f>
        <v>0</v>
      </c>
      <c r="H20" s="50">
        <f>-Inversion!H14</f>
        <v>0</v>
      </c>
      <c r="I20" s="50">
        <f>-Inversion!I14</f>
        <v>0</v>
      </c>
      <c r="J20" s="50">
        <f>-Inversion!J14</f>
        <v>0</v>
      </c>
      <c r="K20" s="50">
        <f>-Inversion!K14</f>
        <v>0</v>
      </c>
      <c r="L20" s="50">
        <f>-Inversion!L14</f>
        <v>0</v>
      </c>
    </row>
    <row r="21" spans="1:14">
      <c r="A21" s="206" t="s">
        <v>372</v>
      </c>
      <c r="B21" s="50">
        <f>-Inversion!B17</f>
        <v>-5000000</v>
      </c>
      <c r="C21" s="255">
        <f>-Inversion!C17</f>
        <v>0</v>
      </c>
      <c r="D21" s="50">
        <f>-Inversion!D17</f>
        <v>0</v>
      </c>
      <c r="E21" s="50">
        <f>-Inversion!E17</f>
        <v>0</v>
      </c>
      <c r="F21" s="50">
        <f>-Inversion!F17</f>
        <v>0</v>
      </c>
      <c r="G21" s="50">
        <f>-Inversion!G17</f>
        <v>0</v>
      </c>
      <c r="H21" s="50">
        <f>-Inversion!H17</f>
        <v>0</v>
      </c>
      <c r="I21" s="50">
        <f>-Inversion!I17</f>
        <v>0</v>
      </c>
      <c r="J21" s="50">
        <f>-Inversion!J17</f>
        <v>0</v>
      </c>
      <c r="K21" s="50">
        <f>-Inversion!K17</f>
        <v>0</v>
      </c>
      <c r="L21" s="50">
        <f>-Inversion!L17</f>
        <v>0</v>
      </c>
      <c r="N21" s="189">
        <f>J18-H18</f>
        <v>-9143400</v>
      </c>
    </row>
    <row r="22" spans="1:14">
      <c r="A22" s="250" t="s">
        <v>311</v>
      </c>
      <c r="B22" s="50">
        <f>-Inversion!B19</f>
        <v>0</v>
      </c>
      <c r="C22" s="255">
        <f>-Inversion!C19</f>
        <v>0</v>
      </c>
      <c r="D22" s="50">
        <f>-Inversion!D19</f>
        <v>0</v>
      </c>
      <c r="E22" s="50">
        <f>-Inversion!E19</f>
        <v>0</v>
      </c>
      <c r="F22" s="50">
        <f>-Inversion!F19</f>
        <v>0</v>
      </c>
      <c r="G22" s="50">
        <f>-Inversion!G19</f>
        <v>0</v>
      </c>
      <c r="H22" s="50">
        <f>-Inversion!H19</f>
        <v>0</v>
      </c>
      <c r="I22" s="50">
        <f>-Inversion!I19</f>
        <v>0</v>
      </c>
      <c r="J22" s="50">
        <f>-Inversion!J19</f>
        <v>0</v>
      </c>
      <c r="K22" s="50">
        <f>-Inversion!K19</f>
        <v>0</v>
      </c>
      <c r="L22" s="50">
        <f>-Inversion!L19</f>
        <v>0</v>
      </c>
    </row>
    <row r="23" spans="1:14">
      <c r="A23" s="228" t="s">
        <v>385</v>
      </c>
      <c r="B23" s="229">
        <f>SUM(B18:B22)</f>
        <v>-31778995.82</v>
      </c>
      <c r="C23" s="257">
        <f t="shared" ref="C23:L23" si="2">SUM(C18:C22)</f>
        <v>0</v>
      </c>
      <c r="D23" s="229">
        <f t="shared" si="2"/>
        <v>0</v>
      </c>
      <c r="E23" s="229">
        <f t="shared" si="2"/>
        <v>0</v>
      </c>
      <c r="F23" s="229">
        <f t="shared" si="2"/>
        <v>0</v>
      </c>
      <c r="G23" s="229">
        <f t="shared" si="2"/>
        <v>0</v>
      </c>
      <c r="H23" s="229">
        <f t="shared" si="2"/>
        <v>-1856600</v>
      </c>
      <c r="I23" s="229">
        <f t="shared" si="2"/>
        <v>0</v>
      </c>
      <c r="J23" s="229">
        <f t="shared" si="2"/>
        <v>-11000000</v>
      </c>
      <c r="K23" s="229">
        <f t="shared" si="2"/>
        <v>0</v>
      </c>
      <c r="L23" s="229">
        <f t="shared" si="2"/>
        <v>0</v>
      </c>
    </row>
    <row r="24" spans="1:14">
      <c r="A24" s="252" t="s">
        <v>373</v>
      </c>
      <c r="B24" s="253">
        <f>B10-B16+B23</f>
        <v>-31778995.82</v>
      </c>
      <c r="C24" s="256">
        <f>C10-(C16+C23)</f>
        <v>9929519.206579715</v>
      </c>
      <c r="D24" s="253">
        <f>D10-D16-D23</f>
        <v>10599546.158122897</v>
      </c>
      <c r="E24" s="253">
        <f t="shared" ref="E24:L24" si="3">E10-E16+E23</f>
        <v>11296374.187727839</v>
      </c>
      <c r="F24" s="253">
        <f t="shared" si="3"/>
        <v>12021075.338516921</v>
      </c>
      <c r="G24" s="253">
        <f t="shared" si="3"/>
        <v>12774764.535337597</v>
      </c>
      <c r="H24" s="253">
        <f t="shared" si="3"/>
        <v>11949141.300031066</v>
      </c>
      <c r="I24" s="253">
        <f t="shared" si="3"/>
        <v>12420931.535312355</v>
      </c>
      <c r="J24" s="253">
        <f t="shared" si="3"/>
        <v>2268729.3800047636</v>
      </c>
      <c r="K24" s="253">
        <f t="shared" si="3"/>
        <v>14150439.138485074</v>
      </c>
      <c r="L24" s="253">
        <f t="shared" si="3"/>
        <v>15067417.287304461</v>
      </c>
    </row>
    <row r="25" spans="1:14">
      <c r="A25" s="8" t="s">
        <v>374</v>
      </c>
      <c r="B25" s="50">
        <v>0</v>
      </c>
      <c r="C25" s="255">
        <f>C24*0.34</f>
        <v>3376036.5302371033</v>
      </c>
      <c r="D25" s="50">
        <f>D24*0.34</f>
        <v>3603845.6937617855</v>
      </c>
      <c r="E25" s="50">
        <f t="shared" ref="E25:L25" si="4">E24*0.34</f>
        <v>3840767.2238274654</v>
      </c>
      <c r="F25" s="50">
        <f t="shared" si="4"/>
        <v>4087165.6150957532</v>
      </c>
      <c r="G25" s="50">
        <f t="shared" si="4"/>
        <v>4343419.9420147836</v>
      </c>
      <c r="H25" s="50">
        <f t="shared" si="4"/>
        <v>4062708.0420105625</v>
      </c>
      <c r="I25" s="50">
        <f t="shared" si="4"/>
        <v>4223116.7220062008</v>
      </c>
      <c r="J25" s="50">
        <f t="shared" si="4"/>
        <v>771367.98920161964</v>
      </c>
      <c r="K25" s="50">
        <f t="shared" si="4"/>
        <v>4811149.3070849255</v>
      </c>
      <c r="L25" s="50">
        <f t="shared" si="4"/>
        <v>5122921.8776835175</v>
      </c>
    </row>
    <row r="26" spans="1:14">
      <c r="A26" s="8" t="s">
        <v>386</v>
      </c>
      <c r="B26" s="50">
        <f>'Depreciacion equipos'!B29</f>
        <v>0</v>
      </c>
      <c r="C26" s="255">
        <f>'Depreciacion equipos'!C29</f>
        <v>2721154.5820000004</v>
      </c>
      <c r="D26" s="50">
        <f>'Depreciacion equipos'!D29</f>
        <v>2721154.5820000004</v>
      </c>
      <c r="E26" s="50">
        <f>'Depreciacion equipos'!E29</f>
        <v>2721154.5820000004</v>
      </c>
      <c r="F26" s="50">
        <f>'Depreciacion equipos'!F29</f>
        <v>2721154.5820000004</v>
      </c>
      <c r="G26" s="50">
        <f>'Depreciacion equipos'!G29</f>
        <v>2721154.5820000004</v>
      </c>
      <c r="H26" s="50">
        <f>'Depreciacion equipos'!H29</f>
        <v>2474014.5820000004</v>
      </c>
      <c r="I26" s="50">
        <f>'Depreciacion equipos'!I29</f>
        <v>4674014.5820000004</v>
      </c>
      <c r="J26" s="50">
        <f>'Depreciacion equipos'!J29</f>
        <v>4674014.5820000004</v>
      </c>
      <c r="K26" s="50">
        <f>'Depreciacion equipos'!K29</f>
        <v>4674014.5820000004</v>
      </c>
      <c r="L26" s="50">
        <f>'Depreciacion equipos'!L29</f>
        <v>4674014.5820000004</v>
      </c>
    </row>
    <row r="27" spans="1:14">
      <c r="A27" s="9" t="s">
        <v>375</v>
      </c>
      <c r="B27" s="193">
        <f>B24-B25+B26</f>
        <v>-31778995.82</v>
      </c>
      <c r="C27" s="193">
        <f>C24-C25+C26</f>
        <v>9274637.2583426125</v>
      </c>
      <c r="D27" s="193">
        <f t="shared" ref="D27:L27" si="5">D24-D25+D26</f>
        <v>9716855.0463611111</v>
      </c>
      <c r="E27" s="193">
        <f t="shared" si="5"/>
        <v>10176761.545900375</v>
      </c>
      <c r="F27" s="193">
        <f t="shared" si="5"/>
        <v>10655064.305421168</v>
      </c>
      <c r="G27" s="193">
        <f t="shared" si="5"/>
        <v>11152499.175322814</v>
      </c>
      <c r="H27" s="193">
        <f t="shared" si="5"/>
        <v>10360447.840020504</v>
      </c>
      <c r="I27" s="193">
        <f t="shared" si="5"/>
        <v>12871829.395306155</v>
      </c>
      <c r="J27" s="193">
        <f t="shared" si="5"/>
        <v>6171375.9728031438</v>
      </c>
      <c r="K27" s="193">
        <f t="shared" si="5"/>
        <v>14013304.413400149</v>
      </c>
      <c r="L27" s="193">
        <f t="shared" si="5"/>
        <v>14618509.991620945</v>
      </c>
    </row>
    <row r="28" spans="1:14">
      <c r="A28" s="8" t="s">
        <v>405</v>
      </c>
      <c r="B28" s="239">
        <f>'Optimista vpn y tir'!D15</f>
        <v>18545365.636959996</v>
      </c>
    </row>
    <row r="29" spans="1:14">
      <c r="A29" s="166" t="s">
        <v>377</v>
      </c>
      <c r="B29" s="303">
        <f>IRR(B27:L27)</f>
        <v>0.29789570932837961</v>
      </c>
    </row>
    <row r="31" spans="1:14">
      <c r="B31" s="189">
        <f>-Inversion!B21</f>
        <v>-31778995.82</v>
      </c>
      <c r="C31" s="189">
        <f>B31+C24</f>
        <v>-21849476.613420285</v>
      </c>
      <c r="D31" s="189">
        <f>C31+D24</f>
        <v>-11249930.455297388</v>
      </c>
      <c r="E31" s="189">
        <f>D31+E24</f>
        <v>46443.732430450618</v>
      </c>
      <c r="F31" s="189">
        <f t="shared" ref="F31:L31" si="6">E31+F24</f>
        <v>12067519.070947371</v>
      </c>
      <c r="G31" s="189">
        <f t="shared" si="6"/>
        <v>24842283.606284969</v>
      </c>
      <c r="H31" s="189">
        <f t="shared" si="6"/>
        <v>36791424.906316034</v>
      </c>
      <c r="I31" s="189">
        <f t="shared" si="6"/>
        <v>49212356.441628389</v>
      </c>
      <c r="J31" s="189">
        <f t="shared" si="6"/>
        <v>51481085.821633153</v>
      </c>
      <c r="K31" s="189">
        <f t="shared" si="6"/>
        <v>65631524.960118227</v>
      </c>
      <c r="L31" s="189">
        <f t="shared" si="6"/>
        <v>80698942.247422695</v>
      </c>
    </row>
    <row r="34" spans="1:12">
      <c r="B34" s="189"/>
    </row>
    <row r="38" spans="1:12">
      <c r="A38" s="396" t="s">
        <v>406</v>
      </c>
      <c r="B38" s="396"/>
      <c r="C38" s="396"/>
      <c r="D38" s="396"/>
      <c r="E38" s="396"/>
      <c r="F38" s="396"/>
      <c r="G38" s="396"/>
      <c r="H38" s="396"/>
      <c r="I38" s="396"/>
      <c r="J38" s="396"/>
      <c r="K38" s="396"/>
    </row>
    <row r="39" spans="1:12">
      <c r="B39" s="390" t="s">
        <v>369</v>
      </c>
      <c r="C39" s="391"/>
      <c r="D39" s="391"/>
      <c r="E39" s="391"/>
      <c r="F39" s="391"/>
      <c r="G39" s="391"/>
      <c r="H39" s="391"/>
      <c r="I39" s="391"/>
      <c r="J39" s="391"/>
      <c r="K39" s="391"/>
      <c r="L39" s="392"/>
    </row>
    <row r="40" spans="1:12">
      <c r="B40" s="271">
        <v>0</v>
      </c>
      <c r="C40" s="271">
        <v>1</v>
      </c>
      <c r="D40" s="271">
        <v>2</v>
      </c>
      <c r="E40" s="271">
        <v>3</v>
      </c>
      <c r="F40" s="271">
        <v>4</v>
      </c>
      <c r="G40" s="271">
        <v>5</v>
      </c>
      <c r="H40" s="271">
        <v>6</v>
      </c>
      <c r="I40" s="271">
        <v>7</v>
      </c>
      <c r="J40" s="271">
        <v>8</v>
      </c>
      <c r="K40" s="271">
        <v>9</v>
      </c>
      <c r="L40" s="271">
        <v>10</v>
      </c>
    </row>
    <row r="41" spans="1:12">
      <c r="A41" t="s">
        <v>407</v>
      </c>
      <c r="B41">
        <v>0</v>
      </c>
      <c r="C41" s="2">
        <f>'Estimacion de ingresos'!D18</f>
        <v>152</v>
      </c>
      <c r="D41" s="2">
        <f>C41*1.04</f>
        <v>158.08000000000001</v>
      </c>
      <c r="E41" s="2">
        <f t="shared" ref="E41:L41" si="7">D41*1.04</f>
        <v>164.40320000000003</v>
      </c>
      <c r="F41" s="2">
        <f t="shared" si="7"/>
        <v>170.97932800000004</v>
      </c>
      <c r="G41" s="2">
        <f t="shared" si="7"/>
        <v>177.81850112000004</v>
      </c>
      <c r="H41" s="2">
        <f t="shared" si="7"/>
        <v>184.93124116480004</v>
      </c>
      <c r="I41" s="2">
        <f t="shared" si="7"/>
        <v>192.32849081139204</v>
      </c>
      <c r="J41" s="2">
        <f t="shared" si="7"/>
        <v>200.02163044384773</v>
      </c>
      <c r="K41" s="2">
        <f t="shared" si="7"/>
        <v>208.02249566160165</v>
      </c>
      <c r="L41" s="2">
        <f t="shared" si="7"/>
        <v>216.34339548806574</v>
      </c>
    </row>
    <row r="42" spans="1:12"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>
      <c r="A44" t="s">
        <v>408</v>
      </c>
      <c r="B44" s="189">
        <f>'Estimacion de ingresos'!B25</f>
        <v>0</v>
      </c>
      <c r="C44" s="50">
        <f>'Estimacion de ingresos'!C25</f>
        <v>205682353.7885797</v>
      </c>
      <c r="D44" s="50">
        <f>'Estimacion de ingresos'!D25</f>
        <v>213909647.9401229</v>
      </c>
      <c r="E44" s="50">
        <f>'Estimacion de ingresos'!E25</f>
        <v>222466033.85772783</v>
      </c>
      <c r="F44" s="50">
        <f>'Estimacion de ingresos'!F25</f>
        <v>231364675.21203694</v>
      </c>
      <c r="G44" s="50">
        <f>'Estimacion de ingresos'!G25</f>
        <v>240619262.22051841</v>
      </c>
      <c r="H44" s="50">
        <f>'Estimacion de ingresos'!H25</f>
        <v>250244032.70933914</v>
      </c>
      <c r="I44" s="50">
        <f>'Estimacion de ingresos'!I25</f>
        <v>260253794.01771271</v>
      </c>
      <c r="J44" s="50">
        <f>'Estimacion de ingresos'!J25</f>
        <v>270663945.77842122</v>
      </c>
      <c r="K44" s="50">
        <f>'Estimacion de ingresos'!K25</f>
        <v>281490503.60955811</v>
      </c>
      <c r="L44" s="50">
        <f>'Estimacion de ingresos'!L25</f>
        <v>292750123.75394046</v>
      </c>
    </row>
    <row r="45" spans="1:12">
      <c r="A45" t="s">
        <v>409</v>
      </c>
      <c r="B45" s="189">
        <f>'Estimacion de ingresos'!B26</f>
        <v>0</v>
      </c>
      <c r="C45" s="50">
        <f>'Estimacion de ingresos'!C26</f>
        <v>3200000</v>
      </c>
      <c r="D45" s="50">
        <f>'Estimacion de ingresos'!D26</f>
        <v>3328000</v>
      </c>
      <c r="E45" s="50">
        <f>'Estimacion de ingresos'!E26</f>
        <v>3461120</v>
      </c>
      <c r="F45" s="50">
        <f>'Estimacion de ingresos'!F26</f>
        <v>3599564.8000000003</v>
      </c>
      <c r="G45" s="50">
        <f>'Estimacion de ingresos'!G26</f>
        <v>3743547.3920000005</v>
      </c>
      <c r="H45" s="50">
        <f>'Estimacion de ingresos'!H26</f>
        <v>3893289.2876800005</v>
      </c>
      <c r="I45" s="50">
        <f>'Estimacion de ingresos'!I26</f>
        <v>4049020.8591872007</v>
      </c>
      <c r="J45" s="50">
        <f>'Estimacion de ingresos'!J26</f>
        <v>4210981.6935546892</v>
      </c>
      <c r="K45" s="50">
        <f>'Estimacion de ingresos'!K26</f>
        <v>4379420.9612968769</v>
      </c>
      <c r="L45" s="50">
        <f>'Estimacion de ingresos'!L26</f>
        <v>4554597.7997487523</v>
      </c>
    </row>
    <row r="46" spans="1:12"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2">
      <c r="A47" t="s">
        <v>368</v>
      </c>
      <c r="B47" s="189">
        <f>B44+B45</f>
        <v>0</v>
      </c>
      <c r="C47" s="50">
        <f t="shared" ref="C47:L47" si="8">C44+C45</f>
        <v>208882353.7885797</v>
      </c>
      <c r="D47" s="50">
        <f t="shared" si="8"/>
        <v>217237647.9401229</v>
      </c>
      <c r="E47" s="50">
        <f t="shared" si="8"/>
        <v>225927153.85772783</v>
      </c>
      <c r="F47" s="50">
        <f t="shared" si="8"/>
        <v>234964240.01203695</v>
      </c>
      <c r="G47" s="50">
        <f t="shared" si="8"/>
        <v>244362809.6125184</v>
      </c>
      <c r="H47" s="50">
        <f t="shared" si="8"/>
        <v>254137321.99701914</v>
      </c>
      <c r="I47" s="50">
        <f t="shared" si="8"/>
        <v>264302814.8768999</v>
      </c>
      <c r="J47" s="50">
        <f t="shared" si="8"/>
        <v>274874927.47197592</v>
      </c>
      <c r="K47" s="50">
        <f t="shared" si="8"/>
        <v>285869924.57085496</v>
      </c>
      <c r="L47" s="50">
        <f t="shared" si="8"/>
        <v>297304721.55368924</v>
      </c>
    </row>
    <row r="48" spans="1:12"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>
      <c r="A49" t="s">
        <v>410</v>
      </c>
      <c r="B49">
        <f>0</f>
        <v>0</v>
      </c>
      <c r="C49" s="50">
        <f>'Estimacion de ingresos'!G18</f>
        <v>171401961.49048311</v>
      </c>
      <c r="D49" s="50">
        <f>C49*1.04</f>
        <v>178258039.95010245</v>
      </c>
      <c r="E49" s="50">
        <f t="shared" ref="E49:L49" si="9">D49*1.04</f>
        <v>185388361.54810655</v>
      </c>
      <c r="F49" s="50">
        <f t="shared" si="9"/>
        <v>192803896.01003081</v>
      </c>
      <c r="G49" s="50">
        <f t="shared" si="9"/>
        <v>200516051.85043204</v>
      </c>
      <c r="H49" s="50">
        <f t="shared" si="9"/>
        <v>208536693.92444932</v>
      </c>
      <c r="I49" s="50">
        <f t="shared" si="9"/>
        <v>216878161.6814273</v>
      </c>
      <c r="J49" s="50">
        <f t="shared" si="9"/>
        <v>225553288.14868441</v>
      </c>
      <c r="K49" s="50">
        <f t="shared" si="9"/>
        <v>234575419.6746318</v>
      </c>
      <c r="L49" s="50">
        <f t="shared" si="9"/>
        <v>243958436.46161708</v>
      </c>
    </row>
    <row r="50" spans="1:12"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>
      <c r="A51" t="s">
        <v>411</v>
      </c>
      <c r="B51" s="189">
        <f>'Costo operacion'!G16+'Costo operacion'!G20</f>
        <v>0</v>
      </c>
      <c r="C51" s="50">
        <f>'Costo operacion'!H16+'Costo operacion'!H20</f>
        <v>4095340</v>
      </c>
      <c r="D51" s="50">
        <f>'Costo operacion'!I16+'Costo operacion'!I20</f>
        <v>4095340</v>
      </c>
      <c r="E51" s="50">
        <f>'Costo operacion'!J16+'Costo operacion'!J20</f>
        <v>4095340</v>
      </c>
      <c r="F51" s="50">
        <f>'Costo operacion'!K16+'Costo operacion'!K20</f>
        <v>4095340</v>
      </c>
      <c r="G51" s="50">
        <f>'Costo operacion'!L16+'Costo operacion'!L20</f>
        <v>4095340</v>
      </c>
      <c r="H51" s="50">
        <f>'Costo operacion'!M16+'Costo operacion'!M20</f>
        <v>3848200</v>
      </c>
      <c r="I51" s="50">
        <f>'Costo operacion'!N16+'Costo operacion'!N20</f>
        <v>3848200</v>
      </c>
      <c r="J51" s="50">
        <f>'Costo operacion'!O16+'Costo operacion'!O20</f>
        <v>3848200</v>
      </c>
      <c r="K51" s="50">
        <f>'Costo operacion'!P16+'Costo operacion'!P20</f>
        <v>3848200</v>
      </c>
      <c r="L51" s="50">
        <f>'Costo operacion'!Q16+'Costo operacion'!Q20</f>
        <v>3848200</v>
      </c>
    </row>
    <row r="52" spans="1:12"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>
      <c r="A53" t="s">
        <v>412</v>
      </c>
      <c r="B53" s="189">
        <f>B49+B51</f>
        <v>0</v>
      </c>
      <c r="C53" s="50">
        <f t="shared" ref="C53:L53" si="10">C49+C51</f>
        <v>175497301.49048311</v>
      </c>
      <c r="D53" s="50">
        <f t="shared" si="10"/>
        <v>182353379.95010245</v>
      </c>
      <c r="E53" s="50">
        <f t="shared" si="10"/>
        <v>189483701.54810655</v>
      </c>
      <c r="F53" s="50">
        <f t="shared" si="10"/>
        <v>196899236.01003081</v>
      </c>
      <c r="G53" s="50">
        <f t="shared" si="10"/>
        <v>204611391.85043204</v>
      </c>
      <c r="H53" s="50">
        <f t="shared" si="10"/>
        <v>212384893.92444932</v>
      </c>
      <c r="I53" s="50">
        <f t="shared" si="10"/>
        <v>220726361.6814273</v>
      </c>
      <c r="J53" s="50">
        <f t="shared" si="10"/>
        <v>229401488.14868441</v>
      </c>
      <c r="K53" s="50">
        <f t="shared" si="10"/>
        <v>238423619.6746318</v>
      </c>
      <c r="L53" s="50">
        <f t="shared" si="10"/>
        <v>247806636.46161708</v>
      </c>
    </row>
    <row r="54" spans="1:12"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1:12">
      <c r="A55" t="s">
        <v>413</v>
      </c>
      <c r="B55" s="189">
        <f>B47-B53</f>
        <v>0</v>
      </c>
      <c r="C55" s="50">
        <f t="shared" ref="C55:L55" si="11">C47-C53</f>
        <v>33385052.298096597</v>
      </c>
      <c r="D55" s="50">
        <f t="shared" si="11"/>
        <v>34884267.990020454</v>
      </c>
      <c r="E55" s="50">
        <f t="shared" si="11"/>
        <v>36443452.309621274</v>
      </c>
      <c r="F55" s="50">
        <f t="shared" si="11"/>
        <v>38065004.002006143</v>
      </c>
      <c r="G55" s="50">
        <f t="shared" si="11"/>
        <v>39751417.762086362</v>
      </c>
      <c r="H55" s="50">
        <f t="shared" si="11"/>
        <v>41752428.072569817</v>
      </c>
      <c r="I55" s="50">
        <f t="shared" si="11"/>
        <v>43576453.195472598</v>
      </c>
      <c r="J55" s="50">
        <f t="shared" si="11"/>
        <v>45473439.32329151</v>
      </c>
      <c r="K55" s="50">
        <f t="shared" si="11"/>
        <v>47446304.896223158</v>
      </c>
      <c r="L55" s="50">
        <f t="shared" si="11"/>
        <v>49498085.092072159</v>
      </c>
    </row>
    <row r="57" spans="1:12">
      <c r="C57" s="124" t="s">
        <v>368</v>
      </c>
      <c r="F57" s="2"/>
      <c r="G57" s="124" t="s">
        <v>412</v>
      </c>
    </row>
    <row r="58" spans="1:12">
      <c r="B58" t="s">
        <v>414</v>
      </c>
      <c r="C58" s="2" t="s">
        <v>415</v>
      </c>
      <c r="F58" s="2" t="s">
        <v>414</v>
      </c>
      <c r="G58" s="2" t="s">
        <v>415</v>
      </c>
    </row>
    <row r="59" spans="1:12">
      <c r="B59">
        <f t="array" ref="B59:B69">TRANSPOSE(B41:L41)</f>
        <v>0</v>
      </c>
      <c r="C59" s="2">
        <f t="array" ref="C59:C69">TRANSPOSE(B47:L47)</f>
        <v>0</v>
      </c>
      <c r="F59" s="2">
        <f t="shared" ref="F59:F69" si="12">B59</f>
        <v>0</v>
      </c>
      <c r="G59" s="2">
        <f t="array" ref="G59:G69">TRANSPOSE(B53:L53)</f>
        <v>0</v>
      </c>
    </row>
    <row r="60" spans="1:12">
      <c r="B60">
        <v>152</v>
      </c>
      <c r="C60" s="2">
        <v>208882353.7885797</v>
      </c>
      <c r="F60" s="2">
        <f t="shared" si="12"/>
        <v>152</v>
      </c>
      <c r="G60" s="2">
        <v>175497301.49048311</v>
      </c>
    </row>
    <row r="61" spans="1:12">
      <c r="B61">
        <v>158.08000000000001</v>
      </c>
      <c r="C61" s="2">
        <v>217237647.9401229</v>
      </c>
      <c r="F61" s="2">
        <f t="shared" si="12"/>
        <v>158.08000000000001</v>
      </c>
      <c r="G61" s="2">
        <v>182353379.95010245</v>
      </c>
    </row>
    <row r="62" spans="1:12">
      <c r="B62">
        <v>164.40320000000003</v>
      </c>
      <c r="C62" s="2">
        <v>225927153.85772783</v>
      </c>
      <c r="F62" s="2">
        <f t="shared" si="12"/>
        <v>164.40320000000003</v>
      </c>
      <c r="G62" s="2">
        <v>189483701.54810655</v>
      </c>
    </row>
    <row r="63" spans="1:12">
      <c r="B63">
        <v>170.97932800000004</v>
      </c>
      <c r="C63" s="2">
        <v>234964240.01203695</v>
      </c>
      <c r="F63" s="2">
        <f t="shared" si="12"/>
        <v>170.97932800000004</v>
      </c>
      <c r="G63" s="2">
        <v>196899236.01003081</v>
      </c>
    </row>
    <row r="64" spans="1:12">
      <c r="B64">
        <v>177.81850112000004</v>
      </c>
      <c r="C64" s="2">
        <v>244362809.6125184</v>
      </c>
      <c r="F64" s="2">
        <f t="shared" si="12"/>
        <v>177.81850112000004</v>
      </c>
      <c r="G64" s="2">
        <v>204611391.85043204</v>
      </c>
    </row>
    <row r="65" spans="2:7">
      <c r="B65">
        <v>184.93124116480004</v>
      </c>
      <c r="C65" s="2">
        <v>254137321.99701914</v>
      </c>
      <c r="F65" s="2">
        <f t="shared" si="12"/>
        <v>184.93124116480004</v>
      </c>
      <c r="G65" s="2">
        <v>212384893.92444932</v>
      </c>
    </row>
    <row r="66" spans="2:7">
      <c r="B66">
        <v>192.32849081139204</v>
      </c>
      <c r="C66" s="2">
        <v>264302814.8768999</v>
      </c>
      <c r="F66" s="2">
        <f t="shared" si="12"/>
        <v>192.32849081139204</v>
      </c>
      <c r="G66" s="2">
        <v>220726361.6814273</v>
      </c>
    </row>
    <row r="67" spans="2:7">
      <c r="B67">
        <v>200.02163044384773</v>
      </c>
      <c r="C67" s="2">
        <v>274874927.47197592</v>
      </c>
      <c r="F67" s="2">
        <f t="shared" si="12"/>
        <v>200.02163044384773</v>
      </c>
      <c r="G67" s="2">
        <v>229401488.14868441</v>
      </c>
    </row>
    <row r="68" spans="2:7">
      <c r="B68">
        <v>208.02249566160165</v>
      </c>
      <c r="C68" s="2">
        <v>285869924.57085496</v>
      </c>
      <c r="F68" s="2">
        <f t="shared" si="12"/>
        <v>208.02249566160165</v>
      </c>
      <c r="G68" s="2">
        <v>238423619.6746318</v>
      </c>
    </row>
    <row r="69" spans="2:7">
      <c r="B69">
        <v>216.34339548806574</v>
      </c>
      <c r="C69" s="2">
        <v>297304721.55368924</v>
      </c>
      <c r="F69" s="2">
        <f t="shared" si="12"/>
        <v>216.34339548806574</v>
      </c>
      <c r="G69" s="2">
        <v>247806636.46161708</v>
      </c>
    </row>
    <row r="70" spans="2:7">
      <c r="C70" s="2">
        <f>TREND(C60:C69,B60:B69)</f>
        <v>208882353.7885797</v>
      </c>
      <c r="F70" s="2"/>
      <c r="G70" s="2"/>
    </row>
    <row r="71" spans="2:7">
      <c r="C71" s="2"/>
      <c r="F71" s="2"/>
      <c r="G71" s="2"/>
    </row>
    <row r="72" spans="2:7">
      <c r="B72" s="44">
        <f t="shared" ref="B72:B74" si="13">B73-10</f>
        <v>-22</v>
      </c>
      <c r="C72" s="2"/>
      <c r="F72" s="2"/>
      <c r="G72" s="2"/>
    </row>
    <row r="73" spans="2:7">
      <c r="B73" s="44">
        <f t="shared" si="13"/>
        <v>-12</v>
      </c>
      <c r="C73" s="2"/>
      <c r="F73" s="2"/>
      <c r="G73" s="2"/>
    </row>
    <row r="74" spans="2:7">
      <c r="B74" s="44">
        <f t="shared" si="13"/>
        <v>-2</v>
      </c>
      <c r="C74" s="2"/>
      <c r="F74" s="2"/>
      <c r="G74" s="2"/>
    </row>
    <row r="75" spans="2:7">
      <c r="B75" s="44">
        <f t="shared" ref="B75:B85" si="14">B76-12</f>
        <v>8</v>
      </c>
      <c r="C75" s="2">
        <f t="shared" ref="C75:C85" si="15">TREND($C$88:$C$96,$B$88:$B$96,B75)</f>
        <v>10993808.094135802</v>
      </c>
      <c r="F75" s="2">
        <f t="shared" ref="F75:F85" si="16">F76-12</f>
        <v>8</v>
      </c>
      <c r="G75" s="2">
        <f t="shared" ref="G75:G85" si="17">TREND(G76:G85,F76:F85,F75)</f>
        <v>13973634.793358441</v>
      </c>
    </row>
    <row r="76" spans="2:7">
      <c r="B76" s="44">
        <f t="shared" si="14"/>
        <v>20</v>
      </c>
      <c r="C76" s="2">
        <f t="shared" si="15"/>
        <v>27484520.235339463</v>
      </c>
      <c r="F76" s="2">
        <f t="shared" si="16"/>
        <v>20</v>
      </c>
      <c r="G76" s="2">
        <f t="shared" si="17"/>
        <v>27440717.01050486</v>
      </c>
    </row>
    <row r="77" spans="2:7">
      <c r="B77" s="44">
        <f t="shared" si="14"/>
        <v>32</v>
      </c>
      <c r="C77" s="2">
        <f t="shared" si="15"/>
        <v>43975232.37654312</v>
      </c>
      <c r="F77" s="2">
        <f t="shared" si="16"/>
        <v>32</v>
      </c>
      <c r="G77" s="2">
        <f t="shared" si="17"/>
        <v>40910280.604012273</v>
      </c>
    </row>
    <row r="78" spans="2:7">
      <c r="B78" s="44">
        <f t="shared" si="14"/>
        <v>44</v>
      </c>
      <c r="C78" s="2">
        <f t="shared" si="15"/>
        <v>60465944.517746776</v>
      </c>
      <c r="F78" s="2">
        <f t="shared" si="16"/>
        <v>44</v>
      </c>
      <c r="G78" s="2">
        <f t="shared" si="17"/>
        <v>54371219.978452802</v>
      </c>
    </row>
    <row r="79" spans="2:7">
      <c r="B79" s="44">
        <f t="shared" si="14"/>
        <v>56</v>
      </c>
      <c r="C79" s="2">
        <f t="shared" si="15"/>
        <v>76956656.658950433</v>
      </c>
      <c r="F79" s="2">
        <f t="shared" si="16"/>
        <v>56</v>
      </c>
      <c r="G79" s="2">
        <f t="shared" si="17"/>
        <v>67828329.973136321</v>
      </c>
    </row>
    <row r="80" spans="2:7">
      <c r="B80" s="44">
        <f t="shared" si="14"/>
        <v>68</v>
      </c>
      <c r="C80" s="2">
        <f>TREND($C$88:$C$96,$B$88:$B$96,B80)</f>
        <v>93447368.80015409</v>
      </c>
      <c r="F80" s="2">
        <f t="shared" si="16"/>
        <v>68</v>
      </c>
      <c r="G80" s="2">
        <f t="shared" si="17"/>
        <v>81284129.419041097</v>
      </c>
    </row>
    <row r="81" spans="2:7">
      <c r="B81" s="44">
        <f t="shared" si="14"/>
        <v>80</v>
      </c>
      <c r="C81" s="2">
        <f t="shared" si="15"/>
        <v>109938080.94135776</v>
      </c>
      <c r="F81" s="2">
        <f t="shared" si="16"/>
        <v>80</v>
      </c>
      <c r="G81" s="2">
        <f t="shared" si="17"/>
        <v>94740174.539896965</v>
      </c>
    </row>
    <row r="82" spans="2:7">
      <c r="B82" s="44">
        <f t="shared" si="14"/>
        <v>92</v>
      </c>
      <c r="C82" s="2">
        <f t="shared" si="15"/>
        <v>126428793.08256142</v>
      </c>
      <c r="F82" s="2">
        <f t="shared" si="16"/>
        <v>92</v>
      </c>
      <c r="G82" s="2">
        <f t="shared" si="17"/>
        <v>108229981.21431676</v>
      </c>
    </row>
    <row r="83" spans="2:7">
      <c r="B83" s="44">
        <f t="shared" si="14"/>
        <v>104</v>
      </c>
      <c r="C83" s="2">
        <f t="shared" si="15"/>
        <v>142919505.22376508</v>
      </c>
      <c r="F83" s="2">
        <f t="shared" si="16"/>
        <v>104</v>
      </c>
      <c r="G83" s="2">
        <f t="shared" si="17"/>
        <v>121702605.26464078</v>
      </c>
    </row>
    <row r="84" spans="2:7">
      <c r="B84" s="44">
        <f t="shared" si="14"/>
        <v>116</v>
      </c>
      <c r="C84" s="2">
        <f t="shared" si="15"/>
        <v>159410217.36496872</v>
      </c>
      <c r="F84" s="2">
        <f t="shared" si="16"/>
        <v>116</v>
      </c>
      <c r="G84" s="2">
        <f t="shared" si="17"/>
        <v>135162333.23523453</v>
      </c>
    </row>
    <row r="85" spans="2:7">
      <c r="B85" s="44">
        <f t="shared" si="14"/>
        <v>128</v>
      </c>
      <c r="C85" s="2">
        <f t="shared" si="15"/>
        <v>175900929.50617239</v>
      </c>
      <c r="F85" s="2">
        <f t="shared" si="16"/>
        <v>128</v>
      </c>
      <c r="G85" s="2">
        <f t="shared" si="17"/>
        <v>148614071.55293432</v>
      </c>
    </row>
    <row r="86" spans="2:7">
      <c r="B86">
        <f>B87-12</f>
        <v>140</v>
      </c>
      <c r="C86" s="2">
        <f>TREND($C$88:$C$96,$B$88:$B$96,B86)</f>
        <v>192391641.64737606</v>
      </c>
      <c r="F86" s="2">
        <f>F87-12</f>
        <v>140</v>
      </c>
      <c r="G86" s="2">
        <f>TREND(G87:G96,F87:F96,F86)</f>
        <v>162064196.82048029</v>
      </c>
    </row>
    <row r="87" spans="2:7">
      <c r="B87">
        <f>B60</f>
        <v>152</v>
      </c>
      <c r="C87" s="2">
        <f>C60</f>
        <v>208882353.7885797</v>
      </c>
      <c r="F87" s="2">
        <f t="shared" ref="F87:F96" si="18">B87</f>
        <v>152</v>
      </c>
      <c r="G87" s="2">
        <f>G60</f>
        <v>175497301.49048311</v>
      </c>
    </row>
    <row r="88" spans="2:7">
      <c r="B88" s="44">
        <f t="shared" ref="B88:C96" si="19">B61</f>
        <v>158.08000000000001</v>
      </c>
      <c r="C88" s="2">
        <f t="shared" si="19"/>
        <v>217237647.9401229</v>
      </c>
      <c r="F88" s="2">
        <f t="shared" si="18"/>
        <v>158.08000000000001</v>
      </c>
      <c r="G88" s="2">
        <f t="shared" ref="G88:G96" si="20">G61</f>
        <v>182353379.95010245</v>
      </c>
    </row>
    <row r="89" spans="2:7">
      <c r="B89" s="44">
        <f t="shared" si="19"/>
        <v>164.40320000000003</v>
      </c>
      <c r="C89" s="2">
        <f t="shared" si="19"/>
        <v>225927153.85772783</v>
      </c>
      <c r="F89" s="2">
        <f t="shared" si="18"/>
        <v>164.40320000000003</v>
      </c>
      <c r="G89" s="2">
        <f t="shared" si="20"/>
        <v>189483701.54810655</v>
      </c>
    </row>
    <row r="90" spans="2:7">
      <c r="B90" s="44">
        <f t="shared" si="19"/>
        <v>170.97932800000004</v>
      </c>
      <c r="C90" s="2">
        <f t="shared" si="19"/>
        <v>234964240.01203695</v>
      </c>
      <c r="F90" s="2">
        <f t="shared" si="18"/>
        <v>170.97932800000004</v>
      </c>
      <c r="G90" s="2">
        <f t="shared" si="20"/>
        <v>196899236.01003081</v>
      </c>
    </row>
    <row r="91" spans="2:7">
      <c r="B91" s="44">
        <f t="shared" si="19"/>
        <v>177.81850112000004</v>
      </c>
      <c r="C91" s="2">
        <f t="shared" si="19"/>
        <v>244362809.6125184</v>
      </c>
      <c r="F91" s="2">
        <f t="shared" si="18"/>
        <v>177.81850112000004</v>
      </c>
      <c r="G91" s="2">
        <f t="shared" si="20"/>
        <v>204611391.85043204</v>
      </c>
    </row>
    <row r="92" spans="2:7">
      <c r="B92" s="44">
        <f t="shared" si="19"/>
        <v>184.93124116480004</v>
      </c>
      <c r="C92" s="2">
        <f t="shared" si="19"/>
        <v>254137321.99701914</v>
      </c>
      <c r="F92" s="2">
        <f t="shared" si="18"/>
        <v>184.93124116480004</v>
      </c>
      <c r="G92" s="2">
        <f t="shared" si="20"/>
        <v>212384893.92444932</v>
      </c>
    </row>
    <row r="93" spans="2:7">
      <c r="B93" s="44">
        <f t="shared" si="19"/>
        <v>192.32849081139204</v>
      </c>
      <c r="C93" s="2">
        <f t="shared" si="19"/>
        <v>264302814.8768999</v>
      </c>
      <c r="F93" s="2">
        <f t="shared" si="18"/>
        <v>192.32849081139204</v>
      </c>
      <c r="G93" s="2">
        <f t="shared" si="20"/>
        <v>220726361.6814273</v>
      </c>
    </row>
    <row r="94" spans="2:7">
      <c r="B94" s="44">
        <f t="shared" si="19"/>
        <v>200.02163044384773</v>
      </c>
      <c r="C94" s="2">
        <f t="shared" si="19"/>
        <v>274874927.47197592</v>
      </c>
      <c r="F94" s="2">
        <f t="shared" si="18"/>
        <v>200.02163044384773</v>
      </c>
      <c r="G94" s="2">
        <f t="shared" si="20"/>
        <v>229401488.14868441</v>
      </c>
    </row>
    <row r="95" spans="2:7">
      <c r="B95" s="44">
        <f t="shared" si="19"/>
        <v>208.02249566160165</v>
      </c>
      <c r="C95" s="2">
        <f t="shared" si="19"/>
        <v>285869924.57085496</v>
      </c>
      <c r="F95" s="2">
        <f t="shared" si="18"/>
        <v>208.02249566160165</v>
      </c>
      <c r="G95" s="2">
        <f t="shared" si="20"/>
        <v>238423619.6746318</v>
      </c>
    </row>
    <row r="96" spans="2:7">
      <c r="B96" s="44">
        <f t="shared" si="19"/>
        <v>216.34339548806574</v>
      </c>
      <c r="C96" s="2">
        <f t="shared" si="19"/>
        <v>297304721.55368924</v>
      </c>
      <c r="F96" s="2">
        <f t="shared" si="18"/>
        <v>216.34339548806574</v>
      </c>
      <c r="G96" s="2">
        <f t="shared" si="20"/>
        <v>247806636.46161708</v>
      </c>
    </row>
    <row r="97" spans="2:6">
      <c r="B97" s="44"/>
    </row>
    <row r="98" spans="2:6">
      <c r="B98" s="44"/>
    </row>
    <row r="99" spans="2:6">
      <c r="B99" s="44"/>
    </row>
    <row r="100" spans="2:6">
      <c r="B100" s="44"/>
    </row>
    <row r="103" spans="2:6" ht="15.75" thickBot="1"/>
    <row r="104" spans="2:6" ht="15.75" thickBot="1">
      <c r="F104" s="304">
        <f>INTERCEPT(C72:C96,G72:G96)</f>
        <v>-6118617.9503924549</v>
      </c>
    </row>
  </sheetData>
  <mergeCells count="4">
    <mergeCell ref="B5:L5"/>
    <mergeCell ref="A4:L4"/>
    <mergeCell ref="A38:K38"/>
    <mergeCell ref="B39:L39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236"/>
  <sheetViews>
    <sheetView topLeftCell="A7" zoomScaleNormal="100" workbookViewId="0">
      <selection activeCell="G78" sqref="G78"/>
    </sheetView>
  </sheetViews>
  <sheetFormatPr baseColWidth="10" defaultColWidth="9.140625" defaultRowHeight="15"/>
  <cols>
    <col min="1" max="1" width="33.42578125" customWidth="1"/>
    <col min="2" max="2" width="28.85546875" bestFit="1" customWidth="1"/>
    <col min="3" max="3" width="17.5703125" bestFit="1" customWidth="1"/>
    <col min="4" max="12" width="16.28515625" bestFit="1" customWidth="1"/>
  </cols>
  <sheetData>
    <row r="1" spans="1:12">
      <c r="A1" s="89"/>
      <c r="B1" s="89"/>
      <c r="C1" s="89"/>
      <c r="D1" s="89"/>
      <c r="E1" s="89"/>
      <c r="F1" s="89"/>
      <c r="G1" s="89"/>
      <c r="H1" s="89"/>
      <c r="I1" s="89"/>
      <c r="J1" s="89"/>
      <c r="K1" s="89"/>
      <c r="L1" s="44"/>
    </row>
    <row r="2" spans="1:12">
      <c r="A2" s="393" t="s">
        <v>387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5"/>
    </row>
    <row r="3" spans="1:12">
      <c r="A3" s="206"/>
      <c r="B3" s="390" t="s">
        <v>369</v>
      </c>
      <c r="C3" s="391"/>
      <c r="D3" s="391"/>
      <c r="E3" s="391"/>
      <c r="F3" s="391"/>
      <c r="G3" s="391"/>
      <c r="H3" s="391"/>
      <c r="I3" s="391"/>
      <c r="J3" s="391"/>
      <c r="K3" s="391"/>
      <c r="L3" s="392"/>
    </row>
    <row r="4" spans="1:12">
      <c r="A4" s="206"/>
      <c r="B4" s="186">
        <v>0</v>
      </c>
      <c r="C4" s="186">
        <v>1</v>
      </c>
      <c r="D4" s="186">
        <v>2</v>
      </c>
      <c r="E4" s="186">
        <v>3</v>
      </c>
      <c r="F4" s="186">
        <v>4</v>
      </c>
      <c r="G4" s="186">
        <v>5</v>
      </c>
      <c r="H4" s="186">
        <v>6</v>
      </c>
      <c r="I4" s="186">
        <v>7</v>
      </c>
      <c r="J4" s="186">
        <v>8</v>
      </c>
      <c r="K4" s="186">
        <v>9</v>
      </c>
      <c r="L4" s="186">
        <v>10</v>
      </c>
    </row>
    <row r="5" spans="1:12">
      <c r="A5" s="184" t="s">
        <v>368</v>
      </c>
      <c r="B5" s="184"/>
      <c r="C5" s="258"/>
      <c r="D5" s="184"/>
      <c r="E5" s="184"/>
      <c r="F5" s="184"/>
      <c r="G5" s="184"/>
      <c r="H5" s="184"/>
      <c r="I5" s="184"/>
      <c r="J5" s="184"/>
      <c r="K5" s="184"/>
      <c r="L5" s="184"/>
    </row>
    <row r="6" spans="1:12">
      <c r="A6" s="206" t="s">
        <v>379</v>
      </c>
      <c r="B6" s="259">
        <f>'Estimacion de ingresos'!B25</f>
        <v>0</v>
      </c>
      <c r="C6" s="259">
        <f>'Estimacion de ingresos'!C25</f>
        <v>205682353.7885797</v>
      </c>
      <c r="D6" s="259">
        <f>'Estimacion de ingresos'!D25</f>
        <v>213909647.9401229</v>
      </c>
      <c r="E6" s="259">
        <f>'Estimacion de ingresos'!E25</f>
        <v>222466033.85772783</v>
      </c>
      <c r="F6" s="259">
        <f>'Estimacion de ingresos'!F25</f>
        <v>231364675.21203694</v>
      </c>
      <c r="G6" s="259">
        <f>'Estimacion de ingresos'!G25</f>
        <v>240619262.22051841</v>
      </c>
      <c r="H6" s="259">
        <f>'Estimacion de ingresos'!H25</f>
        <v>250244032.70933914</v>
      </c>
      <c r="I6" s="259">
        <f>'Estimacion de ingresos'!I25</f>
        <v>260253794.01771271</v>
      </c>
      <c r="J6" s="259">
        <f>'Estimacion de ingresos'!J25</f>
        <v>270663945.77842122</v>
      </c>
      <c r="K6" s="259">
        <f>'Estimacion de ingresos'!K25</f>
        <v>281490503.60955811</v>
      </c>
      <c r="L6" s="259">
        <f>'Estimacion de ingresos'!L25</f>
        <v>292750123.75394046</v>
      </c>
    </row>
    <row r="7" spans="1:12">
      <c r="A7" s="206" t="s">
        <v>380</v>
      </c>
      <c r="B7" s="259">
        <f>'Estimacion de ingresos'!B26</f>
        <v>0</v>
      </c>
      <c r="C7" s="259">
        <f>'Estimacion de ingresos'!C26</f>
        <v>3200000</v>
      </c>
      <c r="D7" s="259">
        <f>'Estimacion de ingresos'!D26</f>
        <v>3328000</v>
      </c>
      <c r="E7" s="259">
        <f>'Estimacion de ingresos'!E26</f>
        <v>3461120</v>
      </c>
      <c r="F7" s="259">
        <f>'Estimacion de ingresos'!F26</f>
        <v>3599564.8000000003</v>
      </c>
      <c r="G7" s="259">
        <f>'Estimacion de ingresos'!G26</f>
        <v>3743547.3920000005</v>
      </c>
      <c r="H7" s="259">
        <f>'Estimacion de ingresos'!H26</f>
        <v>3893289.2876800005</v>
      </c>
      <c r="I7" s="259">
        <f>'Estimacion de ingresos'!I26</f>
        <v>4049020.8591872007</v>
      </c>
      <c r="J7" s="259">
        <f>'Estimacion de ingresos'!J26</f>
        <v>4210981.6935546892</v>
      </c>
      <c r="K7" s="259">
        <f>'Estimacion de ingresos'!K26</f>
        <v>4379420.9612968769</v>
      </c>
      <c r="L7" s="259">
        <f>'Estimacion de ingresos'!L26</f>
        <v>4554597.7997487523</v>
      </c>
    </row>
    <row r="8" spans="1:12">
      <c r="A8" s="228" t="s">
        <v>370</v>
      </c>
      <c r="B8" s="261">
        <f t="shared" ref="B8:L8" si="0">SUM(B6:B7)</f>
        <v>0</v>
      </c>
      <c r="C8" s="262">
        <f t="shared" si="0"/>
        <v>208882353.7885797</v>
      </c>
      <c r="D8" s="261">
        <f t="shared" si="0"/>
        <v>217237647.9401229</v>
      </c>
      <c r="E8" s="261">
        <f t="shared" si="0"/>
        <v>225927153.85772783</v>
      </c>
      <c r="F8" s="261">
        <f t="shared" si="0"/>
        <v>234964240.01203695</v>
      </c>
      <c r="G8" s="261">
        <f t="shared" si="0"/>
        <v>244362809.6125184</v>
      </c>
      <c r="H8" s="261">
        <f t="shared" si="0"/>
        <v>254137321.99701914</v>
      </c>
      <c r="I8" s="261">
        <f t="shared" si="0"/>
        <v>264302814.8768999</v>
      </c>
      <c r="J8" s="261">
        <f t="shared" si="0"/>
        <v>274874927.47197592</v>
      </c>
      <c r="K8" s="261">
        <f t="shared" si="0"/>
        <v>285869924.57085496</v>
      </c>
      <c r="L8" s="261">
        <f t="shared" si="0"/>
        <v>297304721.55368924</v>
      </c>
    </row>
    <row r="9" spans="1:12">
      <c r="A9" s="249" t="s">
        <v>381</v>
      </c>
      <c r="B9" s="184"/>
      <c r="C9" s="258"/>
      <c r="D9" s="184"/>
      <c r="E9" s="184"/>
      <c r="F9" s="184"/>
      <c r="G9" s="184"/>
      <c r="H9" s="184"/>
      <c r="I9" s="184"/>
      <c r="J9" s="184"/>
      <c r="K9" s="184"/>
      <c r="L9" s="184"/>
    </row>
    <row r="10" spans="1:12">
      <c r="A10" s="206" t="s">
        <v>272</v>
      </c>
      <c r="B10" s="259">
        <f>'Costo operacion'!G10</f>
        <v>0</v>
      </c>
      <c r="C10" s="259">
        <f>'Costo operacion'!H10</f>
        <v>159172800</v>
      </c>
      <c r="D10" s="259">
        <f>'Costo operacion'!I10</f>
        <v>165539712</v>
      </c>
      <c r="E10" s="259">
        <f>'Costo operacion'!J10</f>
        <v>172161300.48000002</v>
      </c>
      <c r="F10" s="259">
        <f>'Costo operacion'!K10</f>
        <v>179047752.49920002</v>
      </c>
      <c r="G10" s="259">
        <f>'Costo operacion'!L10</f>
        <v>186209662.59916803</v>
      </c>
      <c r="H10" s="259">
        <f>'Costo operacion'!M10</f>
        <v>193658049.10313475</v>
      </c>
      <c r="I10" s="259">
        <f>'Costo operacion'!N10</f>
        <v>201404371.06726015</v>
      </c>
      <c r="J10" s="259">
        <f>'Costo operacion'!O10</f>
        <v>209460545.90995058</v>
      </c>
      <c r="K10" s="259">
        <f>'Costo operacion'!P10</f>
        <v>217838967.74634859</v>
      </c>
      <c r="L10" s="259">
        <f>'Costo operacion'!Q10</f>
        <v>226552526.45620254</v>
      </c>
    </row>
    <row r="11" spans="1:12">
      <c r="A11" s="206" t="s">
        <v>382</v>
      </c>
      <c r="B11" s="259">
        <f>'Costo operacion'!G15</f>
        <v>0</v>
      </c>
      <c r="C11" s="259">
        <f>'Costo operacion'!H15</f>
        <v>5825814.5820000004</v>
      </c>
      <c r="D11" s="259">
        <f>'Costo operacion'!I15</f>
        <v>5825814.5820000004</v>
      </c>
      <c r="E11" s="259">
        <f>'Costo operacion'!J15</f>
        <v>5825814.5820000004</v>
      </c>
      <c r="F11" s="259">
        <f>'Costo operacion'!K15</f>
        <v>5825814.5820000004</v>
      </c>
      <c r="G11" s="259">
        <f>'Costo operacion'!L15</f>
        <v>5825814.5820000004</v>
      </c>
      <c r="H11" s="259">
        <f>'Costo operacion'!M15</f>
        <v>5825814.5820000004</v>
      </c>
      <c r="I11" s="259">
        <f>'Costo operacion'!N15</f>
        <v>8025814.5820000004</v>
      </c>
      <c r="J11" s="259">
        <f>'Costo operacion'!O15</f>
        <v>8025814.5820000004</v>
      </c>
      <c r="K11" s="259">
        <f>'Costo operacion'!P15</f>
        <v>8025814.5820000004</v>
      </c>
      <c r="L11" s="259">
        <f>'Costo operacion'!Q15</f>
        <v>8025814.5820000004</v>
      </c>
    </row>
    <row r="12" spans="1:12">
      <c r="A12" s="206" t="s">
        <v>371</v>
      </c>
      <c r="B12" s="259">
        <f>'Costo operacion'!G18</f>
        <v>0</v>
      </c>
      <c r="C12" s="259">
        <f>'Costo operacion'!H18</f>
        <v>33582220</v>
      </c>
      <c r="D12" s="259">
        <f>'Costo operacion'!I18</f>
        <v>34905695.200000003</v>
      </c>
      <c r="E12" s="259">
        <f>'Costo operacion'!J18</f>
        <v>36282109.408</v>
      </c>
      <c r="F12" s="259">
        <f>'Costo operacion'!K18</f>
        <v>37713580.184320003</v>
      </c>
      <c r="G12" s="259">
        <f>'Costo operacion'!L18</f>
        <v>39202309.791692808</v>
      </c>
      <c r="H12" s="259">
        <f>'Costo operacion'!M18</f>
        <v>40503448.583360523</v>
      </c>
      <c r="I12" s="259">
        <f>'Costo operacion'!N18</f>
        <v>42113658.526694939</v>
      </c>
      <c r="J12" s="259">
        <f>'Costo operacion'!O18</f>
        <v>43788276.867762744</v>
      </c>
      <c r="K12" s="259">
        <f>'Costo operacion'!P18</f>
        <v>45529879.942473255</v>
      </c>
      <c r="L12" s="259">
        <f>'Costo operacion'!Q18</f>
        <v>47341147.140172184</v>
      </c>
    </row>
    <row r="13" spans="1:12">
      <c r="A13" s="206" t="s">
        <v>281</v>
      </c>
      <c r="B13" s="259">
        <f>'Costo operacion'!G22</f>
        <v>0</v>
      </c>
      <c r="C13" s="259">
        <f>'Costo operacion'!H22</f>
        <v>500000</v>
      </c>
      <c r="D13" s="259">
        <f>'Costo operacion'!I22</f>
        <v>500000</v>
      </c>
      <c r="E13" s="259">
        <f>'Costo operacion'!J22</f>
        <v>500000</v>
      </c>
      <c r="F13" s="259">
        <f>'Costo operacion'!K22</f>
        <v>500000</v>
      </c>
      <c r="G13" s="259">
        <f>'Costo operacion'!L22</f>
        <v>500000</v>
      </c>
      <c r="H13" s="259">
        <f>'Costo operacion'!M22</f>
        <v>500000</v>
      </c>
      <c r="I13" s="259">
        <f>'Costo operacion'!N22</f>
        <v>500000</v>
      </c>
      <c r="J13" s="259">
        <f>'Costo operacion'!O22</f>
        <v>500000</v>
      </c>
      <c r="K13" s="259">
        <f>'Costo operacion'!P22</f>
        <v>500000</v>
      </c>
      <c r="L13" s="259">
        <f>'Costo operacion'!Q22</f>
        <v>500000</v>
      </c>
    </row>
    <row r="14" spans="1:12">
      <c r="A14" s="228" t="s">
        <v>383</v>
      </c>
      <c r="B14" s="261">
        <f>SUM(B10:B13)</f>
        <v>0</v>
      </c>
      <c r="C14" s="262">
        <f>SUM(C10:C13)</f>
        <v>199080834.58199999</v>
      </c>
      <c r="D14" s="261">
        <f t="shared" ref="D14:L14" si="1">SUM(D10:D13)</f>
        <v>206771221.78200001</v>
      </c>
      <c r="E14" s="261">
        <f t="shared" si="1"/>
        <v>214769224.47</v>
      </c>
      <c r="F14" s="261">
        <f>SUM(F10:F13)</f>
        <v>223087147.26552001</v>
      </c>
      <c r="G14" s="261">
        <f t="shared" si="1"/>
        <v>231737786.97286081</v>
      </c>
      <c r="H14" s="261">
        <f t="shared" si="1"/>
        <v>240487312.26849526</v>
      </c>
      <c r="I14" s="261">
        <f t="shared" si="1"/>
        <v>252043844.17595506</v>
      </c>
      <c r="J14" s="261">
        <f t="shared" si="1"/>
        <v>261774637.35971332</v>
      </c>
      <c r="K14" s="261">
        <f t="shared" si="1"/>
        <v>271894662.27082181</v>
      </c>
      <c r="L14" s="261">
        <f t="shared" si="1"/>
        <v>282419488.17837471</v>
      </c>
    </row>
    <row r="15" spans="1:12">
      <c r="A15" s="184" t="s">
        <v>384</v>
      </c>
      <c r="B15" s="184"/>
      <c r="C15" s="258"/>
      <c r="D15" s="184"/>
      <c r="E15" s="184"/>
      <c r="F15" s="184"/>
      <c r="G15" s="184"/>
      <c r="H15" s="184"/>
      <c r="I15" s="184"/>
      <c r="J15" s="184"/>
      <c r="K15" s="184"/>
      <c r="L15" s="184"/>
    </row>
    <row r="16" spans="1:12">
      <c r="A16" s="206" t="s">
        <v>309</v>
      </c>
      <c r="B16" s="259">
        <f>-Inversion!B3</f>
        <v>-24214745.82</v>
      </c>
      <c r="C16" s="259">
        <f>-Inversion!C3</f>
        <v>0</v>
      </c>
      <c r="D16" s="259">
        <f>-Inversion!D3</f>
        <v>0</v>
      </c>
      <c r="E16" s="259">
        <f>-Inversion!E3</f>
        <v>0</v>
      </c>
      <c r="F16" s="259">
        <f>-Inversion!F3</f>
        <v>0</v>
      </c>
      <c r="G16" s="259">
        <f>-Inversion!G3</f>
        <v>0</v>
      </c>
      <c r="H16" s="259">
        <f>-Inversion!H3</f>
        <v>-1856600</v>
      </c>
      <c r="I16" s="259">
        <f>-Inversion!I3</f>
        <v>0</v>
      </c>
      <c r="J16" s="259">
        <f>-Inversion!J3</f>
        <v>-11000000</v>
      </c>
      <c r="K16" s="259">
        <f>-Inversion!K3</f>
        <v>0</v>
      </c>
      <c r="L16" s="259">
        <f>-Inversion!L3</f>
        <v>0</v>
      </c>
    </row>
    <row r="17" spans="1:14">
      <c r="A17" s="206" t="s">
        <v>310</v>
      </c>
      <c r="B17" s="259">
        <f>-Inversion!B12</f>
        <v>-150000</v>
      </c>
      <c r="C17" s="259">
        <f>-Inversion!C12</f>
        <v>0</v>
      </c>
      <c r="D17" s="259">
        <f>-Inversion!D12</f>
        <v>0</v>
      </c>
      <c r="E17" s="259">
        <f>-Inversion!E12</f>
        <v>0</v>
      </c>
      <c r="F17" s="259">
        <f>-Inversion!F12</f>
        <v>0</v>
      </c>
      <c r="G17" s="259">
        <f>-Inversion!G12</f>
        <v>0</v>
      </c>
      <c r="H17" s="259">
        <f>-Inversion!H12</f>
        <v>0</v>
      </c>
      <c r="I17" s="259">
        <f>-Inversion!I12</f>
        <v>0</v>
      </c>
      <c r="J17" s="259">
        <f>-Inversion!J12</f>
        <v>0</v>
      </c>
      <c r="K17" s="259">
        <f>-Inversion!K12</f>
        <v>0</v>
      </c>
      <c r="L17" s="259">
        <f>-Inversion!L12</f>
        <v>0</v>
      </c>
    </row>
    <row r="18" spans="1:14">
      <c r="A18" s="206" t="s">
        <v>116</v>
      </c>
      <c r="B18" s="259">
        <f>-Inversion!B14</f>
        <v>-2414250</v>
      </c>
      <c r="C18" s="259">
        <f>-Inversion!C14</f>
        <v>0</v>
      </c>
      <c r="D18" s="259">
        <f>-Inversion!D14</f>
        <v>0</v>
      </c>
      <c r="E18" s="259">
        <f>-Inversion!E14</f>
        <v>0</v>
      </c>
      <c r="F18" s="259">
        <f>-Inversion!F14</f>
        <v>0</v>
      </c>
      <c r="G18" s="259">
        <f>-Inversion!G14</f>
        <v>0</v>
      </c>
      <c r="H18" s="259">
        <f>-Inversion!H14</f>
        <v>0</v>
      </c>
      <c r="I18" s="259">
        <f>-Inversion!I14</f>
        <v>0</v>
      </c>
      <c r="J18" s="259">
        <f>-Inversion!J14</f>
        <v>0</v>
      </c>
      <c r="K18" s="259">
        <f>-Inversion!K14</f>
        <v>0</v>
      </c>
      <c r="L18" s="259">
        <f>-Inversion!L14</f>
        <v>0</v>
      </c>
    </row>
    <row r="19" spans="1:14">
      <c r="A19" s="206" t="s">
        <v>372</v>
      </c>
      <c r="B19" s="259">
        <f>-Inversion!B17</f>
        <v>-5000000</v>
      </c>
      <c r="C19" s="259">
        <f>-Inversion!C17</f>
        <v>0</v>
      </c>
      <c r="D19" s="259">
        <f>-Inversion!D17</f>
        <v>0</v>
      </c>
      <c r="E19" s="259">
        <f>-Inversion!E17</f>
        <v>0</v>
      </c>
      <c r="F19" s="259">
        <f>-Inversion!F17</f>
        <v>0</v>
      </c>
      <c r="G19" s="259">
        <f>-Inversion!G17</f>
        <v>0</v>
      </c>
      <c r="H19" s="259">
        <f>-Inversion!H17</f>
        <v>0</v>
      </c>
      <c r="I19" s="259">
        <f>-Inversion!I17</f>
        <v>0</v>
      </c>
      <c r="J19" s="259">
        <f>-Inversion!J17</f>
        <v>0</v>
      </c>
      <c r="K19" s="259">
        <f>-Inversion!K17</f>
        <v>0</v>
      </c>
      <c r="L19" s="259">
        <f>-Inversion!L17</f>
        <v>0</v>
      </c>
      <c r="M19" s="259"/>
      <c r="N19" s="259"/>
    </row>
    <row r="20" spans="1:14">
      <c r="A20" s="251" t="s">
        <v>311</v>
      </c>
      <c r="B20" s="259">
        <f>-Inversion!B19</f>
        <v>0</v>
      </c>
      <c r="C20" s="259">
        <f>-Inversion!C19</f>
        <v>0</v>
      </c>
      <c r="D20" s="259">
        <f>-Inversion!D19</f>
        <v>0</v>
      </c>
      <c r="E20" s="259">
        <f>-Inversion!E19</f>
        <v>0</v>
      </c>
      <c r="F20" s="259">
        <f>-Inversion!F19</f>
        <v>0</v>
      </c>
      <c r="G20" s="259">
        <f>-Inversion!G19</f>
        <v>0</v>
      </c>
      <c r="H20" s="259">
        <f>-Inversion!H19</f>
        <v>0</v>
      </c>
      <c r="I20" s="259">
        <f>-Inversion!I19</f>
        <v>0</v>
      </c>
      <c r="J20" s="259">
        <f>-Inversion!J19</f>
        <v>0</v>
      </c>
      <c r="K20" s="259">
        <f>-Inversion!K19</f>
        <v>0</v>
      </c>
      <c r="L20" s="259">
        <f>-Inversion!L19</f>
        <v>0</v>
      </c>
    </row>
    <row r="21" spans="1:14">
      <c r="A21" s="228" t="s">
        <v>389</v>
      </c>
      <c r="B21" s="261">
        <f>SUM(B16:B20)</f>
        <v>-31778995.82</v>
      </c>
      <c r="C21" s="261">
        <f>SUM(C16:C20)</f>
        <v>0</v>
      </c>
      <c r="D21" s="261">
        <f t="shared" ref="D21:L21" si="2">SUM(D16:D20)</f>
        <v>0</v>
      </c>
      <c r="E21" s="261">
        <f t="shared" si="2"/>
        <v>0</v>
      </c>
      <c r="F21" s="261">
        <f t="shared" si="2"/>
        <v>0</v>
      </c>
      <c r="G21" s="261">
        <f t="shared" si="2"/>
        <v>0</v>
      </c>
      <c r="H21" s="261">
        <f t="shared" si="2"/>
        <v>-1856600</v>
      </c>
      <c r="I21" s="261">
        <f t="shared" si="2"/>
        <v>0</v>
      </c>
      <c r="J21" s="261">
        <f t="shared" si="2"/>
        <v>-11000000</v>
      </c>
      <c r="K21" s="261">
        <f t="shared" si="2"/>
        <v>0</v>
      </c>
      <c r="L21" s="261">
        <f t="shared" si="2"/>
        <v>0</v>
      </c>
    </row>
    <row r="22" spans="1:14">
      <c r="A22" s="252" t="s">
        <v>373</v>
      </c>
      <c r="B22" s="263">
        <f t="shared" ref="B22:L22" si="3">B8-B14+B21</f>
        <v>-31778995.82</v>
      </c>
      <c r="C22" s="264">
        <f t="shared" si="3"/>
        <v>9801519.206579715</v>
      </c>
      <c r="D22" s="263">
        <f t="shared" si="3"/>
        <v>10466426.158122897</v>
      </c>
      <c r="E22" s="263">
        <f t="shared" si="3"/>
        <v>11157929.387727827</v>
      </c>
      <c r="F22" s="263">
        <f t="shared" si="3"/>
        <v>11877092.746516943</v>
      </c>
      <c r="G22" s="263">
        <f t="shared" si="3"/>
        <v>12625022.639657587</v>
      </c>
      <c r="H22" s="263">
        <f t="shared" si="3"/>
        <v>11793409.72852388</v>
      </c>
      <c r="I22" s="263">
        <f t="shared" si="3"/>
        <v>12258970.700944841</v>
      </c>
      <c r="J22" s="263">
        <f t="shared" si="3"/>
        <v>2100290.1122626066</v>
      </c>
      <c r="K22" s="263">
        <f t="shared" si="3"/>
        <v>13975262.300033152</v>
      </c>
      <c r="L22" s="263">
        <f t="shared" si="3"/>
        <v>14885233.375314534</v>
      </c>
    </row>
    <row r="23" spans="1:14">
      <c r="A23" s="8" t="s">
        <v>374</v>
      </c>
      <c r="B23" s="259">
        <v>0</v>
      </c>
      <c r="C23" s="260">
        <f>C22*0.34</f>
        <v>3332516.5302371033</v>
      </c>
      <c r="D23" s="259">
        <f>D22*0.34</f>
        <v>3558584.8937617852</v>
      </c>
      <c r="E23" s="259">
        <f t="shared" ref="E23:L23" si="4">E22*0.34</f>
        <v>3793695.9918274614</v>
      </c>
      <c r="F23" s="259">
        <f t="shared" si="4"/>
        <v>4038211.5338157611</v>
      </c>
      <c r="G23" s="259">
        <f t="shared" si="4"/>
        <v>4292507.6974835796</v>
      </c>
      <c r="H23" s="259">
        <f t="shared" si="4"/>
        <v>4009759.3076981194</v>
      </c>
      <c r="I23" s="259">
        <f t="shared" si="4"/>
        <v>4168050.0383212464</v>
      </c>
      <c r="J23" s="259">
        <f t="shared" si="4"/>
        <v>714098.63816928631</v>
      </c>
      <c r="K23" s="259">
        <f t="shared" si="4"/>
        <v>4751589.1820112718</v>
      </c>
      <c r="L23" s="259">
        <f t="shared" si="4"/>
        <v>5060979.3476069421</v>
      </c>
    </row>
    <row r="24" spans="1:14">
      <c r="A24" s="8" t="s">
        <v>386</v>
      </c>
      <c r="B24" s="259">
        <f>'Depreciacion equipos'!B27</f>
        <v>0</v>
      </c>
      <c r="C24" s="260">
        <f>'Depreciacion equipos'!C27</f>
        <v>2225814.5820000004</v>
      </c>
      <c r="D24" s="259">
        <f>'Depreciacion equipos'!D27</f>
        <v>2225814.5820000004</v>
      </c>
      <c r="E24" s="259">
        <f>'Depreciacion equipos'!E27</f>
        <v>2225814.5820000004</v>
      </c>
      <c r="F24" s="259">
        <f>'Depreciacion equipos'!F27</f>
        <v>2225814.5820000004</v>
      </c>
      <c r="G24" s="259">
        <f>'Depreciacion equipos'!G27</f>
        <v>2225814.5820000004</v>
      </c>
      <c r="H24" s="259">
        <f>'Depreciacion equipos'!H27</f>
        <v>2225814.5820000004</v>
      </c>
      <c r="I24" s="259">
        <f>'Depreciacion equipos'!I27</f>
        <v>4425814.5820000004</v>
      </c>
      <c r="J24" s="259">
        <f>'Depreciacion equipos'!J27</f>
        <v>4425814.5820000004</v>
      </c>
      <c r="K24" s="259">
        <f>'Depreciacion equipos'!K27</f>
        <v>4425814.5820000004</v>
      </c>
      <c r="L24" s="259">
        <f>'Depreciacion equipos'!L27</f>
        <v>4425814.5820000004</v>
      </c>
    </row>
    <row r="25" spans="1:14">
      <c r="A25" s="300" t="s">
        <v>388</v>
      </c>
      <c r="B25" s="68">
        <f>'Apalancamiento financiero'!F11</f>
        <v>20000000</v>
      </c>
      <c r="C25" s="68">
        <f>-'Apalancamiento financiero'!I13</f>
        <v>-9821122.3300000001</v>
      </c>
      <c r="D25" s="68">
        <f>-'Apalancamiento financiero'!I14</f>
        <v>-7912425.9700000007</v>
      </c>
      <c r="E25" s="68">
        <f>-'Apalancamiento financiero'!I15</f>
        <v>-8006526.7700000005</v>
      </c>
      <c r="F25" s="302">
        <v>0</v>
      </c>
      <c r="G25" s="302">
        <v>0</v>
      </c>
      <c r="H25" s="302">
        <v>0</v>
      </c>
      <c r="I25" s="302">
        <v>0</v>
      </c>
      <c r="J25" s="302">
        <v>0</v>
      </c>
      <c r="K25" s="302">
        <v>0</v>
      </c>
      <c r="L25" s="302">
        <v>0</v>
      </c>
    </row>
    <row r="26" spans="1:14">
      <c r="A26" s="9" t="s">
        <v>375</v>
      </c>
      <c r="B26" s="265">
        <f>B22-B23+B24+B25</f>
        <v>-11778995.82</v>
      </c>
      <c r="C26" s="265">
        <f>C22-C23+C24+C25</f>
        <v>-1126305.0716573875</v>
      </c>
      <c r="D26" s="265">
        <f>D22-D23+D24+D25</f>
        <v>1221229.8763611112</v>
      </c>
      <c r="E26" s="265">
        <f t="shared" ref="E26:L26" si="5">E22-E23+E24+E25</f>
        <v>1583521.2079003649</v>
      </c>
      <c r="F26" s="265">
        <f t="shared" si="5"/>
        <v>10064695.794701181</v>
      </c>
      <c r="G26" s="265">
        <f t="shared" si="5"/>
        <v>10558329.524174009</v>
      </c>
      <c r="H26" s="265">
        <f t="shared" si="5"/>
        <v>10009465.002825761</v>
      </c>
      <c r="I26" s="265">
        <f t="shared" si="5"/>
        <v>12516735.244623594</v>
      </c>
      <c r="J26" s="265">
        <f t="shared" si="5"/>
        <v>5812006.0560933203</v>
      </c>
      <c r="K26" s="265">
        <f t="shared" si="5"/>
        <v>13649487.70002188</v>
      </c>
      <c r="L26" s="265">
        <f t="shared" si="5"/>
        <v>14250068.609707592</v>
      </c>
    </row>
    <row r="27" spans="1:14">
      <c r="A27" s="8" t="s">
        <v>376</v>
      </c>
      <c r="B27" s="272"/>
      <c r="C27" s="185"/>
      <c r="D27" s="185"/>
      <c r="E27" s="185"/>
      <c r="F27" s="185"/>
      <c r="G27" s="185"/>
      <c r="H27" s="185"/>
      <c r="I27" s="185"/>
      <c r="J27" s="185"/>
      <c r="K27" s="185"/>
      <c r="L27" s="185"/>
    </row>
    <row r="28" spans="1:14">
      <c r="A28" s="166" t="s">
        <v>377</v>
      </c>
      <c r="B28" s="301">
        <f>IRR(B26:L26)</f>
        <v>0.33864206222348781</v>
      </c>
      <c r="C28" s="185"/>
      <c r="D28" s="185"/>
      <c r="E28" s="185"/>
      <c r="F28" s="185"/>
      <c r="G28" s="185"/>
      <c r="H28" s="185"/>
      <c r="I28" s="185"/>
      <c r="J28" s="185"/>
      <c r="K28" s="185"/>
      <c r="L28" s="185"/>
    </row>
    <row r="37" spans="1:12">
      <c r="B37" t="s">
        <v>396</v>
      </c>
    </row>
    <row r="38" spans="1:12">
      <c r="A38" s="396" t="s">
        <v>406</v>
      </c>
      <c r="B38" s="396"/>
      <c r="C38" s="396"/>
      <c r="D38" s="396"/>
      <c r="E38" s="396"/>
      <c r="F38" s="396"/>
      <c r="G38" s="396"/>
      <c r="H38" s="396"/>
      <c r="I38" s="396"/>
      <c r="J38" s="396"/>
      <c r="K38" s="396"/>
      <c r="L38" s="44"/>
    </row>
    <row r="39" spans="1:12">
      <c r="A39" s="44"/>
      <c r="B39" s="390" t="s">
        <v>369</v>
      </c>
      <c r="C39" s="391"/>
      <c r="D39" s="391"/>
      <c r="E39" s="391"/>
      <c r="F39" s="391"/>
      <c r="G39" s="391"/>
      <c r="H39" s="391"/>
      <c r="I39" s="391"/>
      <c r="J39" s="391"/>
      <c r="K39" s="391"/>
      <c r="L39" s="392"/>
    </row>
    <row r="40" spans="1:12">
      <c r="A40" s="44"/>
      <c r="B40" s="306">
        <v>0</v>
      </c>
      <c r="C40" s="306">
        <v>1</v>
      </c>
      <c r="D40" s="306">
        <v>2</v>
      </c>
      <c r="E40" s="306">
        <v>3</v>
      </c>
      <c r="F40" s="306">
        <v>4</v>
      </c>
      <c r="G40" s="306">
        <v>5</v>
      </c>
      <c r="H40" s="306">
        <v>6</v>
      </c>
      <c r="I40" s="306">
        <v>7</v>
      </c>
      <c r="J40" s="306">
        <v>8</v>
      </c>
      <c r="K40" s="306">
        <v>9</v>
      </c>
      <c r="L40" s="306">
        <v>10</v>
      </c>
    </row>
    <row r="41" spans="1:12">
      <c r="A41" s="44" t="s">
        <v>407</v>
      </c>
      <c r="B41" s="44">
        <v>0</v>
      </c>
      <c r="C41" s="44">
        <f>'Estimacion de ingresos'!D18</f>
        <v>152</v>
      </c>
      <c r="D41" s="312">
        <f>C41*1.04</f>
        <v>158.08000000000001</v>
      </c>
      <c r="E41" s="312">
        <f t="shared" ref="E41:L41" si="6">D41*1.04</f>
        <v>164.40320000000003</v>
      </c>
      <c r="F41" s="312">
        <f t="shared" si="6"/>
        <v>170.97932800000004</v>
      </c>
      <c r="G41" s="312">
        <f t="shared" si="6"/>
        <v>177.81850112000004</v>
      </c>
      <c r="H41" s="312">
        <f t="shared" si="6"/>
        <v>184.93124116480004</v>
      </c>
      <c r="I41" s="312">
        <f t="shared" si="6"/>
        <v>192.32849081139204</v>
      </c>
      <c r="J41" s="312">
        <f t="shared" si="6"/>
        <v>200.02163044384773</v>
      </c>
      <c r="K41" s="312">
        <f t="shared" si="6"/>
        <v>208.02249566160165</v>
      </c>
      <c r="L41" s="312">
        <f t="shared" si="6"/>
        <v>216.34339548806574</v>
      </c>
    </row>
    <row r="42" spans="1:12">
      <c r="A42" s="44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</row>
    <row r="43" spans="1:12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</row>
    <row r="44" spans="1:12">
      <c r="A44" s="44" t="s">
        <v>408</v>
      </c>
      <c r="B44" s="189">
        <f>'Estimacion de ingresos'!B25</f>
        <v>0</v>
      </c>
      <c r="C44" s="189">
        <f>'Estimacion de ingresos'!C25</f>
        <v>205682353.7885797</v>
      </c>
      <c r="D44" s="189">
        <f>'Estimacion de ingresos'!D25</f>
        <v>213909647.9401229</v>
      </c>
      <c r="E44" s="189">
        <f>'Estimacion de ingresos'!E25</f>
        <v>222466033.85772783</v>
      </c>
      <c r="F44" s="189">
        <f>'Estimacion de ingresos'!F25</f>
        <v>231364675.21203694</v>
      </c>
      <c r="G44" s="189">
        <f>'Estimacion de ingresos'!G25</f>
        <v>240619262.22051841</v>
      </c>
      <c r="H44" s="189">
        <f>'Estimacion de ingresos'!H25</f>
        <v>250244032.70933914</v>
      </c>
      <c r="I44" s="189">
        <f>'Estimacion de ingresos'!I25</f>
        <v>260253794.01771271</v>
      </c>
      <c r="J44" s="189">
        <f>'Estimacion de ingresos'!J25</f>
        <v>270663945.77842122</v>
      </c>
      <c r="K44" s="189">
        <f>'Estimacion de ingresos'!K25</f>
        <v>281490503.60955811</v>
      </c>
      <c r="L44" s="189">
        <f>'Estimacion de ingresos'!L25</f>
        <v>292750123.75394046</v>
      </c>
    </row>
    <row r="45" spans="1:12">
      <c r="A45" s="44" t="s">
        <v>409</v>
      </c>
      <c r="B45" s="189">
        <f>'Estimacion de ingresos'!B26</f>
        <v>0</v>
      </c>
      <c r="C45" s="189">
        <f>'Estimacion de ingresos'!C26</f>
        <v>3200000</v>
      </c>
      <c r="D45" s="189">
        <f>'Estimacion de ingresos'!D26</f>
        <v>3328000</v>
      </c>
      <c r="E45" s="189">
        <f>'Estimacion de ingresos'!E26</f>
        <v>3461120</v>
      </c>
      <c r="F45" s="189">
        <f>'Estimacion de ingresos'!F26</f>
        <v>3599564.8000000003</v>
      </c>
      <c r="G45" s="189">
        <f>'Estimacion de ingresos'!G26</f>
        <v>3743547.3920000005</v>
      </c>
      <c r="H45" s="189">
        <f>'Estimacion de ingresos'!H26</f>
        <v>3893289.2876800005</v>
      </c>
      <c r="I45" s="189">
        <f>'Estimacion de ingresos'!I26</f>
        <v>4049020.8591872007</v>
      </c>
      <c r="J45" s="189">
        <f>'Estimacion de ingresos'!J26</f>
        <v>4210981.6935546892</v>
      </c>
      <c r="K45" s="189">
        <f>'Estimacion de ingresos'!K26</f>
        <v>4379420.9612968769</v>
      </c>
      <c r="L45" s="189">
        <f>'Estimacion de ingresos'!L26</f>
        <v>4554597.7997487523</v>
      </c>
    </row>
    <row r="46" spans="1:12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</row>
    <row r="47" spans="1:12">
      <c r="A47" s="44" t="s">
        <v>368</v>
      </c>
      <c r="B47" s="189">
        <f>B44+B45</f>
        <v>0</v>
      </c>
      <c r="C47" s="189">
        <f t="shared" ref="C47:L47" si="7">C44+C45</f>
        <v>208882353.7885797</v>
      </c>
      <c r="D47" s="189">
        <f t="shared" si="7"/>
        <v>217237647.9401229</v>
      </c>
      <c r="E47" s="189">
        <f t="shared" si="7"/>
        <v>225927153.85772783</v>
      </c>
      <c r="F47" s="189">
        <f t="shared" si="7"/>
        <v>234964240.01203695</v>
      </c>
      <c r="G47" s="189">
        <f t="shared" si="7"/>
        <v>244362809.6125184</v>
      </c>
      <c r="H47" s="189">
        <f t="shared" si="7"/>
        <v>254137321.99701914</v>
      </c>
      <c r="I47" s="189">
        <f t="shared" si="7"/>
        <v>264302814.8768999</v>
      </c>
      <c r="J47" s="189">
        <f t="shared" si="7"/>
        <v>274874927.47197592</v>
      </c>
      <c r="K47" s="189">
        <f t="shared" si="7"/>
        <v>285869924.57085496</v>
      </c>
      <c r="L47" s="189">
        <f t="shared" si="7"/>
        <v>297304721.55368924</v>
      </c>
    </row>
    <row r="48" spans="1:12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</row>
    <row r="49" spans="1:12">
      <c r="A49" s="44" t="s">
        <v>410</v>
      </c>
      <c r="B49" s="119">
        <f>0</f>
        <v>0</v>
      </c>
      <c r="C49" s="189">
        <f>'Estimacion de ingresos'!G18</f>
        <v>171401961.49048311</v>
      </c>
      <c r="D49" s="189">
        <f>C49*1.04</f>
        <v>178258039.95010245</v>
      </c>
      <c r="E49" s="189">
        <f t="shared" ref="E49:L49" si="8">D49*1.04</f>
        <v>185388361.54810655</v>
      </c>
      <c r="F49" s="189">
        <f t="shared" si="8"/>
        <v>192803896.01003081</v>
      </c>
      <c r="G49" s="189">
        <f t="shared" si="8"/>
        <v>200516051.85043204</v>
      </c>
      <c r="H49" s="189">
        <f t="shared" si="8"/>
        <v>208536693.92444932</v>
      </c>
      <c r="I49" s="189">
        <f t="shared" si="8"/>
        <v>216878161.6814273</v>
      </c>
      <c r="J49" s="189">
        <f t="shared" si="8"/>
        <v>225553288.14868441</v>
      </c>
      <c r="K49" s="189">
        <f t="shared" si="8"/>
        <v>234575419.6746318</v>
      </c>
      <c r="L49" s="189">
        <f t="shared" si="8"/>
        <v>243958436.46161708</v>
      </c>
    </row>
    <row r="50" spans="1:12">
      <c r="A50" s="44"/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</row>
    <row r="51" spans="1:12">
      <c r="A51" s="44" t="s">
        <v>411</v>
      </c>
      <c r="B51" s="189">
        <f>'Costo operacion'!G16+'Costo operacion'!G20</f>
        <v>0</v>
      </c>
      <c r="C51" s="189">
        <f>'Costo operacion'!H16+'Costo operacion'!H20</f>
        <v>4095340</v>
      </c>
      <c r="D51" s="189">
        <f>'Costo operacion'!I16+'Costo operacion'!I20</f>
        <v>4095340</v>
      </c>
      <c r="E51" s="189">
        <f>'Costo operacion'!J16+'Costo operacion'!J20</f>
        <v>4095340</v>
      </c>
      <c r="F51" s="189">
        <f>'Costo operacion'!K16+'Costo operacion'!K20</f>
        <v>4095340</v>
      </c>
      <c r="G51" s="189">
        <f>'Costo operacion'!L16+'Costo operacion'!L20</f>
        <v>4095340</v>
      </c>
      <c r="H51" s="189">
        <f>'Costo operacion'!M16+'Costo operacion'!M20</f>
        <v>3848200</v>
      </c>
      <c r="I51" s="189">
        <f>'Costo operacion'!N16+'Costo operacion'!N20</f>
        <v>3848200</v>
      </c>
      <c r="J51" s="189">
        <f>'Costo operacion'!O16+'Costo operacion'!O20</f>
        <v>3848200</v>
      </c>
      <c r="K51" s="189">
        <f>'Costo operacion'!P16+'Costo operacion'!P20</f>
        <v>3848200</v>
      </c>
      <c r="L51" s="189">
        <f>'Costo operacion'!Q16+'Costo operacion'!Q20</f>
        <v>3848200</v>
      </c>
    </row>
    <row r="52" spans="1:12">
      <c r="A52" s="44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</row>
    <row r="53" spans="1:12">
      <c r="A53" s="44" t="s">
        <v>412</v>
      </c>
      <c r="B53" s="189">
        <f>B49+B51</f>
        <v>0</v>
      </c>
      <c r="C53" s="189">
        <f>C49+C51</f>
        <v>175497301.49048311</v>
      </c>
      <c r="D53" s="189">
        <f t="shared" ref="D53:L53" si="9">D49+D51</f>
        <v>182353379.95010245</v>
      </c>
      <c r="E53" s="189">
        <f t="shared" si="9"/>
        <v>189483701.54810655</v>
      </c>
      <c r="F53" s="189">
        <f t="shared" si="9"/>
        <v>196899236.01003081</v>
      </c>
      <c r="G53" s="189">
        <f t="shared" si="9"/>
        <v>204611391.85043204</v>
      </c>
      <c r="H53" s="189">
        <f t="shared" si="9"/>
        <v>212384893.92444932</v>
      </c>
      <c r="I53" s="189">
        <f t="shared" si="9"/>
        <v>220726361.6814273</v>
      </c>
      <c r="J53" s="189">
        <f t="shared" si="9"/>
        <v>229401488.14868441</v>
      </c>
      <c r="K53" s="189">
        <f t="shared" si="9"/>
        <v>238423619.6746318</v>
      </c>
      <c r="L53" s="189">
        <f t="shared" si="9"/>
        <v>247806636.46161708</v>
      </c>
    </row>
    <row r="54" spans="1:12">
      <c r="A54" s="44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</row>
    <row r="55" spans="1:12">
      <c r="A55" s="44" t="s">
        <v>413</v>
      </c>
      <c r="B55" s="189">
        <f>B47-B53</f>
        <v>0</v>
      </c>
      <c r="C55" s="189">
        <f>C47-C53</f>
        <v>33385052.298096597</v>
      </c>
      <c r="D55" s="189">
        <f t="shared" ref="D55:L55" si="10">D47-D53</f>
        <v>34884267.990020454</v>
      </c>
      <c r="E55" s="189">
        <f t="shared" si="10"/>
        <v>36443452.309621274</v>
      </c>
      <c r="F55" s="189">
        <f t="shared" si="10"/>
        <v>38065004.002006143</v>
      </c>
      <c r="G55" s="189">
        <f t="shared" si="10"/>
        <v>39751417.762086362</v>
      </c>
      <c r="H55" s="189">
        <f t="shared" si="10"/>
        <v>41752428.072569817</v>
      </c>
      <c r="I55" s="189">
        <f t="shared" si="10"/>
        <v>43576453.195472598</v>
      </c>
      <c r="J55" s="189">
        <f t="shared" si="10"/>
        <v>45473439.32329151</v>
      </c>
      <c r="K55" s="189">
        <f t="shared" si="10"/>
        <v>47446304.896223158</v>
      </c>
      <c r="L55" s="189">
        <f t="shared" si="10"/>
        <v>49498085.092072159</v>
      </c>
    </row>
    <row r="59" spans="1:12">
      <c r="A59" t="s">
        <v>517</v>
      </c>
      <c r="D59" t="s">
        <v>412</v>
      </c>
    </row>
    <row r="60" spans="1:12">
      <c r="A60" t="s">
        <v>414</v>
      </c>
      <c r="B60" t="s">
        <v>415</v>
      </c>
      <c r="D60" t="s">
        <v>414</v>
      </c>
      <c r="E60" t="s">
        <v>415</v>
      </c>
    </row>
    <row r="61" spans="1:12">
      <c r="A61" s="312">
        <f t="array" ref="A61:A70">TRANSPOSE(C41:L41)</f>
        <v>152</v>
      </c>
      <c r="B61">
        <f t="array" ref="B61:B70">TRANSPOSE(C47:L47)</f>
        <v>208882353.7885797</v>
      </c>
      <c r="D61" s="312">
        <f>A61</f>
        <v>152</v>
      </c>
      <c r="E61">
        <f t="array" ref="E61:E70">TRANSPOSE(C53:L53)</f>
        <v>175497301.49048311</v>
      </c>
    </row>
    <row r="62" spans="1:12">
      <c r="A62" s="312">
        <v>158.08000000000001</v>
      </c>
      <c r="B62">
        <v>217237647.9401229</v>
      </c>
      <c r="D62" s="312">
        <f t="shared" ref="D62:D70" si="11">A62</f>
        <v>158.08000000000001</v>
      </c>
      <c r="E62">
        <v>182353379.95010245</v>
      </c>
    </row>
    <row r="63" spans="1:12">
      <c r="A63" s="312">
        <v>164.40320000000003</v>
      </c>
      <c r="B63">
        <v>225927153.85772783</v>
      </c>
      <c r="D63" s="312">
        <f t="shared" si="11"/>
        <v>164.40320000000003</v>
      </c>
      <c r="E63">
        <v>189483701.54810655</v>
      </c>
    </row>
    <row r="64" spans="1:12">
      <c r="A64" s="312">
        <v>170.97932800000004</v>
      </c>
      <c r="B64">
        <v>234964240.01203695</v>
      </c>
      <c r="D64" s="312">
        <f t="shared" si="11"/>
        <v>170.97932800000004</v>
      </c>
      <c r="E64">
        <v>196899236.01003081</v>
      </c>
    </row>
    <row r="65" spans="1:5">
      <c r="A65" s="312">
        <v>177.81850112000004</v>
      </c>
      <c r="B65">
        <v>244362809.6125184</v>
      </c>
      <c r="D65" s="312">
        <f t="shared" si="11"/>
        <v>177.81850112000004</v>
      </c>
      <c r="E65">
        <v>204611391.85043204</v>
      </c>
    </row>
    <row r="66" spans="1:5">
      <c r="A66" s="312">
        <v>184.93124116480004</v>
      </c>
      <c r="B66">
        <v>254137321.99701914</v>
      </c>
      <c r="D66" s="312">
        <f t="shared" si="11"/>
        <v>184.93124116480004</v>
      </c>
      <c r="E66">
        <v>212384893.92444932</v>
      </c>
    </row>
    <row r="67" spans="1:5">
      <c r="A67" s="312">
        <v>192.32849081139204</v>
      </c>
      <c r="B67">
        <v>264302814.8768999</v>
      </c>
      <c r="D67" s="312">
        <f t="shared" si="11"/>
        <v>192.32849081139204</v>
      </c>
      <c r="E67">
        <v>220726361.6814273</v>
      </c>
    </row>
    <row r="68" spans="1:5">
      <c r="A68" s="312">
        <v>200.02163044384773</v>
      </c>
      <c r="B68">
        <v>274874927.47197592</v>
      </c>
      <c r="D68" s="312">
        <f t="shared" si="11"/>
        <v>200.02163044384773</v>
      </c>
      <c r="E68">
        <v>229401488.14868441</v>
      </c>
    </row>
    <row r="69" spans="1:5">
      <c r="A69" s="312">
        <v>208.02249566160165</v>
      </c>
      <c r="B69">
        <v>285869924.57085496</v>
      </c>
      <c r="D69" s="312">
        <f t="shared" si="11"/>
        <v>208.02249566160165</v>
      </c>
      <c r="E69">
        <v>238423619.6746318</v>
      </c>
    </row>
    <row r="70" spans="1:5">
      <c r="A70" s="312">
        <v>216.34339548806574</v>
      </c>
      <c r="B70">
        <v>297304721.55368924</v>
      </c>
      <c r="D70" s="312">
        <f t="shared" si="11"/>
        <v>216.34339548806574</v>
      </c>
      <c r="E70">
        <v>247806636.46161708</v>
      </c>
    </row>
    <row r="76" spans="1:5">
      <c r="A76" s="44"/>
    </row>
    <row r="77" spans="1:5">
      <c r="A77" s="44"/>
    </row>
    <row r="78" spans="1:5">
      <c r="A78" s="44"/>
    </row>
    <row r="79" spans="1:5">
      <c r="A79" s="44"/>
    </row>
    <row r="80" spans="1:5">
      <c r="A80" s="44"/>
    </row>
    <row r="81" spans="1:1">
      <c r="A81" s="44"/>
    </row>
    <row r="82" spans="1:1">
      <c r="A82" s="44"/>
    </row>
    <row r="83" spans="1:1">
      <c r="A83" s="44"/>
    </row>
    <row r="84" spans="1:1">
      <c r="A84" s="44"/>
    </row>
    <row r="85" spans="1:1">
      <c r="A85" s="44"/>
    </row>
    <row r="86" spans="1:1">
      <c r="A86" s="44"/>
    </row>
    <row r="87" spans="1:1">
      <c r="A87" s="44"/>
    </row>
    <row r="88" spans="1:1">
      <c r="A88" s="44"/>
    </row>
    <row r="89" spans="1:1">
      <c r="A89" s="44"/>
    </row>
    <row r="90" spans="1:1">
      <c r="A90" s="44"/>
    </row>
    <row r="91" spans="1:1">
      <c r="A91" s="44"/>
    </row>
    <row r="92" spans="1:1">
      <c r="A92" s="44"/>
    </row>
    <row r="93" spans="1:1">
      <c r="A93" s="44"/>
    </row>
    <row r="94" spans="1:1">
      <c r="A94" s="44"/>
    </row>
    <row r="95" spans="1:1">
      <c r="A95" s="44"/>
    </row>
    <row r="96" spans="1:1">
      <c r="A96" s="44"/>
    </row>
    <row r="97" spans="1:1">
      <c r="A97" s="44"/>
    </row>
    <row r="98" spans="1:1">
      <c r="A98" s="44"/>
    </row>
    <row r="99" spans="1:1">
      <c r="A99" s="44"/>
    </row>
    <row r="100" spans="1:1">
      <c r="A100" s="44"/>
    </row>
    <row r="101" spans="1:1">
      <c r="A101" s="44"/>
    </row>
    <row r="102" spans="1:1">
      <c r="A102" s="44"/>
    </row>
    <row r="103" spans="1:1">
      <c r="A103" s="44"/>
    </row>
    <row r="104" spans="1:1">
      <c r="A104" s="44"/>
    </row>
    <row r="105" spans="1:1">
      <c r="A105" s="44"/>
    </row>
    <row r="106" spans="1:1">
      <c r="A106" s="44"/>
    </row>
    <row r="107" spans="1:1">
      <c r="A107" s="44"/>
    </row>
    <row r="108" spans="1:1">
      <c r="A108" s="44"/>
    </row>
    <row r="109" spans="1:1">
      <c r="A109" s="44"/>
    </row>
    <row r="110" spans="1:1">
      <c r="A110" s="44"/>
    </row>
    <row r="111" spans="1:1">
      <c r="A111" s="44"/>
    </row>
    <row r="112" spans="1:1">
      <c r="A112" s="44"/>
    </row>
    <row r="113" spans="1:1">
      <c r="A113" s="44"/>
    </row>
    <row r="114" spans="1:1">
      <c r="A114" s="44"/>
    </row>
    <row r="115" spans="1:1">
      <c r="A115" s="44"/>
    </row>
    <row r="116" spans="1:1">
      <c r="A116" s="44"/>
    </row>
    <row r="117" spans="1:1">
      <c r="A117" s="44"/>
    </row>
    <row r="118" spans="1:1">
      <c r="A118" s="44"/>
    </row>
    <row r="119" spans="1:1">
      <c r="A119" s="44"/>
    </row>
    <row r="120" spans="1:1">
      <c r="A120" s="44"/>
    </row>
    <row r="121" spans="1:1">
      <c r="A121" s="44"/>
    </row>
    <row r="122" spans="1:1">
      <c r="A122" s="44"/>
    </row>
    <row r="123" spans="1:1">
      <c r="A123" s="44"/>
    </row>
    <row r="124" spans="1:1">
      <c r="A124" s="44"/>
    </row>
    <row r="125" spans="1:1">
      <c r="A125" s="44"/>
    </row>
    <row r="126" spans="1:1">
      <c r="A126" s="44"/>
    </row>
    <row r="127" spans="1:1">
      <c r="A127" s="44"/>
    </row>
    <row r="128" spans="1:1">
      <c r="A128" s="44"/>
    </row>
    <row r="129" spans="1:6">
      <c r="A129" s="44"/>
    </row>
    <row r="130" spans="1:6">
      <c r="A130" s="44"/>
    </row>
    <row r="131" spans="1:6">
      <c r="A131" s="44"/>
    </row>
    <row r="132" spans="1:6">
      <c r="A132" s="44"/>
    </row>
    <row r="133" spans="1:6">
      <c r="A133" s="44" t="s">
        <v>414</v>
      </c>
      <c r="B133" s="44" t="s">
        <v>415</v>
      </c>
      <c r="E133" s="312" t="str">
        <f t="shared" ref="E133:E143" si="12">A133</f>
        <v>x</v>
      </c>
      <c r="F133" t="s">
        <v>415</v>
      </c>
    </row>
    <row r="134" spans="1:6">
      <c r="A134" s="44">
        <f t="shared" ref="A134:A142" si="13">A135-2</f>
        <v>2</v>
      </c>
      <c r="B134" s="44">
        <f t="shared" ref="B134:B145" si="14">TREND($B$211:$B$220,$A$211:$A$220,A134)</f>
        <v>2748452.0235340609</v>
      </c>
      <c r="E134" s="312">
        <f t="shared" si="12"/>
        <v>2</v>
      </c>
      <c r="F134" s="44">
        <f t="shared" ref="F134:F145" si="15">TREND($F$211:$F$220,$E$211:$E$220,E134)</f>
        <v>7170873.5207586475</v>
      </c>
    </row>
    <row r="135" spans="1:6">
      <c r="A135" s="44">
        <f t="shared" si="13"/>
        <v>4</v>
      </c>
      <c r="B135" s="44">
        <f t="shared" si="14"/>
        <v>5496904.0470680026</v>
      </c>
      <c r="E135" s="312">
        <f t="shared" si="12"/>
        <v>4</v>
      </c>
      <c r="F135" s="44">
        <f t="shared" si="15"/>
        <v>9415704.2932183817</v>
      </c>
    </row>
    <row r="136" spans="1:6">
      <c r="A136" s="44">
        <f t="shared" si="13"/>
        <v>6</v>
      </c>
      <c r="B136" s="44">
        <f t="shared" si="14"/>
        <v>8245356.0706019439</v>
      </c>
      <c r="E136" s="312">
        <f t="shared" si="12"/>
        <v>6</v>
      </c>
      <c r="F136" s="44">
        <f t="shared" si="15"/>
        <v>11660535.065678114</v>
      </c>
    </row>
    <row r="137" spans="1:6">
      <c r="A137" s="44">
        <f t="shared" si="13"/>
        <v>8</v>
      </c>
      <c r="B137" s="44">
        <f t="shared" si="14"/>
        <v>10993808.094135886</v>
      </c>
      <c r="E137" s="312">
        <f t="shared" si="12"/>
        <v>8</v>
      </c>
      <c r="F137" s="44">
        <f t="shared" si="15"/>
        <v>13905365.838137848</v>
      </c>
    </row>
    <row r="138" spans="1:6">
      <c r="A138" s="44">
        <f t="shared" si="13"/>
        <v>10</v>
      </c>
      <c r="B138" s="44">
        <f t="shared" si="14"/>
        <v>13742260.117669828</v>
      </c>
      <c r="E138" s="312">
        <f t="shared" si="12"/>
        <v>10</v>
      </c>
      <c r="F138" s="44">
        <f t="shared" si="15"/>
        <v>16150196.610597583</v>
      </c>
    </row>
    <row r="139" spans="1:6">
      <c r="A139" s="44">
        <f t="shared" si="13"/>
        <v>12</v>
      </c>
      <c r="B139" s="44">
        <f t="shared" si="14"/>
        <v>16490712.141203769</v>
      </c>
      <c r="E139" s="312">
        <f t="shared" si="12"/>
        <v>12</v>
      </c>
      <c r="F139" s="44">
        <f t="shared" si="15"/>
        <v>18395027.383057315</v>
      </c>
    </row>
    <row r="140" spans="1:6">
      <c r="A140" s="44">
        <f t="shared" si="13"/>
        <v>14</v>
      </c>
      <c r="B140" s="44">
        <f t="shared" si="14"/>
        <v>19239164.164737713</v>
      </c>
      <c r="E140" s="312">
        <f t="shared" si="12"/>
        <v>14</v>
      </c>
      <c r="F140" s="44">
        <f t="shared" si="15"/>
        <v>20639858.155517049</v>
      </c>
    </row>
    <row r="141" spans="1:6">
      <c r="A141" s="44">
        <f t="shared" si="13"/>
        <v>16</v>
      </c>
      <c r="B141" s="44">
        <f t="shared" si="14"/>
        <v>21987616.188271653</v>
      </c>
      <c r="E141" s="312">
        <f t="shared" si="12"/>
        <v>16</v>
      </c>
      <c r="F141" s="44">
        <f t="shared" si="15"/>
        <v>22884688.927976783</v>
      </c>
    </row>
    <row r="142" spans="1:6">
      <c r="A142" s="44">
        <f t="shared" si="13"/>
        <v>18</v>
      </c>
      <c r="B142" s="44">
        <f t="shared" si="14"/>
        <v>24736068.211805593</v>
      </c>
      <c r="E142" s="312">
        <f t="shared" si="12"/>
        <v>18</v>
      </c>
      <c r="F142" s="44">
        <f t="shared" si="15"/>
        <v>25129519.700436518</v>
      </c>
    </row>
    <row r="143" spans="1:6">
      <c r="A143" s="44">
        <f>A145-2</f>
        <v>20</v>
      </c>
      <c r="B143" s="44">
        <f t="shared" si="14"/>
        <v>27484520.235339537</v>
      </c>
      <c r="E143" s="312">
        <f t="shared" si="12"/>
        <v>20</v>
      </c>
      <c r="F143" s="44">
        <f t="shared" si="15"/>
        <v>27374350.472896252</v>
      </c>
    </row>
    <row r="144" spans="1:6">
      <c r="A144">
        <v>21</v>
      </c>
      <c r="B144" s="44">
        <f t="shared" si="14"/>
        <v>28858746.247106507</v>
      </c>
      <c r="E144">
        <v>21</v>
      </c>
      <c r="F144" s="44">
        <f t="shared" si="15"/>
        <v>28496765.859126117</v>
      </c>
    </row>
    <row r="145" spans="1:6">
      <c r="A145" s="44">
        <f>A147-2</f>
        <v>22</v>
      </c>
      <c r="B145" s="44">
        <f t="shared" si="14"/>
        <v>30232972.258873478</v>
      </c>
      <c r="E145" s="312">
        <f>A145</f>
        <v>22</v>
      </c>
      <c r="F145" s="44">
        <f t="shared" si="15"/>
        <v>29619181.245355986</v>
      </c>
    </row>
    <row r="146" spans="1:6">
      <c r="A146">
        <v>23</v>
      </c>
      <c r="B146" s="44">
        <f t="shared" ref="B146:B198" si="16">TREND($B$211:$B$220,$A$211:$A$220,A146)</f>
        <v>31607198.270640448</v>
      </c>
      <c r="E146">
        <v>23</v>
      </c>
      <c r="F146" s="44">
        <f t="shared" ref="F146:F199" si="17">TREND($F$211:$F$220,$E$211:$E$220,E146)</f>
        <v>30741596.631585851</v>
      </c>
    </row>
    <row r="147" spans="1:6">
      <c r="A147" s="44">
        <f t="shared" ref="A147:A203" si="18">A148-2</f>
        <v>24</v>
      </c>
      <c r="B147" s="44">
        <f t="shared" si="16"/>
        <v>32981424.282407418</v>
      </c>
      <c r="E147" s="312">
        <f t="shared" ref="E147:E199" si="19">A147</f>
        <v>24</v>
      </c>
      <c r="F147" s="44">
        <f t="shared" si="17"/>
        <v>31864012.017815717</v>
      </c>
    </row>
    <row r="148" spans="1:6">
      <c r="A148" s="44">
        <f t="shared" si="18"/>
        <v>26</v>
      </c>
      <c r="B148" s="44">
        <f t="shared" si="16"/>
        <v>35729876.305941358</v>
      </c>
      <c r="E148" s="312">
        <f t="shared" si="19"/>
        <v>26</v>
      </c>
      <c r="F148" s="44">
        <f t="shared" si="17"/>
        <v>34108842.790275455</v>
      </c>
    </row>
    <row r="149" spans="1:6">
      <c r="A149" s="44">
        <f t="shared" si="18"/>
        <v>28</v>
      </c>
      <c r="B149" s="44">
        <f t="shared" si="16"/>
        <v>38478328.329475306</v>
      </c>
      <c r="E149" s="312">
        <f t="shared" si="19"/>
        <v>28</v>
      </c>
      <c r="F149" s="44">
        <f t="shared" si="17"/>
        <v>36353673.562735185</v>
      </c>
    </row>
    <row r="150" spans="1:6">
      <c r="A150" s="44">
        <f t="shared" si="18"/>
        <v>30</v>
      </c>
      <c r="B150" s="44">
        <f t="shared" si="16"/>
        <v>41226780.353009246</v>
      </c>
      <c r="E150" s="312">
        <f t="shared" si="19"/>
        <v>30</v>
      </c>
      <c r="F150" s="44">
        <f t="shared" si="17"/>
        <v>38598504.335194923</v>
      </c>
    </row>
    <row r="151" spans="1:6">
      <c r="A151" s="44">
        <f t="shared" si="18"/>
        <v>32</v>
      </c>
      <c r="B151" s="44">
        <f t="shared" si="16"/>
        <v>43975232.376543187</v>
      </c>
      <c r="E151" s="312">
        <f t="shared" si="19"/>
        <v>32</v>
      </c>
      <c r="F151" s="44">
        <f t="shared" si="17"/>
        <v>40843335.107654653</v>
      </c>
    </row>
    <row r="152" spans="1:6">
      <c r="A152" s="44">
        <f t="shared" si="18"/>
        <v>34</v>
      </c>
      <c r="B152" s="44">
        <f t="shared" si="16"/>
        <v>46723684.400077127</v>
      </c>
      <c r="E152" s="312">
        <f t="shared" si="19"/>
        <v>34</v>
      </c>
      <c r="F152" s="44">
        <f t="shared" si="17"/>
        <v>43088165.880114384</v>
      </c>
    </row>
    <row r="153" spans="1:6">
      <c r="A153" s="44">
        <f t="shared" si="18"/>
        <v>36</v>
      </c>
      <c r="B153" s="44">
        <f t="shared" si="16"/>
        <v>49472136.423611067</v>
      </c>
      <c r="E153" s="312">
        <f t="shared" si="19"/>
        <v>36</v>
      </c>
      <c r="F153" s="44">
        <f t="shared" si="17"/>
        <v>45332996.652574122</v>
      </c>
    </row>
    <row r="154" spans="1:6">
      <c r="A154" s="44">
        <f t="shared" si="18"/>
        <v>38</v>
      </c>
      <c r="B154" s="44">
        <f t="shared" si="16"/>
        <v>52220588.447145015</v>
      </c>
      <c r="E154" s="312">
        <f t="shared" si="19"/>
        <v>38</v>
      </c>
      <c r="F154" s="44">
        <f t="shared" si="17"/>
        <v>47577827.425033852</v>
      </c>
    </row>
    <row r="155" spans="1:6">
      <c r="A155" s="44">
        <f t="shared" si="18"/>
        <v>40</v>
      </c>
      <c r="B155" s="44">
        <f t="shared" si="16"/>
        <v>54969040.470678955</v>
      </c>
      <c r="E155" s="312">
        <f t="shared" si="19"/>
        <v>40</v>
      </c>
      <c r="F155" s="44">
        <f t="shared" si="17"/>
        <v>49822658.19749359</v>
      </c>
    </row>
    <row r="156" spans="1:6">
      <c r="A156" s="44">
        <f t="shared" si="18"/>
        <v>42</v>
      </c>
      <c r="B156" s="44">
        <f t="shared" si="16"/>
        <v>57717492.494212896</v>
      </c>
      <c r="E156" s="312">
        <f t="shared" si="19"/>
        <v>42</v>
      </c>
      <c r="F156" s="44">
        <f t="shared" si="17"/>
        <v>52067488.969953321</v>
      </c>
    </row>
    <row r="157" spans="1:6">
      <c r="A157" s="44">
        <f t="shared" si="18"/>
        <v>44</v>
      </c>
      <c r="B157" s="44">
        <f t="shared" si="16"/>
        <v>60465944.517746836</v>
      </c>
      <c r="E157" s="312">
        <f t="shared" si="19"/>
        <v>44</v>
      </c>
      <c r="F157" s="44">
        <f t="shared" si="17"/>
        <v>54312319.742413059</v>
      </c>
    </row>
    <row r="158" spans="1:6">
      <c r="A158" s="44">
        <f t="shared" si="18"/>
        <v>46</v>
      </c>
      <c r="B158" s="44">
        <f t="shared" si="16"/>
        <v>63214396.541280776</v>
      </c>
      <c r="E158" s="312">
        <f t="shared" si="19"/>
        <v>46</v>
      </c>
      <c r="F158" s="44">
        <f t="shared" si="17"/>
        <v>56557150.514872789</v>
      </c>
    </row>
    <row r="159" spans="1:6">
      <c r="A159" s="44">
        <f t="shared" si="18"/>
        <v>48</v>
      </c>
      <c r="B159" s="44">
        <f t="shared" si="16"/>
        <v>65962848.564814717</v>
      </c>
      <c r="E159" s="312">
        <f t="shared" si="19"/>
        <v>48</v>
      </c>
      <c r="F159" s="44">
        <f t="shared" si="17"/>
        <v>58801981.28733252</v>
      </c>
    </row>
    <row r="160" spans="1:6">
      <c r="A160" s="44">
        <f t="shared" si="18"/>
        <v>50</v>
      </c>
      <c r="B160" s="44">
        <f t="shared" si="16"/>
        <v>68711300.588348657</v>
      </c>
      <c r="E160" s="312">
        <f t="shared" si="19"/>
        <v>50</v>
      </c>
      <c r="F160" s="44">
        <f t="shared" si="17"/>
        <v>61046812.059792258</v>
      </c>
    </row>
    <row r="161" spans="1:6">
      <c r="A161" s="44">
        <f t="shared" si="18"/>
        <v>52</v>
      </c>
      <c r="B161" s="44">
        <f t="shared" si="16"/>
        <v>71459752.611882597</v>
      </c>
      <c r="E161" s="312">
        <f t="shared" si="19"/>
        <v>52</v>
      </c>
      <c r="F161" s="44">
        <f t="shared" si="17"/>
        <v>63291642.832251988</v>
      </c>
    </row>
    <row r="162" spans="1:6">
      <c r="A162" s="44">
        <f t="shared" si="18"/>
        <v>54</v>
      </c>
      <c r="B162" s="44">
        <f t="shared" si="16"/>
        <v>74208204.635416552</v>
      </c>
      <c r="E162" s="312">
        <f t="shared" si="19"/>
        <v>54</v>
      </c>
      <c r="F162" s="44">
        <f t="shared" si="17"/>
        <v>65536473.604711726</v>
      </c>
    </row>
    <row r="163" spans="1:6">
      <c r="A163" s="44">
        <f t="shared" si="18"/>
        <v>56</v>
      </c>
      <c r="B163" s="44">
        <f t="shared" si="16"/>
        <v>76956656.658950493</v>
      </c>
      <c r="E163" s="312">
        <f t="shared" si="19"/>
        <v>56</v>
      </c>
      <c r="F163" s="44">
        <f t="shared" si="17"/>
        <v>67781304.377171457</v>
      </c>
    </row>
    <row r="164" spans="1:6">
      <c r="A164" s="44">
        <f t="shared" si="18"/>
        <v>58</v>
      </c>
      <c r="B164" s="44">
        <f t="shared" si="16"/>
        <v>79705108.682484433</v>
      </c>
      <c r="E164" s="312">
        <f t="shared" si="19"/>
        <v>58</v>
      </c>
      <c r="F164" s="44">
        <f t="shared" si="17"/>
        <v>70026135.149631202</v>
      </c>
    </row>
    <row r="165" spans="1:6">
      <c r="A165" s="44">
        <f t="shared" si="18"/>
        <v>60</v>
      </c>
      <c r="B165" s="44">
        <f t="shared" si="16"/>
        <v>82453560.706018373</v>
      </c>
      <c r="E165" s="312">
        <f t="shared" si="19"/>
        <v>60</v>
      </c>
      <c r="F165" s="44">
        <f t="shared" si="17"/>
        <v>72270965.922090933</v>
      </c>
    </row>
    <row r="166" spans="1:6">
      <c r="A166" s="44">
        <f t="shared" si="18"/>
        <v>62</v>
      </c>
      <c r="B166" s="44">
        <f t="shared" si="16"/>
        <v>85202012.729552314</v>
      </c>
      <c r="E166" s="312">
        <f t="shared" si="19"/>
        <v>62</v>
      </c>
      <c r="F166" s="44">
        <f t="shared" si="17"/>
        <v>74515796.694550663</v>
      </c>
    </row>
    <row r="167" spans="1:6">
      <c r="A167" s="44">
        <f t="shared" si="18"/>
        <v>64</v>
      </c>
      <c r="B167" s="44">
        <f t="shared" si="16"/>
        <v>87950464.753086254</v>
      </c>
      <c r="E167" s="312">
        <f t="shared" si="19"/>
        <v>64</v>
      </c>
      <c r="F167" s="44">
        <f t="shared" si="17"/>
        <v>76760627.467010394</v>
      </c>
    </row>
    <row r="168" spans="1:6">
      <c r="A168" s="44">
        <f t="shared" si="18"/>
        <v>66</v>
      </c>
      <c r="B168" s="44">
        <f t="shared" si="16"/>
        <v>90698916.776620194</v>
      </c>
      <c r="E168" s="312">
        <f t="shared" si="19"/>
        <v>66</v>
      </c>
      <c r="F168" s="44">
        <f t="shared" si="17"/>
        <v>79005458.239470124</v>
      </c>
    </row>
    <row r="169" spans="1:6">
      <c r="A169" s="44">
        <f t="shared" si="18"/>
        <v>68</v>
      </c>
      <c r="B169" s="44">
        <f t="shared" si="16"/>
        <v>93447368.800154135</v>
      </c>
      <c r="E169" s="312">
        <f t="shared" si="19"/>
        <v>68</v>
      </c>
      <c r="F169" s="44">
        <f t="shared" si="17"/>
        <v>81250289.011929855</v>
      </c>
    </row>
    <row r="170" spans="1:6">
      <c r="A170" s="44">
        <f t="shared" si="18"/>
        <v>70</v>
      </c>
      <c r="B170" s="44">
        <f t="shared" si="16"/>
        <v>96195820.823688075</v>
      </c>
      <c r="E170" s="312">
        <f t="shared" si="19"/>
        <v>70</v>
      </c>
      <c r="F170" s="44">
        <f t="shared" si="17"/>
        <v>83495119.7843896</v>
      </c>
    </row>
    <row r="171" spans="1:6">
      <c r="A171" s="44">
        <f t="shared" si="18"/>
        <v>72</v>
      </c>
      <c r="B171" s="44">
        <f t="shared" si="16"/>
        <v>98944272.847222015</v>
      </c>
      <c r="E171" s="312">
        <f t="shared" si="19"/>
        <v>72</v>
      </c>
      <c r="F171" s="44">
        <f t="shared" si="17"/>
        <v>85739950.556849331</v>
      </c>
    </row>
    <row r="172" spans="1:6">
      <c r="A172" s="44">
        <f t="shared" si="18"/>
        <v>74</v>
      </c>
      <c r="B172" s="44">
        <f t="shared" si="16"/>
        <v>101692724.87075596</v>
      </c>
      <c r="E172" s="312">
        <f t="shared" si="19"/>
        <v>74</v>
      </c>
      <c r="F172" s="44">
        <f t="shared" si="17"/>
        <v>87984781.329309061</v>
      </c>
    </row>
    <row r="173" spans="1:6">
      <c r="A173" s="44">
        <f t="shared" si="18"/>
        <v>76</v>
      </c>
      <c r="B173" s="44">
        <f t="shared" si="16"/>
        <v>104441176.89428991</v>
      </c>
      <c r="E173" s="312">
        <f t="shared" si="19"/>
        <v>76</v>
      </c>
      <c r="F173" s="44">
        <f t="shared" si="17"/>
        <v>90229612.101768792</v>
      </c>
    </row>
    <row r="174" spans="1:6">
      <c r="A174" s="44">
        <f t="shared" si="18"/>
        <v>78</v>
      </c>
      <c r="B174" s="44">
        <f t="shared" si="16"/>
        <v>107189628.91782385</v>
      </c>
      <c r="E174" s="312">
        <f t="shared" si="19"/>
        <v>78</v>
      </c>
      <c r="F174" s="44">
        <f t="shared" si="17"/>
        <v>92474442.874228537</v>
      </c>
    </row>
    <row r="175" spans="1:6">
      <c r="A175" s="44">
        <f t="shared" si="18"/>
        <v>80</v>
      </c>
      <c r="B175" s="44">
        <f t="shared" si="16"/>
        <v>109938080.94135779</v>
      </c>
      <c r="E175" s="312">
        <f t="shared" si="19"/>
        <v>80</v>
      </c>
      <c r="F175" s="44">
        <f t="shared" si="17"/>
        <v>94719273.646688268</v>
      </c>
    </row>
    <row r="176" spans="1:6">
      <c r="A176" s="44">
        <f t="shared" si="18"/>
        <v>82</v>
      </c>
      <c r="B176" s="44">
        <f t="shared" si="16"/>
        <v>112686532.96489173</v>
      </c>
      <c r="E176" s="312">
        <f t="shared" si="19"/>
        <v>82</v>
      </c>
      <c r="F176" s="44">
        <f t="shared" si="17"/>
        <v>96964104.419147998</v>
      </c>
    </row>
    <row r="177" spans="1:6">
      <c r="A177" s="44">
        <f t="shared" si="18"/>
        <v>84</v>
      </c>
      <c r="B177" s="44">
        <f t="shared" si="16"/>
        <v>115434984.98842567</v>
      </c>
      <c r="E177" s="312">
        <f t="shared" si="19"/>
        <v>84</v>
      </c>
      <c r="F177" s="44">
        <f t="shared" si="17"/>
        <v>99208935.191607729</v>
      </c>
    </row>
    <row r="178" spans="1:6">
      <c r="A178" s="44">
        <f t="shared" si="18"/>
        <v>86</v>
      </c>
      <c r="B178" s="44">
        <f t="shared" si="16"/>
        <v>118183437.01195961</v>
      </c>
      <c r="E178" s="312">
        <f t="shared" si="19"/>
        <v>86</v>
      </c>
      <c r="F178" s="44">
        <f t="shared" si="17"/>
        <v>101453765.96406746</v>
      </c>
    </row>
    <row r="179" spans="1:6">
      <c r="A179" s="44">
        <f t="shared" si="18"/>
        <v>88</v>
      </c>
      <c r="B179" s="44">
        <f t="shared" si="16"/>
        <v>120931889.03549355</v>
      </c>
      <c r="E179" s="312">
        <f t="shared" si="19"/>
        <v>88</v>
      </c>
      <c r="F179" s="44">
        <f t="shared" si="17"/>
        <v>103698596.7365272</v>
      </c>
    </row>
    <row r="180" spans="1:6">
      <c r="A180" s="44">
        <f t="shared" si="18"/>
        <v>90</v>
      </c>
      <c r="B180" s="44">
        <f t="shared" si="16"/>
        <v>123680341.05902749</v>
      </c>
      <c r="E180" s="312">
        <f t="shared" si="19"/>
        <v>90</v>
      </c>
      <c r="F180" s="44">
        <f t="shared" si="17"/>
        <v>105943427.50898694</v>
      </c>
    </row>
    <row r="181" spans="1:6">
      <c r="A181" s="44">
        <f t="shared" si="18"/>
        <v>92</v>
      </c>
      <c r="B181" s="44">
        <f t="shared" si="16"/>
        <v>126428793.08256143</v>
      </c>
      <c r="E181" s="312">
        <f t="shared" si="19"/>
        <v>92</v>
      </c>
      <c r="F181" s="44">
        <f t="shared" si="17"/>
        <v>108188258.28144667</v>
      </c>
    </row>
    <row r="182" spans="1:6">
      <c r="A182" s="44">
        <f t="shared" si="18"/>
        <v>94</v>
      </c>
      <c r="B182" s="44">
        <f t="shared" si="16"/>
        <v>129177245.10609537</v>
      </c>
      <c r="E182" s="312">
        <f t="shared" si="19"/>
        <v>94</v>
      </c>
      <c r="F182" s="44">
        <f t="shared" si="17"/>
        <v>110433089.0539064</v>
      </c>
    </row>
    <row r="183" spans="1:6">
      <c r="A183" s="44">
        <f t="shared" si="18"/>
        <v>96</v>
      </c>
      <c r="B183" s="44">
        <f t="shared" si="16"/>
        <v>131925697.12962931</v>
      </c>
      <c r="E183" s="312">
        <f t="shared" si="19"/>
        <v>96</v>
      </c>
      <c r="F183" s="44">
        <f t="shared" si="17"/>
        <v>112677919.82636613</v>
      </c>
    </row>
    <row r="184" spans="1:6">
      <c r="A184" s="44">
        <f t="shared" si="18"/>
        <v>98</v>
      </c>
      <c r="B184" s="44">
        <f t="shared" si="16"/>
        <v>134674149.15316325</v>
      </c>
      <c r="E184" s="312">
        <f t="shared" si="19"/>
        <v>98</v>
      </c>
      <c r="F184" s="44">
        <f t="shared" si="17"/>
        <v>114922750.59882587</v>
      </c>
    </row>
    <row r="185" spans="1:6">
      <c r="A185" s="44">
        <f t="shared" si="18"/>
        <v>100</v>
      </c>
      <c r="B185" s="44">
        <f t="shared" si="16"/>
        <v>137422601.17669719</v>
      </c>
      <c r="E185" s="312">
        <f t="shared" si="19"/>
        <v>100</v>
      </c>
      <c r="F185" s="44">
        <f t="shared" si="17"/>
        <v>117167581.3712856</v>
      </c>
    </row>
    <row r="186" spans="1:6">
      <c r="A186" s="44">
        <f t="shared" si="18"/>
        <v>102</v>
      </c>
      <c r="B186" s="44">
        <f t="shared" si="16"/>
        <v>140171053.20023113</v>
      </c>
      <c r="E186" s="312">
        <f t="shared" si="19"/>
        <v>102</v>
      </c>
      <c r="F186" s="44">
        <f t="shared" si="17"/>
        <v>119412412.14374533</v>
      </c>
    </row>
    <row r="187" spans="1:6">
      <c r="A187" s="44">
        <f t="shared" si="18"/>
        <v>104</v>
      </c>
      <c r="B187" s="44">
        <f t="shared" si="16"/>
        <v>142919505.22376508</v>
      </c>
      <c r="E187" s="312">
        <f t="shared" si="19"/>
        <v>104</v>
      </c>
      <c r="F187" s="44">
        <f t="shared" si="17"/>
        <v>121657242.91620506</v>
      </c>
    </row>
    <row r="188" spans="1:6">
      <c r="A188" s="44">
        <f t="shared" si="18"/>
        <v>106</v>
      </c>
      <c r="B188" s="44">
        <f t="shared" si="16"/>
        <v>145667957.24729902</v>
      </c>
      <c r="E188" s="312">
        <f t="shared" si="19"/>
        <v>106</v>
      </c>
      <c r="F188" s="44">
        <f t="shared" si="17"/>
        <v>123902073.68866481</v>
      </c>
    </row>
    <row r="189" spans="1:6">
      <c r="A189" s="44">
        <f t="shared" si="18"/>
        <v>108</v>
      </c>
      <c r="B189" s="44">
        <f t="shared" si="16"/>
        <v>148416409.27083299</v>
      </c>
      <c r="E189" s="312">
        <f t="shared" si="19"/>
        <v>108</v>
      </c>
      <c r="F189" s="44">
        <f t="shared" si="17"/>
        <v>126146904.46112454</v>
      </c>
    </row>
    <row r="190" spans="1:6">
      <c r="A190" s="44">
        <f t="shared" si="18"/>
        <v>110</v>
      </c>
      <c r="B190" s="44">
        <f t="shared" si="16"/>
        <v>151164861.29436693</v>
      </c>
      <c r="E190" s="312">
        <f t="shared" si="19"/>
        <v>110</v>
      </c>
      <c r="F190" s="44">
        <f t="shared" si="17"/>
        <v>128391735.23358427</v>
      </c>
    </row>
    <row r="191" spans="1:6">
      <c r="A191" s="44">
        <f t="shared" si="18"/>
        <v>112</v>
      </c>
      <c r="B191" s="44">
        <f t="shared" si="16"/>
        <v>153913313.31790087</v>
      </c>
      <c r="E191" s="312">
        <f t="shared" si="19"/>
        <v>112</v>
      </c>
      <c r="F191" s="44">
        <f t="shared" si="17"/>
        <v>130636566.006044</v>
      </c>
    </row>
    <row r="192" spans="1:6">
      <c r="A192" s="44">
        <f t="shared" si="18"/>
        <v>114</v>
      </c>
      <c r="B192" s="44">
        <f t="shared" si="16"/>
        <v>156661765.34143481</v>
      </c>
      <c r="E192" s="312">
        <f t="shared" si="19"/>
        <v>114</v>
      </c>
      <c r="F192" s="44">
        <f t="shared" si="17"/>
        <v>132881396.77850373</v>
      </c>
    </row>
    <row r="193" spans="1:6">
      <c r="A193" s="44">
        <f t="shared" si="18"/>
        <v>116</v>
      </c>
      <c r="B193" s="44">
        <f t="shared" si="16"/>
        <v>159410217.36496875</v>
      </c>
      <c r="E193" s="312">
        <f t="shared" si="19"/>
        <v>116</v>
      </c>
      <c r="F193" s="44">
        <f t="shared" si="17"/>
        <v>135126227.55096346</v>
      </c>
    </row>
    <row r="194" spans="1:6">
      <c r="A194" s="44">
        <f t="shared" si="18"/>
        <v>118</v>
      </c>
      <c r="B194" s="44">
        <f t="shared" si="16"/>
        <v>162158669.38850269</v>
      </c>
      <c r="E194" s="312">
        <f t="shared" si="19"/>
        <v>118</v>
      </c>
      <c r="F194" s="44">
        <f t="shared" si="17"/>
        <v>137371058.32342321</v>
      </c>
    </row>
    <row r="195" spans="1:6">
      <c r="A195" s="44">
        <f t="shared" si="18"/>
        <v>120</v>
      </c>
      <c r="B195" s="44">
        <f t="shared" si="16"/>
        <v>164907121.41203663</v>
      </c>
      <c r="E195" s="312">
        <f t="shared" si="19"/>
        <v>120</v>
      </c>
      <c r="F195" s="44">
        <f t="shared" si="17"/>
        <v>139615889.09588295</v>
      </c>
    </row>
    <row r="196" spans="1:6">
      <c r="A196" s="44">
        <f t="shared" si="18"/>
        <v>122</v>
      </c>
      <c r="B196" s="44">
        <f t="shared" si="16"/>
        <v>167655573.43557057</v>
      </c>
      <c r="E196" s="312">
        <f t="shared" si="19"/>
        <v>122</v>
      </c>
      <c r="F196" s="44">
        <f t="shared" si="17"/>
        <v>141860719.86834267</v>
      </c>
    </row>
    <row r="197" spans="1:6">
      <c r="A197" s="44">
        <f t="shared" si="18"/>
        <v>124</v>
      </c>
      <c r="B197" s="44">
        <f t="shared" si="16"/>
        <v>170404025.45910451</v>
      </c>
      <c r="E197" s="312">
        <f t="shared" si="19"/>
        <v>124</v>
      </c>
      <c r="F197" s="44">
        <f t="shared" si="17"/>
        <v>144105550.64080241</v>
      </c>
    </row>
    <row r="198" spans="1:6">
      <c r="A198" s="44">
        <f t="shared" si="18"/>
        <v>126</v>
      </c>
      <c r="B198" s="44">
        <f t="shared" si="16"/>
        <v>173152477.48263845</v>
      </c>
      <c r="E198" s="312">
        <f t="shared" si="19"/>
        <v>126</v>
      </c>
      <c r="F198" s="44">
        <f t="shared" si="17"/>
        <v>146350381.41326213</v>
      </c>
    </row>
    <row r="199" spans="1:6">
      <c r="A199" s="44">
        <f t="shared" si="18"/>
        <v>128</v>
      </c>
      <c r="B199" s="44">
        <f t="shared" ref="B199:B209" si="20">TREND($B$211:$B$220,$A$211:$A$220,A199)</f>
        <v>175900929.50617239</v>
      </c>
      <c r="E199" s="312">
        <f t="shared" si="19"/>
        <v>128</v>
      </c>
      <c r="F199" s="44">
        <f t="shared" si="17"/>
        <v>148595212.18572187</v>
      </c>
    </row>
    <row r="200" spans="1:6">
      <c r="A200" s="44">
        <f t="shared" si="18"/>
        <v>130</v>
      </c>
      <c r="B200" s="44">
        <f t="shared" si="20"/>
        <v>178649381.52970633</v>
      </c>
      <c r="E200" s="312">
        <f t="shared" ref="E200:E220" si="21">A200</f>
        <v>130</v>
      </c>
      <c r="F200" s="44">
        <f t="shared" ref="F200:F209" si="22">TREND($F$211:$F$220,$E$211:$E$220,E200)</f>
        <v>150840042.95818162</v>
      </c>
    </row>
    <row r="201" spans="1:6">
      <c r="A201" s="44">
        <f t="shared" si="18"/>
        <v>132</v>
      </c>
      <c r="B201" s="44">
        <f t="shared" si="20"/>
        <v>181397833.55324027</v>
      </c>
      <c r="E201" s="312">
        <f t="shared" si="21"/>
        <v>132</v>
      </c>
      <c r="F201" s="44">
        <f t="shared" si="22"/>
        <v>153084873.73064134</v>
      </c>
    </row>
    <row r="202" spans="1:6">
      <c r="A202" s="44">
        <f t="shared" si="18"/>
        <v>134</v>
      </c>
      <c r="B202" s="44">
        <f t="shared" si="20"/>
        <v>184146285.57677421</v>
      </c>
      <c r="E202" s="312">
        <f t="shared" si="21"/>
        <v>134</v>
      </c>
      <c r="F202" s="44">
        <f t="shared" si="22"/>
        <v>155329704.50310108</v>
      </c>
    </row>
    <row r="203" spans="1:6">
      <c r="A203" s="44">
        <f t="shared" si="18"/>
        <v>136</v>
      </c>
      <c r="B203" s="44">
        <f t="shared" si="20"/>
        <v>186894737.60030815</v>
      </c>
      <c r="E203" s="312">
        <f t="shared" si="21"/>
        <v>136</v>
      </c>
      <c r="F203" s="44">
        <f t="shared" si="22"/>
        <v>157574535.2755608</v>
      </c>
    </row>
    <row r="204" spans="1:6">
      <c r="A204" s="44">
        <f t="shared" ref="A204:A209" si="23">A205-2</f>
        <v>138</v>
      </c>
      <c r="B204" s="44">
        <f t="shared" si="20"/>
        <v>189643189.62384209</v>
      </c>
      <c r="E204" s="312">
        <f t="shared" si="21"/>
        <v>138</v>
      </c>
      <c r="F204" s="44">
        <f t="shared" si="22"/>
        <v>159819366.04802054</v>
      </c>
    </row>
    <row r="205" spans="1:6">
      <c r="A205" s="44">
        <f t="shared" si="23"/>
        <v>140</v>
      </c>
      <c r="B205" s="44">
        <f t="shared" si="20"/>
        <v>192391641.64737603</v>
      </c>
      <c r="E205" s="312">
        <f t="shared" si="21"/>
        <v>140</v>
      </c>
      <c r="F205" s="44">
        <f t="shared" si="22"/>
        <v>162064196.82048029</v>
      </c>
    </row>
    <row r="206" spans="1:6">
      <c r="A206" s="44">
        <f t="shared" si="23"/>
        <v>142</v>
      </c>
      <c r="B206" s="44">
        <f t="shared" si="20"/>
        <v>195140093.67090997</v>
      </c>
      <c r="E206" s="312">
        <f t="shared" si="21"/>
        <v>142</v>
      </c>
      <c r="F206" s="44">
        <f t="shared" si="22"/>
        <v>164309027.59294</v>
      </c>
    </row>
    <row r="207" spans="1:6">
      <c r="A207" s="44">
        <f t="shared" si="23"/>
        <v>144</v>
      </c>
      <c r="B207" s="44">
        <f t="shared" si="20"/>
        <v>197888545.69444391</v>
      </c>
      <c r="E207" s="312">
        <f t="shared" si="21"/>
        <v>144</v>
      </c>
      <c r="F207" s="44">
        <f t="shared" si="22"/>
        <v>166553858.36539975</v>
      </c>
    </row>
    <row r="208" spans="1:6">
      <c r="A208" s="44">
        <f t="shared" si="23"/>
        <v>146</v>
      </c>
      <c r="B208" s="44">
        <f t="shared" si="20"/>
        <v>200636997.71797785</v>
      </c>
      <c r="E208" s="312">
        <f t="shared" si="21"/>
        <v>146</v>
      </c>
      <c r="F208" s="44">
        <f t="shared" si="22"/>
        <v>168798689.13785946</v>
      </c>
    </row>
    <row r="209" spans="1:6">
      <c r="A209" s="44">
        <f t="shared" si="23"/>
        <v>148</v>
      </c>
      <c r="B209" s="44">
        <f t="shared" si="20"/>
        <v>203385449.74151179</v>
      </c>
      <c r="E209" s="312">
        <f t="shared" si="21"/>
        <v>148</v>
      </c>
      <c r="F209" s="44">
        <f t="shared" si="22"/>
        <v>171043519.91031921</v>
      </c>
    </row>
    <row r="210" spans="1:6">
      <c r="A210" s="44">
        <f>A211-2</f>
        <v>150</v>
      </c>
      <c r="B210" s="44">
        <f>TREND($B$211:$B$220,$A$211:$A$220,A210)</f>
        <v>206133901.76504576</v>
      </c>
      <c r="E210" s="312">
        <f t="shared" si="21"/>
        <v>150</v>
      </c>
      <c r="F210">
        <f>TREND($F$211:$F$220,$E$211:$E$220,E210)</f>
        <v>173288350.68277895</v>
      </c>
    </row>
    <row r="211" spans="1:6">
      <c r="A211" s="44">
        <f>A61</f>
        <v>152</v>
      </c>
      <c r="B211" s="44">
        <f>B61</f>
        <v>208882353.7885797</v>
      </c>
      <c r="E211" s="312">
        <f t="shared" si="21"/>
        <v>152</v>
      </c>
      <c r="F211">
        <f>E61</f>
        <v>175497301.49048311</v>
      </c>
    </row>
    <row r="212" spans="1:6">
      <c r="A212" s="312">
        <f t="shared" ref="A212:B236" si="24">A62</f>
        <v>158.08000000000001</v>
      </c>
      <c r="B212" s="44">
        <f t="shared" si="24"/>
        <v>217237647.9401229</v>
      </c>
      <c r="E212" s="312">
        <f t="shared" si="21"/>
        <v>158.08000000000001</v>
      </c>
      <c r="F212" s="44">
        <f t="shared" ref="F212:F220" si="25">E62</f>
        <v>182353379.95010245</v>
      </c>
    </row>
    <row r="213" spans="1:6">
      <c r="A213" s="312">
        <f t="shared" si="24"/>
        <v>164.40320000000003</v>
      </c>
      <c r="B213" s="44">
        <f t="shared" si="24"/>
        <v>225927153.85772783</v>
      </c>
      <c r="E213" s="312">
        <f t="shared" si="21"/>
        <v>164.40320000000003</v>
      </c>
      <c r="F213" s="44">
        <f t="shared" si="25"/>
        <v>189483701.54810655</v>
      </c>
    </row>
    <row r="214" spans="1:6">
      <c r="A214" s="312">
        <f t="shared" si="24"/>
        <v>170.97932800000004</v>
      </c>
      <c r="B214" s="44">
        <f t="shared" si="24"/>
        <v>234964240.01203695</v>
      </c>
      <c r="E214" s="312">
        <f t="shared" si="21"/>
        <v>170.97932800000004</v>
      </c>
      <c r="F214" s="44">
        <f t="shared" si="25"/>
        <v>196899236.01003081</v>
      </c>
    </row>
    <row r="215" spans="1:6">
      <c r="A215" s="312">
        <f t="shared" si="24"/>
        <v>177.81850112000004</v>
      </c>
      <c r="B215" s="44">
        <f t="shared" si="24"/>
        <v>244362809.6125184</v>
      </c>
      <c r="E215" s="312">
        <f t="shared" si="21"/>
        <v>177.81850112000004</v>
      </c>
      <c r="F215" s="44">
        <f t="shared" si="25"/>
        <v>204611391.85043204</v>
      </c>
    </row>
    <row r="216" spans="1:6">
      <c r="A216" s="312">
        <f t="shared" si="24"/>
        <v>184.93124116480004</v>
      </c>
      <c r="B216" s="44">
        <f t="shared" si="24"/>
        <v>254137321.99701914</v>
      </c>
      <c r="E216" s="312">
        <f t="shared" si="21"/>
        <v>184.93124116480004</v>
      </c>
      <c r="F216" s="44">
        <f t="shared" si="25"/>
        <v>212384893.92444932</v>
      </c>
    </row>
    <row r="217" spans="1:6">
      <c r="A217" s="312">
        <f t="shared" si="24"/>
        <v>192.32849081139204</v>
      </c>
      <c r="B217" s="44">
        <f t="shared" si="24"/>
        <v>264302814.8768999</v>
      </c>
      <c r="E217" s="312">
        <f t="shared" si="21"/>
        <v>192.32849081139204</v>
      </c>
      <c r="F217" s="44">
        <f t="shared" si="25"/>
        <v>220726361.6814273</v>
      </c>
    </row>
    <row r="218" spans="1:6">
      <c r="A218" s="312">
        <f t="shared" si="24"/>
        <v>200.02163044384773</v>
      </c>
      <c r="B218" s="44">
        <f t="shared" si="24"/>
        <v>274874927.47197592</v>
      </c>
      <c r="E218" s="312">
        <f t="shared" si="21"/>
        <v>200.02163044384773</v>
      </c>
      <c r="F218" s="44">
        <f t="shared" si="25"/>
        <v>229401488.14868441</v>
      </c>
    </row>
    <row r="219" spans="1:6">
      <c r="A219" s="312">
        <f t="shared" si="24"/>
        <v>208.02249566160165</v>
      </c>
      <c r="B219" s="44">
        <f t="shared" si="24"/>
        <v>285869924.57085496</v>
      </c>
      <c r="E219" s="312">
        <f t="shared" si="21"/>
        <v>208.02249566160165</v>
      </c>
      <c r="F219" s="44">
        <f t="shared" si="25"/>
        <v>238423619.6746318</v>
      </c>
    </row>
    <row r="220" spans="1:6">
      <c r="A220" s="312">
        <f t="shared" si="24"/>
        <v>216.34339548806574</v>
      </c>
      <c r="B220" s="44">
        <f t="shared" si="24"/>
        <v>297304721.55368924</v>
      </c>
      <c r="E220" s="312">
        <f t="shared" si="21"/>
        <v>216.34339548806574</v>
      </c>
      <c r="F220" s="44">
        <f t="shared" si="25"/>
        <v>247806636.46161708</v>
      </c>
    </row>
    <row r="221" spans="1:6">
      <c r="A221" s="44">
        <f t="shared" si="24"/>
        <v>0</v>
      </c>
    </row>
    <row r="222" spans="1:6">
      <c r="A222" s="44">
        <f t="shared" si="24"/>
        <v>0</v>
      </c>
    </row>
    <row r="223" spans="1:6">
      <c r="A223" s="44">
        <f t="shared" si="24"/>
        <v>0</v>
      </c>
    </row>
    <row r="224" spans="1:6">
      <c r="A224" s="44">
        <f t="shared" si="24"/>
        <v>0</v>
      </c>
    </row>
    <row r="225" spans="1:1">
      <c r="A225" s="44">
        <f t="shared" si="24"/>
        <v>0</v>
      </c>
    </row>
    <row r="226" spans="1:1">
      <c r="A226" s="44">
        <f t="shared" si="24"/>
        <v>0</v>
      </c>
    </row>
    <row r="227" spans="1:1">
      <c r="A227" s="44">
        <f t="shared" si="24"/>
        <v>0</v>
      </c>
    </row>
    <row r="228" spans="1:1">
      <c r="A228" s="44">
        <f t="shared" si="24"/>
        <v>0</v>
      </c>
    </row>
    <row r="229" spans="1:1">
      <c r="A229" s="44">
        <f t="shared" si="24"/>
        <v>0</v>
      </c>
    </row>
    <row r="230" spans="1:1">
      <c r="A230" s="44">
        <f t="shared" si="24"/>
        <v>0</v>
      </c>
    </row>
    <row r="231" spans="1:1">
      <c r="A231" s="44">
        <f t="shared" si="24"/>
        <v>0</v>
      </c>
    </row>
    <row r="232" spans="1:1">
      <c r="A232" s="44">
        <f t="shared" si="24"/>
        <v>0</v>
      </c>
    </row>
    <row r="233" spans="1:1">
      <c r="A233" s="44">
        <f t="shared" si="24"/>
        <v>0</v>
      </c>
    </row>
    <row r="234" spans="1:1">
      <c r="A234" s="44">
        <f t="shared" si="24"/>
        <v>0</v>
      </c>
    </row>
    <row r="235" spans="1:1">
      <c r="A235" s="44">
        <f t="shared" si="24"/>
        <v>0</v>
      </c>
    </row>
    <row r="236" spans="1:1">
      <c r="A236" s="44">
        <f t="shared" si="24"/>
        <v>0</v>
      </c>
    </row>
  </sheetData>
  <mergeCells count="4">
    <mergeCell ref="B39:L39"/>
    <mergeCell ref="A2:L2"/>
    <mergeCell ref="B3:L3"/>
    <mergeCell ref="A38:K38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F80"/>
  <sheetViews>
    <sheetView zoomScale="85" zoomScaleNormal="85" workbookViewId="0">
      <selection activeCell="J24" sqref="J24"/>
    </sheetView>
  </sheetViews>
  <sheetFormatPr baseColWidth="10" defaultColWidth="9.140625" defaultRowHeight="15"/>
  <cols>
    <col min="1" max="1" width="12.85546875" bestFit="1" customWidth="1"/>
    <col min="2" max="2" width="16.28515625" bestFit="1" customWidth="1"/>
    <col min="4" max="4" width="16.28515625" bestFit="1" customWidth="1"/>
    <col min="6" max="6" width="13.5703125" bestFit="1" customWidth="1"/>
    <col min="7" max="7" width="15.7109375" customWidth="1"/>
    <col min="8" max="8" width="12.7109375" bestFit="1" customWidth="1"/>
    <col min="10" max="10" width="18.28515625" bestFit="1" customWidth="1"/>
    <col min="11" max="11" width="16.28515625" bestFit="1" customWidth="1"/>
    <col min="13" max="13" width="14.5703125" customWidth="1"/>
    <col min="14" max="14" width="14.7109375" bestFit="1" customWidth="1"/>
    <col min="15" max="15" width="15.42578125" customWidth="1"/>
  </cols>
  <sheetData>
    <row r="1" spans="1:28">
      <c r="A1" s="397" t="s">
        <v>514</v>
      </c>
      <c r="B1" s="397"/>
      <c r="C1" s="397"/>
      <c r="D1" s="397"/>
      <c r="E1" s="89"/>
      <c r="F1" s="89"/>
      <c r="G1" s="89"/>
      <c r="H1" s="89"/>
      <c r="I1" s="89"/>
      <c r="J1" s="89"/>
    </row>
    <row r="2" spans="1:28" ht="15.75" thickBot="1">
      <c r="A2" s="277" t="s">
        <v>390</v>
      </c>
      <c r="B2" s="277" t="s">
        <v>391</v>
      </c>
      <c r="C2" s="277" t="s">
        <v>392</v>
      </c>
      <c r="D2" s="277" t="s">
        <v>395</v>
      </c>
      <c r="F2" s="249" t="s">
        <v>393</v>
      </c>
      <c r="G2" s="249" t="s">
        <v>394</v>
      </c>
    </row>
    <row r="3" spans="1:28">
      <c r="A3" s="279">
        <v>0</v>
      </c>
      <c r="B3" s="280">
        <f t="array" ref="B3:B13">TRANSPOSE('Flujo de caja (Financiado)'!B26:L26)</f>
        <v>-11778995.82</v>
      </c>
      <c r="C3" s="281">
        <f>(1+$G$3)^A3</f>
        <v>1</v>
      </c>
      <c r="D3" s="282">
        <f>B3/C3</f>
        <v>-11778995.82</v>
      </c>
      <c r="F3" s="2"/>
      <c r="G3" s="221">
        <v>0.15</v>
      </c>
    </row>
    <row r="4" spans="1:28" ht="15.75" thickBot="1">
      <c r="A4" s="283">
        <v>1</v>
      </c>
      <c r="B4" s="259">
        <v>-1126305.0716573875</v>
      </c>
      <c r="C4" s="270">
        <f t="shared" ref="C4:C13" si="0">(1+$G$3)^A4</f>
        <v>1.1499999999999999</v>
      </c>
      <c r="D4" s="284">
        <f>B4/C4</f>
        <v>-979395.71448468487</v>
      </c>
      <c r="F4" s="292"/>
    </row>
    <row r="5" spans="1:28" ht="15.75" thickBot="1">
      <c r="A5" s="283">
        <v>2</v>
      </c>
      <c r="B5" s="259">
        <v>1221229.8763611112</v>
      </c>
      <c r="C5" s="270">
        <f>(1+$G$3)^A5</f>
        <v>1.3224999999999998</v>
      </c>
      <c r="D5" s="284">
        <f t="shared" ref="D5:D13" si="1">B5/C5</f>
        <v>923425.23732409172</v>
      </c>
      <c r="F5" s="308" t="s">
        <v>401</v>
      </c>
      <c r="G5" s="307" t="s">
        <v>395</v>
      </c>
      <c r="H5" s="16"/>
      <c r="J5" s="44"/>
    </row>
    <row r="6" spans="1:28">
      <c r="A6" s="283">
        <v>3</v>
      </c>
      <c r="B6" s="259">
        <v>1583521.2079003649</v>
      </c>
      <c r="C6" s="270">
        <f>(1+$G$3)^A6</f>
        <v>1.5208749999999995</v>
      </c>
      <c r="D6" s="284">
        <f t="shared" si="1"/>
        <v>1041190.8985947993</v>
      </c>
      <c r="F6" s="309">
        <v>0</v>
      </c>
      <c r="G6" s="310">
        <f>NPV(F6,$B$3:$B$13)</f>
        <v>66760238.124751426</v>
      </c>
      <c r="J6" s="44"/>
    </row>
    <row r="7" spans="1:28">
      <c r="A7" s="283">
        <v>4</v>
      </c>
      <c r="B7" s="259">
        <v>10064695.794701181</v>
      </c>
      <c r="C7" s="270">
        <f t="shared" si="0"/>
        <v>1.7490062499999994</v>
      </c>
      <c r="D7" s="284">
        <f t="shared" si="1"/>
        <v>5754522.4865269549</v>
      </c>
      <c r="F7" s="289">
        <v>0.05</v>
      </c>
      <c r="G7" s="290">
        <f t="shared" ref="G7:G20" si="2">NPV(F7,$B$3:$B$13)</f>
        <v>41925919.819661491</v>
      </c>
      <c r="J7" s="44"/>
    </row>
    <row r="8" spans="1:28">
      <c r="A8" s="283">
        <v>5</v>
      </c>
      <c r="B8" s="259">
        <v>10558329.524174009</v>
      </c>
      <c r="C8" s="270">
        <f t="shared" si="0"/>
        <v>2.0113571874999994</v>
      </c>
      <c r="D8" s="284">
        <f t="shared" si="1"/>
        <v>5249355.8030323796</v>
      </c>
      <c r="F8" s="289">
        <v>0.1</v>
      </c>
      <c r="G8" s="290">
        <f t="shared" si="2"/>
        <v>26266847.72893526</v>
      </c>
      <c r="J8" s="44"/>
    </row>
    <row r="9" spans="1:28">
      <c r="A9" s="283">
        <v>6</v>
      </c>
      <c r="B9" s="259">
        <v>10009465.002825761</v>
      </c>
      <c r="C9" s="270">
        <f t="shared" si="0"/>
        <v>2.3130607656249991</v>
      </c>
      <c r="D9" s="284">
        <f t="shared" si="1"/>
        <v>4327367.9410325224</v>
      </c>
      <c r="F9" s="289">
        <v>0.15</v>
      </c>
      <c r="G9" s="290">
        <f>NPV(F9,$B$3:$B$13)</f>
        <v>16126404.901704345</v>
      </c>
      <c r="J9" s="44"/>
    </row>
    <row r="10" spans="1:28">
      <c r="A10" s="283">
        <v>7</v>
      </c>
      <c r="B10" s="259">
        <v>12516735.244623594</v>
      </c>
      <c r="C10" s="270">
        <f t="shared" si="0"/>
        <v>2.6600198804687483</v>
      </c>
      <c r="D10" s="284">
        <f t="shared" si="1"/>
        <v>4705504.3973648408</v>
      </c>
      <c r="F10" s="289">
        <v>0.2</v>
      </c>
      <c r="G10" s="290">
        <f t="shared" si="2"/>
        <v>9406353.5614935011</v>
      </c>
      <c r="J10" s="44"/>
    </row>
    <row r="11" spans="1:28">
      <c r="A11" s="283">
        <v>8</v>
      </c>
      <c r="B11" s="259">
        <v>5812006.0560933203</v>
      </c>
      <c r="C11" s="270">
        <f t="shared" si="0"/>
        <v>3.0590228625390603</v>
      </c>
      <c r="D11" s="284">
        <f t="shared" si="1"/>
        <v>1899955.0893415748</v>
      </c>
      <c r="F11" s="289">
        <v>0.25</v>
      </c>
      <c r="G11" s="290">
        <f t="shared" si="2"/>
        <v>4864495.4003129359</v>
      </c>
      <c r="J11" s="294"/>
    </row>
    <row r="12" spans="1:28">
      <c r="A12" s="283">
        <v>9</v>
      </c>
      <c r="B12" s="259">
        <v>13649487.70002188</v>
      </c>
      <c r="C12" s="270">
        <f t="shared" si="0"/>
        <v>3.5178762919199191</v>
      </c>
      <c r="D12" s="284">
        <f t="shared" si="1"/>
        <v>3880036.2967205206</v>
      </c>
      <c r="F12" s="289">
        <v>0.3</v>
      </c>
      <c r="G12" s="290">
        <f t="shared" ref="G12" si="3">NPV(F12,$B$3:$B$13)</f>
        <v>1744131.9782796637</v>
      </c>
      <c r="J12" s="44"/>
    </row>
    <row r="13" spans="1:28" ht="15.75" thickBot="1">
      <c r="A13" s="285">
        <v>10</v>
      </c>
      <c r="B13" s="286">
        <v>14250068.609707592</v>
      </c>
      <c r="C13" s="287">
        <f t="shared" si="0"/>
        <v>4.0455577357079067</v>
      </c>
      <c r="D13" s="288">
        <f t="shared" si="1"/>
        <v>3522399.0215069968</v>
      </c>
      <c r="F13" s="297">
        <f>D16</f>
        <v>0.33864206222348781</v>
      </c>
      <c r="G13" s="290">
        <f t="shared" si="2"/>
        <v>-4.1743312909287317E-9</v>
      </c>
      <c r="J13" s="44"/>
    </row>
    <row r="14" spans="1:28" ht="15.75" thickBot="1">
      <c r="C14" s="274" t="s">
        <v>38</v>
      </c>
      <c r="D14" s="278">
        <f>SUM(D3:D13)</f>
        <v>18545365.63696</v>
      </c>
      <c r="F14" s="289">
        <v>0.35</v>
      </c>
      <c r="G14" s="290">
        <f t="shared" si="2"/>
        <v>-427885.32188221317</v>
      </c>
      <c r="J14" s="44"/>
    </row>
    <row r="15" spans="1:28" ht="15.75" thickBot="1">
      <c r="C15" s="273" t="s">
        <v>395</v>
      </c>
      <c r="D15" s="276">
        <f>NPV(G3,B4:B13)+B3</f>
        <v>18545365.636959996</v>
      </c>
      <c r="F15" s="289">
        <v>0.4</v>
      </c>
      <c r="G15" s="290">
        <f t="shared" si="2"/>
        <v>-1954567.0176125236</v>
      </c>
      <c r="J15" s="44"/>
    </row>
    <row r="16" spans="1:28" ht="15.75" thickBot="1">
      <c r="C16" s="274" t="s">
        <v>399</v>
      </c>
      <c r="D16" s="275">
        <f>IRR(B3:B13,1%)</f>
        <v>0.33864206222348781</v>
      </c>
      <c r="F16" s="289">
        <v>0.45</v>
      </c>
      <c r="G16" s="290">
        <f t="shared" si="2"/>
        <v>-3034261.193532818</v>
      </c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</row>
    <row r="17" spans="1:28">
      <c r="F17" s="289">
        <v>0.5</v>
      </c>
      <c r="G17" s="290">
        <f t="shared" si="2"/>
        <v>-3799434.0821029563</v>
      </c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</row>
    <row r="18" spans="1:28">
      <c r="D18" s="293"/>
      <c r="F18" s="289">
        <v>0.55000000000000004</v>
      </c>
      <c r="G18" s="290">
        <f t="shared" si="2"/>
        <v>-4340190.8095355947</v>
      </c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</row>
    <row r="19" spans="1:28">
      <c r="F19" s="289">
        <v>0.6</v>
      </c>
      <c r="G19" s="290">
        <f t="shared" si="2"/>
        <v>-4718858.6212776173</v>
      </c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</row>
    <row r="20" spans="1:28" ht="15.75" thickBot="1">
      <c r="F20" s="291">
        <v>0.65</v>
      </c>
      <c r="G20" s="311">
        <f t="shared" si="2"/>
        <v>-4979215.7523523355</v>
      </c>
      <c r="J20" s="295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</row>
    <row r="21" spans="1:28"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</row>
    <row r="22" spans="1:28">
      <c r="J22" s="16"/>
      <c r="K22" s="29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</row>
    <row r="23" spans="1:28"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</row>
    <row r="24" spans="1:28"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</row>
    <row r="25" spans="1:28"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</row>
    <row r="26" spans="1:28">
      <c r="A26" s="397" t="s">
        <v>397</v>
      </c>
      <c r="B26" s="397"/>
      <c r="C26" s="397"/>
      <c r="D26" s="397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</row>
    <row r="27" spans="1:28">
      <c r="A27" s="266" t="s">
        <v>390</v>
      </c>
      <c r="B27" s="266" t="s">
        <v>391</v>
      </c>
      <c r="C27" s="266" t="s">
        <v>392</v>
      </c>
      <c r="D27" s="266" t="s">
        <v>395</v>
      </c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</row>
    <row r="28" spans="1:28">
      <c r="A28" s="206">
        <v>0</v>
      </c>
      <c r="B28" s="259">
        <f>'Flujo de caja (recursos)'!B27</f>
        <v>-31778995.82</v>
      </c>
      <c r="C28" s="206">
        <f>(1+$G$3)^A28</f>
        <v>1</v>
      </c>
      <c r="D28" s="259">
        <f>B28/C28</f>
        <v>-31778995.82</v>
      </c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</row>
    <row r="29" spans="1:28">
      <c r="A29" s="206">
        <v>1</v>
      </c>
      <c r="B29" s="259"/>
      <c r="C29" s="206">
        <f t="shared" ref="C29:C38" si="4">(1+$G$3)^A29</f>
        <v>1.1499999999999999</v>
      </c>
      <c r="D29" s="259">
        <f t="shared" ref="D29:D38" si="5">B29/C29</f>
        <v>0</v>
      </c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</row>
    <row r="30" spans="1:28">
      <c r="A30" s="206">
        <v>2</v>
      </c>
      <c r="B30" s="259"/>
      <c r="C30" s="206">
        <f t="shared" si="4"/>
        <v>1.3224999999999998</v>
      </c>
      <c r="D30" s="259">
        <f t="shared" si="5"/>
        <v>0</v>
      </c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</row>
    <row r="31" spans="1:28">
      <c r="A31" s="206">
        <v>3</v>
      </c>
      <c r="B31" s="259"/>
      <c r="C31" s="206">
        <f t="shared" si="4"/>
        <v>1.5208749999999995</v>
      </c>
      <c r="D31" s="259">
        <f t="shared" si="5"/>
        <v>0</v>
      </c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</row>
    <row r="32" spans="1:28">
      <c r="A32" s="206">
        <v>4</v>
      </c>
      <c r="B32" s="259"/>
      <c r="C32" s="206">
        <f t="shared" si="4"/>
        <v>1.7490062499999994</v>
      </c>
      <c r="D32" s="259">
        <f t="shared" si="5"/>
        <v>0</v>
      </c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</row>
    <row r="33" spans="1:32">
      <c r="A33" s="206">
        <v>5</v>
      </c>
      <c r="B33" s="259"/>
      <c r="C33" s="206">
        <f t="shared" si="4"/>
        <v>2.0113571874999994</v>
      </c>
      <c r="D33" s="259">
        <f t="shared" si="5"/>
        <v>0</v>
      </c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</row>
    <row r="34" spans="1:32">
      <c r="A34" s="206">
        <v>6</v>
      </c>
      <c r="B34" s="259"/>
      <c r="C34" s="206">
        <f t="shared" si="4"/>
        <v>2.3130607656249991</v>
      </c>
      <c r="D34" s="259">
        <f t="shared" si="5"/>
        <v>0</v>
      </c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</row>
    <row r="35" spans="1:32">
      <c r="A35" s="206">
        <v>7</v>
      </c>
      <c r="B35" s="259"/>
      <c r="C35" s="206">
        <f t="shared" si="4"/>
        <v>2.6600198804687483</v>
      </c>
      <c r="D35" s="259">
        <f t="shared" si="5"/>
        <v>0</v>
      </c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</row>
    <row r="36" spans="1:32">
      <c r="A36" s="206">
        <v>8</v>
      </c>
      <c r="B36" s="259"/>
      <c r="C36" s="206">
        <f t="shared" si="4"/>
        <v>3.0590228625390603</v>
      </c>
      <c r="D36" s="259">
        <f t="shared" si="5"/>
        <v>0</v>
      </c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</row>
    <row r="37" spans="1:32">
      <c r="A37" s="206">
        <v>9</v>
      </c>
      <c r="B37" s="259"/>
      <c r="C37" s="206">
        <f t="shared" si="4"/>
        <v>3.5178762919199191</v>
      </c>
      <c r="D37" s="259">
        <f t="shared" si="5"/>
        <v>0</v>
      </c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</row>
    <row r="38" spans="1:32">
      <c r="A38" s="206">
        <v>10</v>
      </c>
      <c r="B38" s="259"/>
      <c r="C38" s="206">
        <f t="shared" si="4"/>
        <v>4.0455577357079067</v>
      </c>
      <c r="D38" s="259">
        <f t="shared" si="5"/>
        <v>0</v>
      </c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</row>
    <row r="39" spans="1:32"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</row>
    <row r="40" spans="1:32"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</row>
    <row r="41" spans="1:32"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</row>
    <row r="42" spans="1:32"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</row>
    <row r="43" spans="1:32"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</row>
    <row r="44" spans="1:32"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</row>
    <row r="45" spans="1:32"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</row>
    <row r="46" spans="1:32"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</row>
    <row r="47" spans="1:32"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</row>
    <row r="48" spans="1:32"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</row>
    <row r="49" spans="10:32"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</row>
    <row r="50" spans="10:32"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</row>
    <row r="51" spans="10:32"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</row>
    <row r="52" spans="10:32"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</row>
    <row r="53" spans="10:32"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</row>
    <row r="54" spans="10:32"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</row>
    <row r="55" spans="10:32"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</row>
    <row r="56" spans="10:32"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</row>
    <row r="57" spans="10:32"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</row>
    <row r="58" spans="10:32"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</row>
    <row r="59" spans="10:32"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</row>
    <row r="60" spans="10:32"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</row>
    <row r="61" spans="10:32"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</row>
    <row r="62" spans="10:32"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</row>
    <row r="63" spans="10:32"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</row>
    <row r="64" spans="10:32"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</row>
    <row r="65" spans="10:32"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</row>
    <row r="66" spans="10:32"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</row>
    <row r="67" spans="10:32"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</row>
    <row r="68" spans="10:32"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</row>
    <row r="69" spans="10:32"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</row>
    <row r="70" spans="10:32"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</row>
    <row r="71" spans="10:32"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</row>
    <row r="72" spans="10:32"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</row>
    <row r="73" spans="10:32"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</row>
    <row r="74" spans="10:32"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</row>
    <row r="75" spans="10:32"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</row>
    <row r="76" spans="10:32"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</row>
    <row r="77" spans="10:32"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</row>
    <row r="78" spans="10:32"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</row>
    <row r="79" spans="10:32"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</row>
    <row r="80" spans="10:32"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</row>
  </sheetData>
  <mergeCells count="2">
    <mergeCell ref="A1:D1"/>
    <mergeCell ref="A26:D26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3:C9"/>
  <sheetViews>
    <sheetView zoomScale="130" zoomScaleNormal="130" workbookViewId="0">
      <selection activeCell="A3" sqref="A3"/>
    </sheetView>
  </sheetViews>
  <sheetFormatPr baseColWidth="10" defaultColWidth="9.140625" defaultRowHeight="15"/>
  <cols>
    <col min="1" max="1" width="30.28515625" customWidth="1"/>
    <col min="2" max="2" width="19" bestFit="1" customWidth="1"/>
    <col min="3" max="3" width="40.28515625" bestFit="1" customWidth="1"/>
  </cols>
  <sheetData>
    <row r="3" spans="1:3">
      <c r="A3" s="266" t="s">
        <v>416</v>
      </c>
      <c r="B3" s="266" t="s">
        <v>417</v>
      </c>
      <c r="C3" s="266" t="s">
        <v>418</v>
      </c>
    </row>
    <row r="4" spans="1:3">
      <c r="A4" s="299" t="s">
        <v>426</v>
      </c>
      <c r="B4" s="299" t="s">
        <v>2</v>
      </c>
      <c r="C4" s="299" t="s">
        <v>423</v>
      </c>
    </row>
    <row r="5" spans="1:3">
      <c r="A5" s="299" t="s">
        <v>424</v>
      </c>
      <c r="B5" s="299" t="s">
        <v>425</v>
      </c>
      <c r="C5" s="299" t="s">
        <v>419</v>
      </c>
    </row>
    <row r="6" spans="1:3">
      <c r="A6" s="299" t="s">
        <v>427</v>
      </c>
      <c r="B6" s="299" t="s">
        <v>428</v>
      </c>
      <c r="C6" s="299" t="s">
        <v>420</v>
      </c>
    </row>
    <row r="7" spans="1:3">
      <c r="A7" s="299" t="s">
        <v>429</v>
      </c>
      <c r="B7" s="299" t="s">
        <v>425</v>
      </c>
      <c r="C7" s="299" t="s">
        <v>421</v>
      </c>
    </row>
    <row r="8" spans="1:3">
      <c r="A8" s="299" t="s">
        <v>430</v>
      </c>
      <c r="B8" s="299" t="s">
        <v>431</v>
      </c>
      <c r="C8" s="299" t="s">
        <v>422</v>
      </c>
    </row>
    <row r="9" spans="1:3">
      <c r="A9" s="8" t="s">
        <v>511</v>
      </c>
      <c r="B9" s="8" t="s">
        <v>512</v>
      </c>
      <c r="C9" s="8" t="s">
        <v>510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3"/>
  <sheetViews>
    <sheetView zoomScaleNormal="100" workbookViewId="0">
      <selection activeCell="F41" sqref="F41"/>
    </sheetView>
  </sheetViews>
  <sheetFormatPr baseColWidth="10" defaultColWidth="9.140625" defaultRowHeight="15"/>
  <cols>
    <col min="1" max="1" width="36.5703125" bestFit="1" customWidth="1"/>
    <col min="2" max="2" width="8.85546875" bestFit="1" customWidth="1"/>
    <col min="3" max="3" width="19.28515625" bestFit="1" customWidth="1"/>
    <col min="4" max="4" width="13.5703125" bestFit="1" customWidth="1"/>
    <col min="5" max="5" width="153.140625" bestFit="1" customWidth="1"/>
  </cols>
  <sheetData>
    <row r="1" spans="1:5" ht="30.75" thickBot="1">
      <c r="A1" s="94" t="s">
        <v>125</v>
      </c>
      <c r="B1" s="109" t="s">
        <v>126</v>
      </c>
      <c r="C1" s="95" t="s">
        <v>171</v>
      </c>
      <c r="D1" s="109" t="s">
        <v>38</v>
      </c>
      <c r="E1" s="94" t="s">
        <v>127</v>
      </c>
    </row>
    <row r="2" spans="1:5" ht="15.75" thickBot="1">
      <c r="A2" s="314" t="s">
        <v>128</v>
      </c>
      <c r="B2" s="315"/>
      <c r="C2" s="315"/>
      <c r="D2" s="315"/>
      <c r="E2" s="316"/>
    </row>
    <row r="3" spans="1:5">
      <c r="A3" s="110" t="s">
        <v>35</v>
      </c>
      <c r="B3" s="98">
        <v>4</v>
      </c>
      <c r="C3" s="96">
        <v>1349000</v>
      </c>
      <c r="D3" s="96">
        <f t="shared" ref="D3:D12" si="0">C3*B3</f>
        <v>5396000</v>
      </c>
      <c r="E3" s="98" t="s">
        <v>129</v>
      </c>
    </row>
    <row r="4" spans="1:5">
      <c r="A4" s="111" t="s">
        <v>130</v>
      </c>
      <c r="B4" s="101">
        <v>3</v>
      </c>
      <c r="C4" s="96">
        <v>539000</v>
      </c>
      <c r="D4" s="96">
        <f t="shared" si="0"/>
        <v>1617000</v>
      </c>
      <c r="E4" s="99" t="s">
        <v>131</v>
      </c>
    </row>
    <row r="5" spans="1:5">
      <c r="A5" s="111" t="s">
        <v>99</v>
      </c>
      <c r="B5" s="101">
        <v>1</v>
      </c>
      <c r="C5" s="96">
        <v>149900</v>
      </c>
      <c r="D5" s="96">
        <f t="shared" si="0"/>
        <v>149900</v>
      </c>
      <c r="E5" s="100" t="s">
        <v>132</v>
      </c>
    </row>
    <row r="6" spans="1:5">
      <c r="A6" s="111" t="s">
        <v>100</v>
      </c>
      <c r="B6" s="101">
        <v>2</v>
      </c>
      <c r="C6" s="96">
        <v>249000</v>
      </c>
      <c r="D6" s="96">
        <f t="shared" si="0"/>
        <v>498000</v>
      </c>
      <c r="E6" s="99" t="s">
        <v>131</v>
      </c>
    </row>
    <row r="7" spans="1:5">
      <c r="A7" s="101" t="s">
        <v>101</v>
      </c>
      <c r="B7" s="101">
        <v>3</v>
      </c>
      <c r="C7" s="96">
        <v>89000</v>
      </c>
      <c r="D7" s="96">
        <f t="shared" si="0"/>
        <v>267000</v>
      </c>
      <c r="E7" s="100" t="s">
        <v>133</v>
      </c>
    </row>
    <row r="8" spans="1:5">
      <c r="A8" s="111" t="s">
        <v>102</v>
      </c>
      <c r="B8" s="101">
        <v>1</v>
      </c>
      <c r="C8" s="96">
        <v>100000</v>
      </c>
      <c r="D8" s="96">
        <f t="shared" si="0"/>
        <v>100000</v>
      </c>
      <c r="E8" s="101" t="s">
        <v>134</v>
      </c>
    </row>
    <row r="9" spans="1:5">
      <c r="A9" s="101" t="s">
        <v>103</v>
      </c>
      <c r="B9" s="101">
        <v>1</v>
      </c>
      <c r="C9" s="96">
        <v>129000</v>
      </c>
      <c r="D9" s="96">
        <f t="shared" si="0"/>
        <v>129000</v>
      </c>
      <c r="E9" s="99" t="s">
        <v>135</v>
      </c>
    </row>
    <row r="10" spans="1:5">
      <c r="A10" s="101" t="s">
        <v>104</v>
      </c>
      <c r="B10" s="101">
        <v>1</v>
      </c>
      <c r="C10" s="96">
        <v>639000</v>
      </c>
      <c r="D10" s="96">
        <f t="shared" si="0"/>
        <v>639000</v>
      </c>
      <c r="E10" s="101" t="s">
        <v>136</v>
      </c>
    </row>
    <row r="11" spans="1:5">
      <c r="A11" s="101" t="s">
        <v>105</v>
      </c>
      <c r="B11" s="101">
        <v>1</v>
      </c>
      <c r="C11" s="96">
        <v>749900</v>
      </c>
      <c r="D11" s="96">
        <f t="shared" si="0"/>
        <v>749900</v>
      </c>
      <c r="E11" s="101" t="s">
        <v>137</v>
      </c>
    </row>
    <row r="12" spans="1:5" ht="15.75" thickBot="1">
      <c r="A12" s="102" t="s">
        <v>106</v>
      </c>
      <c r="B12" s="102">
        <v>1</v>
      </c>
      <c r="C12" s="96">
        <v>338700</v>
      </c>
      <c r="D12" s="96">
        <f t="shared" si="0"/>
        <v>338700</v>
      </c>
      <c r="E12" s="102" t="s">
        <v>138</v>
      </c>
    </row>
    <row r="13" spans="1:5" ht="15.75" thickBot="1">
      <c r="A13" s="317" t="s">
        <v>139</v>
      </c>
      <c r="B13" s="318"/>
      <c r="C13" s="318"/>
      <c r="D13" s="318"/>
      <c r="E13" s="319"/>
    </row>
    <row r="14" spans="1:5">
      <c r="A14" s="112" t="s">
        <v>31</v>
      </c>
      <c r="B14" s="113">
        <v>1</v>
      </c>
      <c r="C14" s="96">
        <v>11000000</v>
      </c>
      <c r="D14" s="96">
        <f t="shared" ref="D14:D24" si="1">C14*B14</f>
        <v>11000000</v>
      </c>
      <c r="E14" s="103" t="s">
        <v>140</v>
      </c>
    </row>
    <row r="15" spans="1:5">
      <c r="A15" s="114" t="s">
        <v>141</v>
      </c>
      <c r="B15" s="101">
        <v>1</v>
      </c>
      <c r="C15" s="96">
        <f>470000*1.19</f>
        <v>559300</v>
      </c>
      <c r="D15" s="96">
        <f t="shared" si="1"/>
        <v>559300</v>
      </c>
      <c r="E15" s="104" t="s">
        <v>142</v>
      </c>
    </row>
    <row r="16" spans="1:5">
      <c r="A16" s="114" t="s">
        <v>143</v>
      </c>
      <c r="B16" s="101">
        <v>1</v>
      </c>
      <c r="C16" s="96">
        <f>730000*1.19</f>
        <v>868700</v>
      </c>
      <c r="D16" s="96">
        <f t="shared" si="1"/>
        <v>868700</v>
      </c>
      <c r="E16" s="105" t="s">
        <v>144</v>
      </c>
    </row>
    <row r="17" spans="1:5">
      <c r="A17" s="115" t="s">
        <v>145</v>
      </c>
      <c r="B17" s="101">
        <v>1</v>
      </c>
      <c r="C17" s="96">
        <v>243777</v>
      </c>
      <c r="D17" s="96">
        <f t="shared" si="1"/>
        <v>243777</v>
      </c>
      <c r="E17" s="105" t="s">
        <v>146</v>
      </c>
    </row>
    <row r="18" spans="1:5">
      <c r="A18" s="115" t="s">
        <v>147</v>
      </c>
      <c r="B18" s="101">
        <v>1</v>
      </c>
      <c r="C18" s="96">
        <f>3507*11.9</f>
        <v>41733.300000000003</v>
      </c>
      <c r="D18" s="96">
        <f t="shared" si="1"/>
        <v>41733.300000000003</v>
      </c>
      <c r="E18" s="105" t="s">
        <v>148</v>
      </c>
    </row>
    <row r="19" spans="1:5">
      <c r="A19" s="114" t="s">
        <v>149</v>
      </c>
      <c r="B19" s="101">
        <v>1</v>
      </c>
      <c r="C19" s="96">
        <v>1850000</v>
      </c>
      <c r="D19" s="96">
        <f t="shared" si="1"/>
        <v>1850000</v>
      </c>
      <c r="E19" s="106" t="s">
        <v>150</v>
      </c>
    </row>
    <row r="20" spans="1:5">
      <c r="A20" s="115" t="s">
        <v>151</v>
      </c>
      <c r="B20" s="101">
        <v>1</v>
      </c>
      <c r="C20" s="96">
        <f>370.92*3506</f>
        <v>1300445.52</v>
      </c>
      <c r="D20" s="96">
        <f t="shared" si="1"/>
        <v>1300445.52</v>
      </c>
      <c r="E20" s="105" t="s">
        <v>152</v>
      </c>
    </row>
    <row r="21" spans="1:5">
      <c r="A21" s="115" t="s">
        <v>153</v>
      </c>
      <c r="B21" s="101">
        <v>1</v>
      </c>
      <c r="C21" s="96">
        <v>181000</v>
      </c>
      <c r="D21" s="96">
        <f t="shared" si="1"/>
        <v>181000</v>
      </c>
      <c r="E21" s="106" t="s">
        <v>154</v>
      </c>
    </row>
    <row r="22" spans="1:5">
      <c r="A22" s="114" t="s">
        <v>33</v>
      </c>
      <c r="B22" s="101">
        <v>1</v>
      </c>
      <c r="C22" s="96">
        <v>399900</v>
      </c>
      <c r="D22" s="96">
        <f t="shared" si="1"/>
        <v>399900</v>
      </c>
      <c r="E22" s="105" t="s">
        <v>155</v>
      </c>
    </row>
    <row r="23" spans="1:5">
      <c r="A23" s="115" t="s">
        <v>156</v>
      </c>
      <c r="B23" s="101">
        <v>1</v>
      </c>
      <c r="C23" s="96">
        <v>40000</v>
      </c>
      <c r="D23" s="96">
        <f t="shared" si="1"/>
        <v>40000</v>
      </c>
      <c r="E23" s="105" t="s">
        <v>157</v>
      </c>
    </row>
    <row r="24" spans="1:5" ht="15.75" thickBot="1">
      <c r="A24" s="116" t="s">
        <v>158</v>
      </c>
      <c r="B24" s="117">
        <v>1</v>
      </c>
      <c r="C24" s="96">
        <v>69900</v>
      </c>
      <c r="D24" s="96">
        <f t="shared" si="1"/>
        <v>69900</v>
      </c>
      <c r="E24" s="107" t="s">
        <v>159</v>
      </c>
    </row>
    <row r="25" spans="1:5" ht="15.75" thickBot="1">
      <c r="A25" s="317" t="s">
        <v>160</v>
      </c>
      <c r="B25" s="318"/>
      <c r="C25" s="318"/>
      <c r="D25" s="318"/>
      <c r="E25" s="319"/>
    </row>
    <row r="26" spans="1:5">
      <c r="A26" s="118" t="s">
        <v>161</v>
      </c>
      <c r="B26" s="98">
        <v>5</v>
      </c>
      <c r="C26" s="96">
        <v>19900</v>
      </c>
      <c r="D26" s="96">
        <f>C26*B26</f>
        <v>99500</v>
      </c>
      <c r="E26" s="108" t="s">
        <v>162</v>
      </c>
    </row>
    <row r="27" spans="1:5">
      <c r="A27" s="153" t="s">
        <v>163</v>
      </c>
      <c r="B27" s="101">
        <v>5</v>
      </c>
      <c r="C27" s="158">
        <v>255900</v>
      </c>
      <c r="D27" s="158">
        <f>C27*B27</f>
        <v>1279500</v>
      </c>
      <c r="E27" s="155" t="s">
        <v>164</v>
      </c>
    </row>
    <row r="28" spans="1:5">
      <c r="A28" s="153" t="s">
        <v>165</v>
      </c>
      <c r="B28" s="101">
        <v>5</v>
      </c>
      <c r="C28" s="158">
        <v>9900</v>
      </c>
      <c r="D28" s="158">
        <f>C28*B28</f>
        <v>49500</v>
      </c>
      <c r="E28" s="155" t="s">
        <v>166</v>
      </c>
    </row>
    <row r="29" spans="1:5">
      <c r="A29" s="159" t="s">
        <v>167</v>
      </c>
      <c r="B29" s="97">
        <v>5</v>
      </c>
      <c r="C29" s="158">
        <v>8900</v>
      </c>
      <c r="D29" s="158">
        <f>C29*B29</f>
        <v>44500</v>
      </c>
      <c r="E29" s="156" t="s">
        <v>168</v>
      </c>
    </row>
    <row r="30" spans="1:5" ht="15.75" thickBot="1">
      <c r="A30" s="154" t="s">
        <v>169</v>
      </c>
      <c r="B30" s="97">
        <v>5</v>
      </c>
      <c r="C30" s="158">
        <v>27900</v>
      </c>
      <c r="D30" s="158">
        <f>C30*B30</f>
        <v>139500</v>
      </c>
      <c r="E30" s="157" t="s">
        <v>170</v>
      </c>
    </row>
    <row r="31" spans="1:5" ht="15.75" thickBot="1">
      <c r="A31" s="209"/>
      <c r="B31" s="210"/>
      <c r="C31" s="210"/>
      <c r="D31" s="211"/>
      <c r="E31" s="212" t="s">
        <v>291</v>
      </c>
    </row>
    <row r="32" spans="1:5">
      <c r="A32" s="1" t="s">
        <v>178</v>
      </c>
      <c r="B32" s="6">
        <v>1</v>
      </c>
      <c r="C32" s="158">
        <v>11000000</v>
      </c>
      <c r="D32" s="158">
        <f t="shared" ref="D32" si="2">C32*B32</f>
        <v>11000000</v>
      </c>
    </row>
    <row r="33" spans="1:5">
      <c r="A33" s="209"/>
      <c r="B33" s="209"/>
      <c r="C33" s="209"/>
      <c r="D33" s="209"/>
      <c r="E33" s="213" t="s">
        <v>292</v>
      </c>
    </row>
    <row r="34" spans="1:5" ht="30">
      <c r="A34" s="10" t="s">
        <v>293</v>
      </c>
      <c r="B34" s="2">
        <v>1</v>
      </c>
      <c r="C34" s="35">
        <v>101390</v>
      </c>
      <c r="D34" s="35">
        <f>B34*C34</f>
        <v>101390</v>
      </c>
      <c r="E34" s="2" t="s">
        <v>294</v>
      </c>
    </row>
    <row r="35" spans="1:5">
      <c r="A35" s="2" t="s">
        <v>295</v>
      </c>
      <c r="B35" s="2">
        <v>1</v>
      </c>
      <c r="C35" s="35">
        <v>30000</v>
      </c>
      <c r="D35" s="35">
        <f>B35*C35</f>
        <v>30000</v>
      </c>
      <c r="E35" s="2" t="s">
        <v>296</v>
      </c>
    </row>
    <row r="36" spans="1:5">
      <c r="A36" s="2" t="s">
        <v>297</v>
      </c>
      <c r="B36" s="2">
        <v>1</v>
      </c>
      <c r="C36" s="35">
        <v>19100</v>
      </c>
      <c r="D36" s="35">
        <f>B36*C36</f>
        <v>19100</v>
      </c>
      <c r="E36" s="2" t="s">
        <v>298</v>
      </c>
    </row>
    <row r="37" spans="1:5" ht="30">
      <c r="A37" s="214" t="s">
        <v>299</v>
      </c>
      <c r="B37" s="2">
        <v>1</v>
      </c>
      <c r="C37" s="35">
        <v>156900</v>
      </c>
      <c r="D37" s="35">
        <f>B37*C37</f>
        <v>156900</v>
      </c>
      <c r="E37" s="2" t="s">
        <v>300</v>
      </c>
    </row>
    <row r="39" spans="1:5">
      <c r="A39" s="215" t="s">
        <v>121</v>
      </c>
      <c r="B39" s="216"/>
      <c r="C39" s="216"/>
      <c r="D39" s="217">
        <f>SUM(D3:D12,D14:D24,D26:D30,D32,D34:D37)</f>
        <v>39359145.82</v>
      </c>
    </row>
    <row r="40" spans="1:5">
      <c r="A40" s="171" t="s">
        <v>180</v>
      </c>
      <c r="B40" s="171"/>
      <c r="C40" s="171"/>
      <c r="D40" s="218">
        <f>SUM(D14:D24)</f>
        <v>16554755.82</v>
      </c>
    </row>
    <row r="41" spans="1:5">
      <c r="A41" s="171" t="s">
        <v>290</v>
      </c>
      <c r="B41" s="171"/>
      <c r="C41" s="171"/>
      <c r="D41" s="218">
        <f>SUM(D4,D6,D7,D8,D9,D10,D11,D12)</f>
        <v>4338600</v>
      </c>
    </row>
    <row r="42" spans="1:5">
      <c r="A42" s="171" t="s">
        <v>302</v>
      </c>
      <c r="B42" s="171"/>
      <c r="C42" s="171"/>
      <c r="D42" s="218">
        <f>SUM(D4,D6,D7)</f>
        <v>2382000</v>
      </c>
    </row>
    <row r="43" spans="1:5">
      <c r="A43" s="171" t="s">
        <v>301</v>
      </c>
      <c r="B43" s="171"/>
      <c r="C43" s="171"/>
      <c r="D43" s="193">
        <f>SUM(D34:D37)</f>
        <v>307390</v>
      </c>
    </row>
  </sheetData>
  <mergeCells count="3">
    <mergeCell ref="A2:E2"/>
    <mergeCell ref="A13:E13"/>
    <mergeCell ref="A25:E25"/>
  </mergeCells>
  <hyperlinks>
    <hyperlink ref="E4" r:id="rId1" xr:uid="{00000000-0004-0000-0100-000000000000}"/>
    <hyperlink ref="E6" r:id="rId2" xr:uid="{00000000-0004-0000-0100-000001000000}"/>
    <hyperlink ref="E9" r:id="rId3" xr:uid="{00000000-0004-0000-0100-000002000000}"/>
    <hyperlink ref="E15" r:id="rId4" xr:uid="{00000000-0004-0000-0100-000003000000}"/>
    <hyperlink ref="E19" r:id="rId5" xr:uid="{00000000-0004-0000-0100-000004000000}"/>
    <hyperlink ref="E26" r:id="rId6" xr:uid="{00000000-0004-0000-0100-000005000000}"/>
    <hyperlink ref="E7" r:id="rId7" xr:uid="{00000000-0004-0000-0100-000006000000}"/>
    <hyperlink ref="E5" r:id="rId8" xr:uid="{00000000-0004-0000-0100-000007000000}"/>
    <hyperlink ref="E21" r:id="rId9" xr:uid="{00000000-0004-0000-0100-000008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P56"/>
  <sheetViews>
    <sheetView topLeftCell="C16" zoomScaleNormal="100" workbookViewId="0">
      <selection activeCell="H12" sqref="H12"/>
    </sheetView>
  </sheetViews>
  <sheetFormatPr baseColWidth="10" defaultColWidth="9.140625" defaultRowHeight="15"/>
  <cols>
    <col min="1" max="1" width="31.42578125" bestFit="1" customWidth="1"/>
    <col min="2" max="2" width="23.7109375" bestFit="1" customWidth="1"/>
    <col min="3" max="4" width="15.28515625" bestFit="1" customWidth="1"/>
    <col min="5" max="5" width="18.42578125" style="89" bestFit="1" customWidth="1"/>
    <col min="6" max="6" width="14.42578125" bestFit="1" customWidth="1"/>
    <col min="7" max="14" width="14.28515625" bestFit="1" customWidth="1"/>
    <col min="15" max="15" width="17.28515625" bestFit="1" customWidth="1"/>
    <col min="16" max="16" width="19.140625" bestFit="1" customWidth="1"/>
  </cols>
  <sheetData>
    <row r="2" spans="1:11">
      <c r="A2" s="320" t="s">
        <v>177</v>
      </c>
      <c r="B2" s="320"/>
      <c r="C2" s="320"/>
      <c r="D2" s="320"/>
      <c r="E2" s="320"/>
    </row>
    <row r="3" spans="1:11" ht="30">
      <c r="A3" s="122" t="s">
        <v>172</v>
      </c>
      <c r="B3" s="122" t="s">
        <v>173</v>
      </c>
      <c r="C3" s="122" t="s">
        <v>174</v>
      </c>
      <c r="D3" s="122" t="s">
        <v>175</v>
      </c>
      <c r="E3" s="123" t="s">
        <v>176</v>
      </c>
    </row>
    <row r="4" spans="1:11">
      <c r="A4" s="6" t="s">
        <v>35</v>
      </c>
      <c r="B4" s="35">
        <f>Equipos!D3</f>
        <v>5396000</v>
      </c>
      <c r="C4" s="2">
        <v>10</v>
      </c>
      <c r="D4" s="2">
        <v>10</v>
      </c>
      <c r="E4" s="120">
        <f>(B4*D4%)</f>
        <v>539600</v>
      </c>
    </row>
    <row r="5" spans="1:11">
      <c r="A5" s="6" t="s">
        <v>107</v>
      </c>
      <c r="B5" s="35">
        <f>Equipos!D43</f>
        <v>307390</v>
      </c>
      <c r="C5" s="2">
        <v>10</v>
      </c>
      <c r="D5" s="2">
        <v>10</v>
      </c>
      <c r="E5" s="120">
        <f t="shared" ref="E5:E12" si="0">(B5*D5%)</f>
        <v>30739</v>
      </c>
    </row>
    <row r="6" spans="1:11">
      <c r="A6" s="91" t="s">
        <v>108</v>
      </c>
      <c r="B6" s="35">
        <f>SUM(Equipos!D9,Equipos!D10)</f>
        <v>768000</v>
      </c>
      <c r="C6" s="2">
        <v>5</v>
      </c>
      <c r="D6" s="2">
        <v>20</v>
      </c>
      <c r="E6" s="120">
        <f t="shared" si="0"/>
        <v>153600</v>
      </c>
    </row>
    <row r="7" spans="1:11">
      <c r="A7" s="91" t="s">
        <v>109</v>
      </c>
      <c r="B7" s="35">
        <f>Equipos!D32</f>
        <v>11000000</v>
      </c>
      <c r="C7" s="2">
        <v>5</v>
      </c>
      <c r="D7" s="2">
        <v>20</v>
      </c>
      <c r="E7" s="120">
        <f t="shared" si="0"/>
        <v>2200000</v>
      </c>
    </row>
    <row r="8" spans="1:11">
      <c r="A8" s="91" t="s">
        <v>110</v>
      </c>
      <c r="B8" s="35">
        <f>Equipos!D8</f>
        <v>100000</v>
      </c>
      <c r="C8" s="2">
        <v>10</v>
      </c>
      <c r="D8" s="2">
        <v>10</v>
      </c>
      <c r="E8" s="120">
        <f t="shared" si="0"/>
        <v>10000</v>
      </c>
    </row>
    <row r="9" spans="1:11">
      <c r="A9" s="91" t="s">
        <v>111</v>
      </c>
      <c r="B9" s="35">
        <f>Equipos!D12</f>
        <v>338700</v>
      </c>
      <c r="C9" s="2">
        <v>5</v>
      </c>
      <c r="D9" s="2">
        <v>20</v>
      </c>
      <c r="E9" s="120">
        <f t="shared" si="0"/>
        <v>67740</v>
      </c>
    </row>
    <row r="10" spans="1:11">
      <c r="A10" s="91" t="s">
        <v>112</v>
      </c>
      <c r="B10" s="35">
        <f>Equipos!D9</f>
        <v>129000</v>
      </c>
      <c r="C10" s="2">
        <v>5</v>
      </c>
      <c r="D10" s="2">
        <v>20</v>
      </c>
      <c r="E10" s="120">
        <f t="shared" si="0"/>
        <v>25800</v>
      </c>
    </row>
    <row r="11" spans="1:11">
      <c r="A11" s="91" t="s">
        <v>243</v>
      </c>
      <c r="B11" s="35">
        <f>Equipos!D40</f>
        <v>16554755.82</v>
      </c>
      <c r="C11" s="2">
        <v>10</v>
      </c>
      <c r="D11" s="2">
        <v>10</v>
      </c>
      <c r="E11" s="120">
        <f t="shared" si="0"/>
        <v>1655475.5820000002</v>
      </c>
    </row>
    <row r="12" spans="1:11">
      <c r="A12" s="93" t="s">
        <v>242</v>
      </c>
      <c r="B12" s="35">
        <f>SUM(Equipos!D4,Equipos!D6,Equipos!D7)</f>
        <v>2382000</v>
      </c>
      <c r="C12" s="2">
        <v>10</v>
      </c>
      <c r="D12" s="2">
        <v>10</v>
      </c>
      <c r="E12" s="120">
        <f t="shared" si="0"/>
        <v>238200</v>
      </c>
    </row>
    <row r="15" spans="1:11">
      <c r="A15" s="320" t="s">
        <v>183</v>
      </c>
      <c r="B15" s="320"/>
      <c r="C15" s="320"/>
      <c r="D15" s="320"/>
      <c r="E15" s="320"/>
      <c r="F15" s="320"/>
      <c r="G15" s="320"/>
      <c r="H15" s="320"/>
      <c r="I15" s="320"/>
      <c r="J15" s="320"/>
      <c r="K15" s="320"/>
    </row>
    <row r="16" spans="1:11">
      <c r="A16" s="124"/>
      <c r="B16" s="321" t="s">
        <v>181</v>
      </c>
      <c r="C16" s="321"/>
      <c r="D16" s="321"/>
      <c r="E16" s="321"/>
      <c r="F16" s="321"/>
      <c r="G16" s="321"/>
      <c r="H16" s="321"/>
      <c r="I16" s="321"/>
      <c r="J16" s="321"/>
      <c r="K16" s="321"/>
    </row>
    <row r="17" spans="1:12">
      <c r="A17" s="121" t="s">
        <v>172</v>
      </c>
      <c r="B17" s="121">
        <v>1</v>
      </c>
      <c r="C17" s="121">
        <v>2</v>
      </c>
      <c r="D17" s="121">
        <v>3</v>
      </c>
      <c r="E17" s="121">
        <v>4</v>
      </c>
      <c r="F17" s="121">
        <v>5</v>
      </c>
      <c r="G17" s="121">
        <v>6</v>
      </c>
      <c r="H17" s="121">
        <v>7</v>
      </c>
      <c r="I17" s="121">
        <v>8</v>
      </c>
      <c r="J17" s="121">
        <v>9</v>
      </c>
      <c r="K17" s="121">
        <v>10</v>
      </c>
    </row>
    <row r="18" spans="1:12">
      <c r="A18" s="6" t="s">
        <v>35</v>
      </c>
      <c r="B18" s="35">
        <v>0</v>
      </c>
      <c r="C18" s="50">
        <f>E4</f>
        <v>539600</v>
      </c>
      <c r="D18" s="50">
        <f>$C$18</f>
        <v>539600</v>
      </c>
      <c r="E18" s="50">
        <f t="shared" ref="E18:L18" si="1">$C$18</f>
        <v>539600</v>
      </c>
      <c r="F18" s="50">
        <f t="shared" si="1"/>
        <v>539600</v>
      </c>
      <c r="G18" s="50">
        <f t="shared" si="1"/>
        <v>539600</v>
      </c>
      <c r="H18" s="50">
        <f t="shared" si="1"/>
        <v>539600</v>
      </c>
      <c r="I18" s="50">
        <f t="shared" si="1"/>
        <v>539600</v>
      </c>
      <c r="J18" s="50">
        <f t="shared" si="1"/>
        <v>539600</v>
      </c>
      <c r="K18" s="50">
        <f t="shared" si="1"/>
        <v>539600</v>
      </c>
      <c r="L18" s="50">
        <f t="shared" si="1"/>
        <v>539600</v>
      </c>
    </row>
    <row r="19" spans="1:12">
      <c r="A19" s="6" t="s">
        <v>107</v>
      </c>
      <c r="B19" s="35">
        <v>0</v>
      </c>
      <c r="C19" s="50">
        <f t="shared" ref="C19:C24" si="2">E5</f>
        <v>30739</v>
      </c>
      <c r="D19" s="50">
        <f>$C$19</f>
        <v>30739</v>
      </c>
      <c r="E19" s="50">
        <f t="shared" ref="E19:L19" si="3">$C$19</f>
        <v>30739</v>
      </c>
      <c r="F19" s="50">
        <f t="shared" si="3"/>
        <v>30739</v>
      </c>
      <c r="G19" s="50">
        <f t="shared" si="3"/>
        <v>30739</v>
      </c>
      <c r="H19" s="50">
        <f t="shared" si="3"/>
        <v>30739</v>
      </c>
      <c r="I19" s="50">
        <f t="shared" si="3"/>
        <v>30739</v>
      </c>
      <c r="J19" s="50">
        <f t="shared" si="3"/>
        <v>30739</v>
      </c>
      <c r="K19" s="50">
        <f t="shared" si="3"/>
        <v>30739</v>
      </c>
      <c r="L19" s="50">
        <f t="shared" si="3"/>
        <v>30739</v>
      </c>
    </row>
    <row r="20" spans="1:12">
      <c r="A20" s="91" t="s">
        <v>108</v>
      </c>
      <c r="B20" s="35">
        <v>0</v>
      </c>
      <c r="C20" s="50">
        <f t="shared" si="2"/>
        <v>153600</v>
      </c>
      <c r="D20" s="50">
        <f>$C$20</f>
        <v>153600</v>
      </c>
      <c r="E20" s="50">
        <f t="shared" ref="E20:G20" si="4">$C$20</f>
        <v>153600</v>
      </c>
      <c r="F20" s="50">
        <f t="shared" si="4"/>
        <v>153600</v>
      </c>
      <c r="G20" s="50">
        <f t="shared" si="4"/>
        <v>153600</v>
      </c>
      <c r="H20" s="50">
        <v>0</v>
      </c>
      <c r="I20" s="50">
        <v>0</v>
      </c>
      <c r="J20" s="50">
        <v>0</v>
      </c>
      <c r="K20" s="50">
        <v>0</v>
      </c>
      <c r="L20" s="50">
        <v>0</v>
      </c>
    </row>
    <row r="21" spans="1:12">
      <c r="A21" s="91" t="s">
        <v>109</v>
      </c>
      <c r="B21" s="35">
        <v>0</v>
      </c>
      <c r="C21" s="50">
        <v>0</v>
      </c>
      <c r="D21" s="50">
        <f t="shared" ref="D21:H21" si="5">$C21</f>
        <v>0</v>
      </c>
      <c r="E21" s="50">
        <f t="shared" si="5"/>
        <v>0</v>
      </c>
      <c r="F21" s="50">
        <f t="shared" si="5"/>
        <v>0</v>
      </c>
      <c r="G21" s="50">
        <f t="shared" si="5"/>
        <v>0</v>
      </c>
      <c r="H21" s="50">
        <f t="shared" si="5"/>
        <v>0</v>
      </c>
      <c r="I21" s="50">
        <f>$E$7</f>
        <v>2200000</v>
      </c>
      <c r="J21" s="50">
        <f t="shared" ref="J21:L21" si="6">$E$7</f>
        <v>2200000</v>
      </c>
      <c r="K21" s="50">
        <f t="shared" si="6"/>
        <v>2200000</v>
      </c>
      <c r="L21" s="50">
        <f t="shared" si="6"/>
        <v>2200000</v>
      </c>
    </row>
    <row r="22" spans="1:12">
      <c r="A22" s="91" t="s">
        <v>110</v>
      </c>
      <c r="B22" s="35">
        <v>0</v>
      </c>
      <c r="C22" s="50">
        <f t="shared" si="2"/>
        <v>10000</v>
      </c>
      <c r="D22" s="50">
        <f>$C$22</f>
        <v>10000</v>
      </c>
      <c r="E22" s="50">
        <f t="shared" ref="E22:L22" si="7">$C$22</f>
        <v>10000</v>
      </c>
      <c r="F22" s="50">
        <f t="shared" si="7"/>
        <v>10000</v>
      </c>
      <c r="G22" s="50">
        <f t="shared" si="7"/>
        <v>10000</v>
      </c>
      <c r="H22" s="50">
        <f t="shared" si="7"/>
        <v>10000</v>
      </c>
      <c r="I22" s="50">
        <f t="shared" si="7"/>
        <v>10000</v>
      </c>
      <c r="J22" s="50">
        <f t="shared" si="7"/>
        <v>10000</v>
      </c>
      <c r="K22" s="50">
        <f t="shared" si="7"/>
        <v>10000</v>
      </c>
      <c r="L22" s="50">
        <f t="shared" si="7"/>
        <v>10000</v>
      </c>
    </row>
    <row r="23" spans="1:12">
      <c r="A23" s="91" t="s">
        <v>111</v>
      </c>
      <c r="B23" s="35">
        <v>0</v>
      </c>
      <c r="C23" s="50">
        <f t="shared" si="2"/>
        <v>67740</v>
      </c>
      <c r="D23" s="50">
        <f>$C$23</f>
        <v>67740</v>
      </c>
      <c r="E23" s="50">
        <f t="shared" ref="E23:G23" si="8">$C$23</f>
        <v>67740</v>
      </c>
      <c r="F23" s="50">
        <f t="shared" si="8"/>
        <v>67740</v>
      </c>
      <c r="G23" s="50">
        <f t="shared" si="8"/>
        <v>67740</v>
      </c>
      <c r="H23" s="50">
        <v>0</v>
      </c>
      <c r="I23" s="50">
        <f>$H23</f>
        <v>0</v>
      </c>
      <c r="J23" s="50">
        <f t="shared" ref="J23:L23" si="9">$H23</f>
        <v>0</v>
      </c>
      <c r="K23" s="50">
        <f t="shared" si="9"/>
        <v>0</v>
      </c>
      <c r="L23" s="50">
        <f t="shared" si="9"/>
        <v>0</v>
      </c>
    </row>
    <row r="24" spans="1:12">
      <c r="A24" s="91" t="s">
        <v>112</v>
      </c>
      <c r="B24" s="35">
        <v>0</v>
      </c>
      <c r="C24" s="50">
        <f t="shared" si="2"/>
        <v>25800</v>
      </c>
      <c r="D24" s="50">
        <f>$C$24</f>
        <v>25800</v>
      </c>
      <c r="E24" s="50">
        <f t="shared" ref="E24:G24" si="10">$C$24</f>
        <v>25800</v>
      </c>
      <c r="F24" s="50">
        <f t="shared" si="10"/>
        <v>25800</v>
      </c>
      <c r="G24" s="50">
        <f t="shared" si="10"/>
        <v>25800</v>
      </c>
      <c r="H24" s="50">
        <v>0</v>
      </c>
      <c r="I24" s="50">
        <v>0</v>
      </c>
      <c r="J24" s="50">
        <v>0</v>
      </c>
      <c r="K24" s="50">
        <v>0</v>
      </c>
      <c r="L24" s="50">
        <v>0</v>
      </c>
    </row>
    <row r="25" spans="1:12">
      <c r="A25" s="91" t="s">
        <v>179</v>
      </c>
      <c r="B25" s="35">
        <v>0</v>
      </c>
      <c r="C25" s="50">
        <f>E11</f>
        <v>1655475.5820000002</v>
      </c>
      <c r="D25" s="50">
        <f>$C$25</f>
        <v>1655475.5820000002</v>
      </c>
      <c r="E25" s="50">
        <f t="shared" ref="E25:L25" si="11">$C$25</f>
        <v>1655475.5820000002</v>
      </c>
      <c r="F25" s="50">
        <f t="shared" si="11"/>
        <v>1655475.5820000002</v>
      </c>
      <c r="G25" s="50">
        <f t="shared" si="11"/>
        <v>1655475.5820000002</v>
      </c>
      <c r="H25" s="50">
        <f t="shared" si="11"/>
        <v>1655475.5820000002</v>
      </c>
      <c r="I25" s="50">
        <f t="shared" si="11"/>
        <v>1655475.5820000002</v>
      </c>
      <c r="J25" s="50">
        <f t="shared" si="11"/>
        <v>1655475.5820000002</v>
      </c>
      <c r="K25" s="50">
        <f t="shared" si="11"/>
        <v>1655475.5820000002</v>
      </c>
      <c r="L25" s="50">
        <f t="shared" si="11"/>
        <v>1655475.5820000002</v>
      </c>
    </row>
    <row r="26" spans="1:12">
      <c r="A26" s="93" t="s">
        <v>242</v>
      </c>
      <c r="B26" s="35">
        <v>0</v>
      </c>
      <c r="C26" s="50">
        <f>E12</f>
        <v>238200</v>
      </c>
      <c r="D26" s="50">
        <f>$C$26</f>
        <v>238200</v>
      </c>
      <c r="E26" s="50">
        <f t="shared" ref="E26:L26" si="12">$C$26</f>
        <v>238200</v>
      </c>
      <c r="F26" s="50">
        <f t="shared" si="12"/>
        <v>238200</v>
      </c>
      <c r="G26" s="50">
        <f t="shared" si="12"/>
        <v>238200</v>
      </c>
      <c r="H26" s="50">
        <f t="shared" si="12"/>
        <v>238200</v>
      </c>
      <c r="I26" s="50">
        <f t="shared" si="12"/>
        <v>238200</v>
      </c>
      <c r="J26" s="50">
        <f t="shared" si="12"/>
        <v>238200</v>
      </c>
      <c r="K26" s="50">
        <f t="shared" si="12"/>
        <v>238200</v>
      </c>
      <c r="L26" s="50">
        <f t="shared" si="12"/>
        <v>238200</v>
      </c>
    </row>
    <row r="27" spans="1:12">
      <c r="A27" s="222" t="s">
        <v>305</v>
      </c>
      <c r="B27" s="176">
        <f>SUM(B18,B19,B21,B25)</f>
        <v>0</v>
      </c>
      <c r="C27" s="176">
        <f>SUM(C18,C19,C21,C25)</f>
        <v>2225814.5820000004</v>
      </c>
      <c r="D27" s="176">
        <f t="shared" ref="D27:L27" si="13">SUM(D18,D19,D21,D25)</f>
        <v>2225814.5820000004</v>
      </c>
      <c r="E27" s="176">
        <f t="shared" si="13"/>
        <v>2225814.5820000004</v>
      </c>
      <c r="F27" s="176">
        <f t="shared" si="13"/>
        <v>2225814.5820000004</v>
      </c>
      <c r="G27" s="176">
        <f t="shared" si="13"/>
        <v>2225814.5820000004</v>
      </c>
      <c r="H27" s="176">
        <f t="shared" si="13"/>
        <v>2225814.5820000004</v>
      </c>
      <c r="I27" s="176">
        <f t="shared" si="13"/>
        <v>4425814.5820000004</v>
      </c>
      <c r="J27" s="176">
        <f t="shared" si="13"/>
        <v>4425814.5820000004</v>
      </c>
      <c r="K27" s="176">
        <f t="shared" si="13"/>
        <v>4425814.5820000004</v>
      </c>
      <c r="L27" s="176">
        <f t="shared" si="13"/>
        <v>4425814.5820000004</v>
      </c>
    </row>
    <row r="28" spans="1:12">
      <c r="A28" s="222" t="s">
        <v>306</v>
      </c>
      <c r="B28" s="176">
        <f>SUM(B20,B22,B24,B23,B26)</f>
        <v>0</v>
      </c>
      <c r="C28" s="176">
        <f>SUM(C20,C22,C24,C23,C26)</f>
        <v>495340</v>
      </c>
      <c r="D28" s="176">
        <f t="shared" ref="D28:L28" si="14">SUM(D20,D22,D24,D23,D26)</f>
        <v>495340</v>
      </c>
      <c r="E28" s="176">
        <f t="shared" si="14"/>
        <v>495340</v>
      </c>
      <c r="F28" s="176">
        <f t="shared" si="14"/>
        <v>495340</v>
      </c>
      <c r="G28" s="176">
        <f t="shared" si="14"/>
        <v>495340</v>
      </c>
      <c r="H28" s="176">
        <f t="shared" si="14"/>
        <v>248200</v>
      </c>
      <c r="I28" s="176">
        <f t="shared" si="14"/>
        <v>248200</v>
      </c>
      <c r="J28" s="176">
        <f t="shared" si="14"/>
        <v>248200</v>
      </c>
      <c r="K28" s="176">
        <f t="shared" si="14"/>
        <v>248200</v>
      </c>
      <c r="L28" s="176">
        <f t="shared" si="14"/>
        <v>248200</v>
      </c>
    </row>
    <row r="29" spans="1:12">
      <c r="A29" s="226" t="s">
        <v>182</v>
      </c>
      <c r="B29" s="193">
        <f>SUM(B18:B25)</f>
        <v>0</v>
      </c>
      <c r="C29" s="193">
        <f>SUM(C18:C26)</f>
        <v>2721154.5820000004</v>
      </c>
      <c r="D29" s="193">
        <f t="shared" ref="D29:L29" si="15">SUM(D18:D26)</f>
        <v>2721154.5820000004</v>
      </c>
      <c r="E29" s="193">
        <f t="shared" si="15"/>
        <v>2721154.5820000004</v>
      </c>
      <c r="F29" s="193">
        <f t="shared" si="15"/>
        <v>2721154.5820000004</v>
      </c>
      <c r="G29" s="193">
        <f t="shared" si="15"/>
        <v>2721154.5820000004</v>
      </c>
      <c r="H29" s="193">
        <f t="shared" si="15"/>
        <v>2474014.5820000004</v>
      </c>
      <c r="I29" s="193">
        <f t="shared" si="15"/>
        <v>4674014.5820000004</v>
      </c>
      <c r="J29" s="193">
        <f t="shared" si="15"/>
        <v>4674014.5820000004</v>
      </c>
      <c r="K29" s="193">
        <f t="shared" si="15"/>
        <v>4674014.5820000004</v>
      </c>
      <c r="L29" s="193">
        <f t="shared" si="15"/>
        <v>4674014.5820000004</v>
      </c>
    </row>
    <row r="43" spans="1:16">
      <c r="A43" s="22"/>
      <c r="B43" s="22"/>
      <c r="C43" s="22"/>
      <c r="D43" s="22"/>
      <c r="E43" s="322" t="s">
        <v>53</v>
      </c>
      <c r="F43" s="322"/>
      <c r="G43" s="322"/>
      <c r="H43" s="322"/>
      <c r="I43" s="322"/>
      <c r="J43" s="322"/>
      <c r="K43" s="322"/>
      <c r="L43" s="322"/>
      <c r="M43" s="322"/>
      <c r="N43" s="322"/>
      <c r="O43" s="22"/>
      <c r="P43" s="22"/>
    </row>
    <row r="44" spans="1:16" ht="30">
      <c r="A44" s="57" t="s">
        <v>30</v>
      </c>
      <c r="B44" s="58" t="s">
        <v>44</v>
      </c>
      <c r="C44" s="60" t="s">
        <v>45</v>
      </c>
      <c r="D44" s="59" t="s">
        <v>29</v>
      </c>
      <c r="E44" s="56">
        <v>1</v>
      </c>
      <c r="F44" s="53">
        <v>2</v>
      </c>
      <c r="G44" s="53">
        <v>3</v>
      </c>
      <c r="H44" s="53">
        <v>4</v>
      </c>
      <c r="I44" s="53">
        <v>5</v>
      </c>
      <c r="J44" s="53">
        <v>6</v>
      </c>
      <c r="K44" s="53">
        <v>7</v>
      </c>
      <c r="L44" s="53">
        <v>8</v>
      </c>
      <c r="M44" s="53">
        <v>9</v>
      </c>
      <c r="N44" s="53">
        <v>10</v>
      </c>
      <c r="O44" s="61" t="s">
        <v>70</v>
      </c>
      <c r="P44" s="62" t="s">
        <v>46</v>
      </c>
    </row>
    <row r="45" spans="1:16">
      <c r="A45" s="26" t="s">
        <v>244</v>
      </c>
      <c r="B45" s="46">
        <f>Equipos!$C$3</f>
        <v>1349000</v>
      </c>
      <c r="C45" s="54">
        <v>10</v>
      </c>
      <c r="D45" s="55">
        <v>10</v>
      </c>
      <c r="E45" s="23">
        <v>0</v>
      </c>
      <c r="F45" s="35">
        <f>((B45*C45)/100)</f>
        <v>134900</v>
      </c>
      <c r="G45" s="35">
        <f>F45</f>
        <v>134900</v>
      </c>
      <c r="H45" s="35">
        <f>G45</f>
        <v>134900</v>
      </c>
      <c r="I45" s="35">
        <v>134900</v>
      </c>
      <c r="J45" s="35">
        <v>134900</v>
      </c>
      <c r="K45" s="35">
        <v>134900</v>
      </c>
      <c r="L45" s="35">
        <v>134900</v>
      </c>
      <c r="M45" s="35">
        <v>134900</v>
      </c>
      <c r="N45" s="35">
        <v>134900</v>
      </c>
      <c r="O45" s="35">
        <f>(N45/365)</f>
        <v>369.58904109589042</v>
      </c>
      <c r="P45" s="35">
        <f>(O45/24)</f>
        <v>15.399543378995434</v>
      </c>
    </row>
    <row r="46" spans="1:16" ht="30">
      <c r="A46" s="27" t="s">
        <v>31</v>
      </c>
      <c r="B46" s="46">
        <f>Equipos!$C$14</f>
        <v>11000000</v>
      </c>
      <c r="C46" s="54">
        <v>10</v>
      </c>
      <c r="D46" s="55">
        <v>10</v>
      </c>
      <c r="E46" s="23">
        <v>0</v>
      </c>
      <c r="F46" s="35">
        <f>((B46*C46)/100)</f>
        <v>1100000</v>
      </c>
      <c r="G46" s="35">
        <f>F46</f>
        <v>1100000</v>
      </c>
      <c r="H46" s="35">
        <f>G46</f>
        <v>1100000</v>
      </c>
      <c r="I46" s="35">
        <f t="shared" ref="I46:N46" si="16">H46</f>
        <v>1100000</v>
      </c>
      <c r="J46" s="35">
        <f t="shared" si="16"/>
        <v>1100000</v>
      </c>
      <c r="K46" s="35">
        <f t="shared" si="16"/>
        <v>1100000</v>
      </c>
      <c r="L46" s="35">
        <f t="shared" si="16"/>
        <v>1100000</v>
      </c>
      <c r="M46" s="35">
        <f t="shared" si="16"/>
        <v>1100000</v>
      </c>
      <c r="N46" s="35">
        <f t="shared" si="16"/>
        <v>1100000</v>
      </c>
      <c r="O46" s="35">
        <f>(N46/365)</f>
        <v>3013.6986301369861</v>
      </c>
      <c r="P46" s="35">
        <f t="shared" ref="P46:P56" si="17">(O46/24)</f>
        <v>125.57077625570776</v>
      </c>
    </row>
    <row r="47" spans="1:16">
      <c r="A47" s="26" t="s">
        <v>47</v>
      </c>
      <c r="B47" s="45">
        <f>Equipos!C15</f>
        <v>559300</v>
      </c>
      <c r="C47" s="54">
        <v>10</v>
      </c>
      <c r="D47" s="55">
        <v>10</v>
      </c>
      <c r="E47" s="23">
        <v>0</v>
      </c>
      <c r="F47" s="35">
        <f>((B47*C47)/100)</f>
        <v>55930</v>
      </c>
      <c r="G47" s="35">
        <f t="shared" ref="G47:G56" si="18">F47</f>
        <v>55930</v>
      </c>
      <c r="H47" s="35">
        <f t="shared" ref="H47:N47" si="19">G47</f>
        <v>55930</v>
      </c>
      <c r="I47" s="35">
        <f t="shared" si="19"/>
        <v>55930</v>
      </c>
      <c r="J47" s="35">
        <f t="shared" si="19"/>
        <v>55930</v>
      </c>
      <c r="K47" s="35">
        <f t="shared" si="19"/>
        <v>55930</v>
      </c>
      <c r="L47" s="35">
        <f t="shared" si="19"/>
        <v>55930</v>
      </c>
      <c r="M47" s="35">
        <f t="shared" si="19"/>
        <v>55930</v>
      </c>
      <c r="N47" s="35">
        <f t="shared" si="19"/>
        <v>55930</v>
      </c>
      <c r="O47" s="35">
        <f t="shared" ref="O47:O56" si="20">(N47/365)</f>
        <v>153.23287671232876</v>
      </c>
      <c r="P47" s="35">
        <f t="shared" si="17"/>
        <v>6.384703196347032</v>
      </c>
    </row>
    <row r="48" spans="1:16">
      <c r="A48" s="26" t="s">
        <v>48</v>
      </c>
      <c r="B48" s="46">
        <f>Equipos!$C$16</f>
        <v>868700</v>
      </c>
      <c r="C48" s="54">
        <v>10</v>
      </c>
      <c r="D48" s="55">
        <v>10</v>
      </c>
      <c r="E48" s="23">
        <v>0</v>
      </c>
      <c r="F48" s="35">
        <f t="shared" ref="F48:F52" si="21">((B48*C48)/100)</f>
        <v>86870</v>
      </c>
      <c r="G48" s="35">
        <f t="shared" si="18"/>
        <v>86870</v>
      </c>
      <c r="H48" s="35">
        <f t="shared" ref="H48:N48" si="22">G48</f>
        <v>86870</v>
      </c>
      <c r="I48" s="35">
        <f t="shared" si="22"/>
        <v>86870</v>
      </c>
      <c r="J48" s="35">
        <f t="shared" si="22"/>
        <v>86870</v>
      </c>
      <c r="K48" s="35">
        <f t="shared" si="22"/>
        <v>86870</v>
      </c>
      <c r="L48" s="35">
        <f t="shared" si="22"/>
        <v>86870</v>
      </c>
      <c r="M48" s="35">
        <f t="shared" si="22"/>
        <v>86870</v>
      </c>
      <c r="N48" s="35">
        <f t="shared" si="22"/>
        <v>86870</v>
      </c>
      <c r="O48" s="35">
        <f t="shared" si="20"/>
        <v>238</v>
      </c>
      <c r="P48" s="35">
        <f t="shared" si="17"/>
        <v>9.9166666666666661</v>
      </c>
    </row>
    <row r="49" spans="1:16">
      <c r="A49" s="26" t="s">
        <v>49</v>
      </c>
      <c r="B49" s="46">
        <f>Equipos!$C$17</f>
        <v>243777</v>
      </c>
      <c r="C49" s="54">
        <v>10</v>
      </c>
      <c r="D49" s="55">
        <v>10</v>
      </c>
      <c r="E49" s="23">
        <v>0</v>
      </c>
      <c r="F49" s="35">
        <f t="shared" si="21"/>
        <v>24377.7</v>
      </c>
      <c r="G49" s="35">
        <f t="shared" si="18"/>
        <v>24377.7</v>
      </c>
      <c r="H49" s="35">
        <f t="shared" ref="H49:N50" si="23">G49</f>
        <v>24377.7</v>
      </c>
      <c r="I49" s="86">
        <f t="shared" si="23"/>
        <v>24377.7</v>
      </c>
      <c r="J49" s="35">
        <f t="shared" si="23"/>
        <v>24377.7</v>
      </c>
      <c r="K49" s="35">
        <f t="shared" si="23"/>
        <v>24377.7</v>
      </c>
      <c r="L49" s="35">
        <f t="shared" si="23"/>
        <v>24377.7</v>
      </c>
      <c r="M49" s="35">
        <f t="shared" si="23"/>
        <v>24377.7</v>
      </c>
      <c r="N49" s="35">
        <f t="shared" si="23"/>
        <v>24377.7</v>
      </c>
      <c r="O49" s="35">
        <f t="shared" si="20"/>
        <v>66.788219178082187</v>
      </c>
      <c r="P49" s="35">
        <f t="shared" si="17"/>
        <v>2.7828424657534243</v>
      </c>
    </row>
    <row r="50" spans="1:16" ht="30">
      <c r="A50" s="27" t="s">
        <v>32</v>
      </c>
      <c r="B50" s="46">
        <f>Equipos!$C$18</f>
        <v>41733.300000000003</v>
      </c>
      <c r="C50" s="54">
        <v>10</v>
      </c>
      <c r="D50" s="55">
        <v>10</v>
      </c>
      <c r="E50" s="23">
        <v>0</v>
      </c>
      <c r="F50" s="35">
        <f t="shared" si="21"/>
        <v>4173.33</v>
      </c>
      <c r="G50" s="35">
        <f t="shared" si="18"/>
        <v>4173.33</v>
      </c>
      <c r="H50" s="35">
        <f t="shared" si="23"/>
        <v>4173.33</v>
      </c>
      <c r="I50" s="35">
        <f t="shared" si="23"/>
        <v>4173.33</v>
      </c>
      <c r="J50" s="35">
        <f t="shared" si="23"/>
        <v>4173.33</v>
      </c>
      <c r="K50" s="35">
        <f t="shared" si="23"/>
        <v>4173.33</v>
      </c>
      <c r="L50" s="35">
        <f t="shared" si="23"/>
        <v>4173.33</v>
      </c>
      <c r="M50" s="35">
        <f t="shared" si="23"/>
        <v>4173.33</v>
      </c>
      <c r="N50" s="35">
        <f t="shared" si="23"/>
        <v>4173.33</v>
      </c>
      <c r="O50" s="35">
        <f t="shared" si="20"/>
        <v>11.433780821917807</v>
      </c>
      <c r="P50" s="35">
        <f t="shared" si="17"/>
        <v>0.47640753424657528</v>
      </c>
    </row>
    <row r="51" spans="1:16">
      <c r="A51" s="26" t="s">
        <v>50</v>
      </c>
      <c r="B51" s="46">
        <f>Equipos!$C$19</f>
        <v>1850000</v>
      </c>
      <c r="C51" s="54">
        <v>10</v>
      </c>
      <c r="D51" s="55">
        <v>10</v>
      </c>
      <c r="E51" s="23">
        <v>0</v>
      </c>
      <c r="F51" s="35">
        <f t="shared" si="21"/>
        <v>185000</v>
      </c>
      <c r="G51" s="35">
        <f t="shared" si="18"/>
        <v>185000</v>
      </c>
      <c r="H51" s="35">
        <f t="shared" ref="H51:N52" si="24">G51</f>
        <v>185000</v>
      </c>
      <c r="I51" s="35">
        <f t="shared" si="24"/>
        <v>185000</v>
      </c>
      <c r="J51" s="35">
        <f t="shared" si="24"/>
        <v>185000</v>
      </c>
      <c r="K51" s="35">
        <f t="shared" si="24"/>
        <v>185000</v>
      </c>
      <c r="L51" s="35">
        <f t="shared" si="24"/>
        <v>185000</v>
      </c>
      <c r="M51" s="35">
        <f t="shared" si="24"/>
        <v>185000</v>
      </c>
      <c r="N51" s="35">
        <f t="shared" si="24"/>
        <v>185000</v>
      </c>
      <c r="O51" s="35">
        <f t="shared" si="20"/>
        <v>506.84931506849313</v>
      </c>
      <c r="P51" s="35">
        <f t="shared" si="17"/>
        <v>21.118721461187214</v>
      </c>
    </row>
    <row r="52" spans="1:16">
      <c r="A52" s="26" t="s">
        <v>51</v>
      </c>
      <c r="B52" s="46">
        <f>Equipos!$C$20</f>
        <v>1300445.52</v>
      </c>
      <c r="C52" s="54">
        <v>10</v>
      </c>
      <c r="D52" s="55">
        <v>10</v>
      </c>
      <c r="E52" s="23">
        <v>0</v>
      </c>
      <c r="F52" s="35">
        <f t="shared" si="21"/>
        <v>130044.552</v>
      </c>
      <c r="G52" s="35">
        <f t="shared" si="18"/>
        <v>130044.552</v>
      </c>
      <c r="H52" s="35">
        <f t="shared" si="24"/>
        <v>130044.552</v>
      </c>
      <c r="I52" s="35">
        <f t="shared" si="24"/>
        <v>130044.552</v>
      </c>
      <c r="J52" s="35">
        <f t="shared" si="24"/>
        <v>130044.552</v>
      </c>
      <c r="K52" s="35">
        <f t="shared" si="24"/>
        <v>130044.552</v>
      </c>
      <c r="L52" s="35">
        <f t="shared" si="24"/>
        <v>130044.552</v>
      </c>
      <c r="M52" s="35">
        <f t="shared" si="24"/>
        <v>130044.552</v>
      </c>
      <c r="N52" s="35">
        <f t="shared" si="24"/>
        <v>130044.552</v>
      </c>
      <c r="O52" s="35">
        <f t="shared" si="20"/>
        <v>356.28644383561641</v>
      </c>
      <c r="P52" s="35">
        <f t="shared" si="17"/>
        <v>14.845268493150684</v>
      </c>
    </row>
    <row r="53" spans="1:16">
      <c r="A53" s="27" t="s">
        <v>33</v>
      </c>
      <c r="B53" s="46">
        <v>399900</v>
      </c>
      <c r="C53" s="54">
        <v>10</v>
      </c>
      <c r="D53" s="55">
        <v>10</v>
      </c>
      <c r="E53" s="23">
        <v>0</v>
      </c>
      <c r="F53" s="35">
        <f>((B53*C53)/100)</f>
        <v>39990</v>
      </c>
      <c r="G53" s="35">
        <f t="shared" si="18"/>
        <v>39990</v>
      </c>
      <c r="H53" s="35">
        <f t="shared" ref="H53:N53" si="25">G53</f>
        <v>39990</v>
      </c>
      <c r="I53" s="35">
        <f t="shared" si="25"/>
        <v>39990</v>
      </c>
      <c r="J53" s="35">
        <f t="shared" si="25"/>
        <v>39990</v>
      </c>
      <c r="K53" s="35">
        <f t="shared" si="25"/>
        <v>39990</v>
      </c>
      <c r="L53" s="35">
        <f t="shared" si="25"/>
        <v>39990</v>
      </c>
      <c r="M53" s="35">
        <f t="shared" si="25"/>
        <v>39990</v>
      </c>
      <c r="N53" s="35">
        <f t="shared" si="25"/>
        <v>39990</v>
      </c>
      <c r="O53" s="35">
        <f t="shared" si="20"/>
        <v>109.56164383561644</v>
      </c>
      <c r="P53" s="35">
        <f t="shared" si="17"/>
        <v>4.5650684931506849</v>
      </c>
    </row>
    <row r="54" spans="1:16">
      <c r="A54" s="27" t="s">
        <v>34</v>
      </c>
      <c r="B54" s="46">
        <v>40000</v>
      </c>
      <c r="C54" s="54">
        <v>10</v>
      </c>
      <c r="D54" s="55">
        <v>10</v>
      </c>
      <c r="E54" s="23">
        <v>0</v>
      </c>
      <c r="F54" s="35">
        <f>((B54*C54)/100)</f>
        <v>4000</v>
      </c>
      <c r="G54" s="35">
        <f t="shared" si="18"/>
        <v>4000</v>
      </c>
      <c r="H54" s="35">
        <f t="shared" ref="H54:N54" si="26">G54</f>
        <v>4000</v>
      </c>
      <c r="I54" s="35">
        <f t="shared" si="26"/>
        <v>4000</v>
      </c>
      <c r="J54" s="35">
        <f t="shared" si="26"/>
        <v>4000</v>
      </c>
      <c r="K54" s="35">
        <f t="shared" si="26"/>
        <v>4000</v>
      </c>
      <c r="L54" s="35">
        <f t="shared" si="26"/>
        <v>4000</v>
      </c>
      <c r="M54" s="35">
        <f t="shared" si="26"/>
        <v>4000</v>
      </c>
      <c r="N54" s="35">
        <f t="shared" si="26"/>
        <v>4000</v>
      </c>
      <c r="O54" s="35">
        <f t="shared" si="20"/>
        <v>10.95890410958904</v>
      </c>
      <c r="P54" s="35">
        <f t="shared" si="17"/>
        <v>0.45662100456621002</v>
      </c>
    </row>
    <row r="55" spans="1:16">
      <c r="A55" s="26" t="s">
        <v>43</v>
      </c>
      <c r="B55" s="46">
        <v>69900</v>
      </c>
      <c r="C55" s="54">
        <v>10</v>
      </c>
      <c r="D55" s="55">
        <v>10</v>
      </c>
      <c r="E55" s="23">
        <v>0</v>
      </c>
      <c r="F55" s="35">
        <f>((B55*C55)/100)</f>
        <v>6990</v>
      </c>
      <c r="G55" s="35">
        <f t="shared" si="18"/>
        <v>6990</v>
      </c>
      <c r="H55" s="35">
        <f t="shared" ref="H55:N56" si="27">G55</f>
        <v>6990</v>
      </c>
      <c r="I55" s="35">
        <f t="shared" si="27"/>
        <v>6990</v>
      </c>
      <c r="J55" s="35">
        <f t="shared" si="27"/>
        <v>6990</v>
      </c>
      <c r="K55" s="35">
        <f t="shared" si="27"/>
        <v>6990</v>
      </c>
      <c r="L55" s="35">
        <f t="shared" si="27"/>
        <v>6990</v>
      </c>
      <c r="M55" s="35">
        <f t="shared" si="27"/>
        <v>6990</v>
      </c>
      <c r="N55" s="35">
        <f t="shared" si="27"/>
        <v>6990</v>
      </c>
      <c r="O55" s="35">
        <f t="shared" si="20"/>
        <v>19.150684931506849</v>
      </c>
      <c r="P55" s="35">
        <f t="shared" si="17"/>
        <v>0.79794520547945202</v>
      </c>
    </row>
    <row r="56" spans="1:16">
      <c r="A56" s="28" t="s">
        <v>52</v>
      </c>
      <c r="B56" s="46">
        <v>149900</v>
      </c>
      <c r="C56" s="54">
        <v>10</v>
      </c>
      <c r="D56" s="55">
        <v>10</v>
      </c>
      <c r="E56" s="23">
        <v>0</v>
      </c>
      <c r="F56" s="35">
        <f>((B56*C56)/100)</f>
        <v>14990</v>
      </c>
      <c r="G56" s="35">
        <f t="shared" si="18"/>
        <v>14990</v>
      </c>
      <c r="H56" s="35">
        <f t="shared" si="27"/>
        <v>14990</v>
      </c>
      <c r="I56" s="35">
        <f t="shared" si="27"/>
        <v>14990</v>
      </c>
      <c r="J56" s="35">
        <f t="shared" si="27"/>
        <v>14990</v>
      </c>
      <c r="K56" s="35">
        <f t="shared" si="27"/>
        <v>14990</v>
      </c>
      <c r="L56" s="35">
        <f t="shared" si="27"/>
        <v>14990</v>
      </c>
      <c r="M56" s="35">
        <f t="shared" si="27"/>
        <v>14990</v>
      </c>
      <c r="N56" s="35">
        <f t="shared" si="27"/>
        <v>14990</v>
      </c>
      <c r="O56" s="35">
        <f t="shared" si="20"/>
        <v>41.06849315068493</v>
      </c>
      <c r="P56" s="35">
        <f t="shared" si="17"/>
        <v>1.7111872146118721</v>
      </c>
    </row>
  </sheetData>
  <mergeCells count="4">
    <mergeCell ref="A2:E2"/>
    <mergeCell ref="B16:K16"/>
    <mergeCell ref="A15:K15"/>
    <mergeCell ref="E43:N4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58"/>
  <sheetViews>
    <sheetView topLeftCell="B1" zoomScaleNormal="100" workbookViewId="0">
      <selection activeCell="H8" sqref="H8:H10"/>
    </sheetView>
  </sheetViews>
  <sheetFormatPr baseColWidth="10" defaultColWidth="9.140625" defaultRowHeight="15"/>
  <cols>
    <col min="1" max="2" width="34.140625" bestFit="1" customWidth="1"/>
    <col min="3" max="3" width="17.85546875" bestFit="1" customWidth="1"/>
    <col min="4" max="4" width="27.7109375" bestFit="1" customWidth="1"/>
    <col min="5" max="5" width="19.42578125" bestFit="1" customWidth="1"/>
    <col min="6" max="6" width="17" bestFit="1" customWidth="1"/>
    <col min="8" max="8" width="16.28515625" bestFit="1" customWidth="1"/>
  </cols>
  <sheetData>
    <row r="1" spans="1:8" ht="30">
      <c r="A1" s="149" t="s">
        <v>190</v>
      </c>
      <c r="B1" s="150" t="s">
        <v>191</v>
      </c>
      <c r="C1" s="151" t="s">
        <v>237</v>
      </c>
      <c r="D1" s="150" t="s">
        <v>192</v>
      </c>
      <c r="E1" s="208" t="s">
        <v>239</v>
      </c>
      <c r="F1" s="208" t="s">
        <v>288</v>
      </c>
    </row>
    <row r="2" spans="1:8" ht="14.25" customHeight="1">
      <c r="A2" s="152" t="s">
        <v>238</v>
      </c>
      <c r="B2" s="125" t="s">
        <v>193</v>
      </c>
      <c r="C2" s="125">
        <v>192</v>
      </c>
      <c r="D2" s="148">
        <v>2000000</v>
      </c>
      <c r="E2" s="35">
        <f>($E$39/C2)</f>
        <v>15555.9375</v>
      </c>
      <c r="F2" s="50">
        <f>$E$37</f>
        <v>1063600</v>
      </c>
    </row>
    <row r="3" spans="1:8">
      <c r="A3" s="152" t="s">
        <v>235</v>
      </c>
      <c r="B3" s="125" t="s">
        <v>193</v>
      </c>
      <c r="C3" s="125">
        <v>192</v>
      </c>
      <c r="D3" s="148">
        <v>2000000</v>
      </c>
      <c r="E3" s="35">
        <f>($E$39/C3)</f>
        <v>15555.9375</v>
      </c>
      <c r="F3" s="50">
        <f t="shared" ref="F3:F4" si="0">$E$37</f>
        <v>1063600</v>
      </c>
    </row>
    <row r="4" spans="1:8">
      <c r="A4" s="137" t="s">
        <v>240</v>
      </c>
      <c r="B4" s="125" t="s">
        <v>193</v>
      </c>
      <c r="C4" s="125">
        <v>192</v>
      </c>
      <c r="D4" s="148">
        <v>2000000</v>
      </c>
      <c r="E4" s="35">
        <f>($E$39/C4)</f>
        <v>15555.9375</v>
      </c>
      <c r="F4" s="50">
        <f t="shared" si="0"/>
        <v>1063600</v>
      </c>
    </row>
    <row r="5" spans="1:8">
      <c r="A5" s="187" t="s">
        <v>284</v>
      </c>
      <c r="B5" s="188" t="s">
        <v>193</v>
      </c>
      <c r="C5" s="188">
        <v>192</v>
      </c>
      <c r="D5" s="189">
        <f>C132</f>
        <v>1800000</v>
      </c>
      <c r="E5" s="35">
        <f>(E158/C5)</f>
        <v>14043.645833333334</v>
      </c>
      <c r="F5" s="50">
        <f>E156</f>
        <v>957240</v>
      </c>
    </row>
    <row r="6" spans="1:8">
      <c r="A6" s="152" t="s">
        <v>194</v>
      </c>
      <c r="B6" s="125" t="s">
        <v>193</v>
      </c>
      <c r="C6" s="125">
        <v>192</v>
      </c>
      <c r="D6" s="148">
        <v>1200000</v>
      </c>
      <c r="E6" s="35">
        <f>($E$99/C6)</f>
        <v>9506.7708333333339</v>
      </c>
      <c r="F6" s="50">
        <f>$E$97</f>
        <v>638160</v>
      </c>
    </row>
    <row r="7" spans="1:8">
      <c r="A7" s="152" t="s">
        <v>236</v>
      </c>
      <c r="B7" s="161" t="s">
        <v>193</v>
      </c>
      <c r="C7" s="161">
        <v>192</v>
      </c>
      <c r="D7" s="148">
        <v>800000</v>
      </c>
      <c r="E7" s="35">
        <f>($E$128/C7)</f>
        <v>6482.1875</v>
      </c>
      <c r="F7" s="50">
        <f>E126</f>
        <v>425440</v>
      </c>
    </row>
    <row r="8" spans="1:8">
      <c r="A8" s="191" t="s">
        <v>38</v>
      </c>
      <c r="B8" s="200"/>
      <c r="C8" s="201"/>
      <c r="D8" s="192">
        <f>SUM(D2:D7)</f>
        <v>9800000</v>
      </c>
      <c r="E8" s="207">
        <f>SUM(E2:E7)</f>
        <v>76700.416666666672</v>
      </c>
      <c r="F8" s="190">
        <f>SUM(F2:F7)</f>
        <v>5211640</v>
      </c>
      <c r="H8" s="119"/>
    </row>
    <row r="9" spans="1:8">
      <c r="A9" s="194" t="s">
        <v>285</v>
      </c>
      <c r="B9" s="198"/>
      <c r="C9" s="199"/>
      <c r="D9" s="195">
        <f>D5</f>
        <v>1800000</v>
      </c>
      <c r="E9" s="193">
        <f>E5</f>
        <v>14043.645833333334</v>
      </c>
      <c r="F9" s="195">
        <f>F5</f>
        <v>957240</v>
      </c>
      <c r="H9" s="119"/>
    </row>
    <row r="10" spans="1:8">
      <c r="A10" s="196" t="s">
        <v>286</v>
      </c>
      <c r="B10" s="198"/>
      <c r="C10" s="199"/>
      <c r="D10" s="197">
        <f>SUM(D4,D3,D2,D6,D7)</f>
        <v>8000000</v>
      </c>
      <c r="E10" s="193">
        <f>SUM(E4,E3,E2,E6,E7)</f>
        <v>62656.770833333336</v>
      </c>
      <c r="F10" s="197">
        <f>SUM(F4,F3,F2,F6,F7)</f>
        <v>4254400</v>
      </c>
      <c r="H10" s="119"/>
    </row>
    <row r="12" spans="1:8">
      <c r="B12" s="332" t="s">
        <v>241</v>
      </c>
      <c r="C12" s="333"/>
      <c r="D12" s="333"/>
      <c r="E12" s="334"/>
    </row>
    <row r="13" spans="1:8">
      <c r="B13" s="137" t="s">
        <v>195</v>
      </c>
      <c r="C13" s="134">
        <v>2000000</v>
      </c>
      <c r="D13" s="313" t="s">
        <v>231</v>
      </c>
      <c r="E13" s="331"/>
    </row>
    <row r="14" spans="1:8">
      <c r="B14" s="138" t="s">
        <v>197</v>
      </c>
      <c r="C14" s="134">
        <v>0</v>
      </c>
      <c r="D14" s="2"/>
      <c r="E14" s="139"/>
    </row>
    <row r="15" spans="1:8">
      <c r="B15" s="138" t="s">
        <v>198</v>
      </c>
      <c r="C15" s="134">
        <v>0</v>
      </c>
      <c r="D15" s="92" t="s">
        <v>199</v>
      </c>
      <c r="E15" s="139"/>
    </row>
    <row r="16" spans="1:8">
      <c r="B16" s="138" t="s">
        <v>200</v>
      </c>
      <c r="C16" s="134">
        <v>0</v>
      </c>
      <c r="D16" s="35" t="s">
        <v>201</v>
      </c>
      <c r="E16" s="140">
        <f>C20*8.5%</f>
        <v>170000</v>
      </c>
    </row>
    <row r="17" spans="2:5">
      <c r="B17" s="138" t="s">
        <v>202</v>
      </c>
      <c r="C17" s="134">
        <v>0</v>
      </c>
      <c r="D17" s="35" t="s">
        <v>203</v>
      </c>
      <c r="E17" s="140">
        <f>C20*12%</f>
        <v>240000</v>
      </c>
    </row>
    <row r="18" spans="2:5">
      <c r="B18" s="138" t="s">
        <v>204</v>
      </c>
      <c r="C18" s="134">
        <v>0</v>
      </c>
      <c r="D18" s="35" t="s">
        <v>205</v>
      </c>
      <c r="E18" s="140">
        <f>C20*6.96%</f>
        <v>139200</v>
      </c>
    </row>
    <row r="19" spans="2:5">
      <c r="B19" s="138" t="s">
        <v>206</v>
      </c>
      <c r="C19" s="134">
        <v>83140</v>
      </c>
      <c r="D19" s="35" t="s">
        <v>207</v>
      </c>
      <c r="E19" s="141">
        <f>SUM(E16:E18)</f>
        <v>549200</v>
      </c>
    </row>
    <row r="20" spans="2:5" ht="15" customHeight="1">
      <c r="B20" s="142" t="s">
        <v>208</v>
      </c>
      <c r="C20" s="135">
        <f>SUM(C13:C18)</f>
        <v>2000000</v>
      </c>
      <c r="D20" s="35"/>
      <c r="E20" s="140"/>
    </row>
    <row r="21" spans="2:5">
      <c r="B21" s="142" t="s">
        <v>209</v>
      </c>
      <c r="C21" s="136">
        <f>SUM(C13:C19)</f>
        <v>2083140</v>
      </c>
      <c r="D21" s="326" t="s">
        <v>210</v>
      </c>
      <c r="E21" s="327"/>
    </row>
    <row r="22" spans="2:5">
      <c r="B22" s="142"/>
      <c r="C22" s="134"/>
      <c r="D22" s="133"/>
      <c r="E22" s="140"/>
    </row>
    <row r="23" spans="2:5">
      <c r="B23" s="137" t="s">
        <v>211</v>
      </c>
      <c r="C23" s="134"/>
      <c r="D23" s="35"/>
      <c r="E23" s="140"/>
    </row>
    <row r="24" spans="2:5">
      <c r="B24" s="138" t="s">
        <v>212</v>
      </c>
      <c r="C24" s="134">
        <f>C20*4%</f>
        <v>80000</v>
      </c>
      <c r="D24" s="35" t="s">
        <v>213</v>
      </c>
      <c r="E24" s="140">
        <f>C20*2%</f>
        <v>40000</v>
      </c>
    </row>
    <row r="25" spans="2:5">
      <c r="B25" s="138" t="s">
        <v>214</v>
      </c>
      <c r="C25" s="134">
        <f>C20*4%</f>
        <v>80000</v>
      </c>
      <c r="D25" s="35" t="s">
        <v>215</v>
      </c>
      <c r="E25" s="140">
        <f>C20*4%</f>
        <v>80000</v>
      </c>
    </row>
    <row r="26" spans="2:5">
      <c r="B26" s="138" t="s">
        <v>216</v>
      </c>
      <c r="C26" s="134">
        <v>0</v>
      </c>
      <c r="D26" s="35" t="s">
        <v>217</v>
      </c>
      <c r="E26" s="140">
        <f>C20*3%</f>
        <v>60000</v>
      </c>
    </row>
    <row r="27" spans="2:5">
      <c r="B27" s="138" t="s">
        <v>218</v>
      </c>
      <c r="C27" s="134">
        <v>0</v>
      </c>
      <c r="D27" s="35" t="s">
        <v>219</v>
      </c>
      <c r="E27" s="141">
        <f>SUM(E24:E26)</f>
        <v>180000</v>
      </c>
    </row>
    <row r="28" spans="2:5">
      <c r="B28" s="138" t="s">
        <v>220</v>
      </c>
      <c r="C28" s="134">
        <v>0</v>
      </c>
      <c r="D28" s="35"/>
      <c r="E28" s="140"/>
    </row>
    <row r="29" spans="2:5">
      <c r="B29" s="138" t="s">
        <v>221</v>
      </c>
      <c r="C29" s="134">
        <v>0</v>
      </c>
      <c r="D29" s="326" t="s">
        <v>222</v>
      </c>
      <c r="E29" s="327"/>
    </row>
    <row r="30" spans="2:5">
      <c r="B30" s="137" t="s">
        <v>223</v>
      </c>
      <c r="C30" s="136">
        <f>SUM(C24:C25)</f>
        <v>160000</v>
      </c>
      <c r="D30" s="35"/>
      <c r="E30" s="140"/>
    </row>
    <row r="31" spans="2:5">
      <c r="B31" s="138"/>
      <c r="C31" s="134"/>
      <c r="D31" s="35" t="s">
        <v>224</v>
      </c>
      <c r="E31" s="140">
        <f>(C20*24)/360</f>
        <v>133333.33333333334</v>
      </c>
    </row>
    <row r="32" spans="2:5">
      <c r="B32" s="137" t="s">
        <v>225</v>
      </c>
      <c r="C32" s="136">
        <f>C21-C30</f>
        <v>1923140</v>
      </c>
      <c r="D32" s="35" t="s">
        <v>226</v>
      </c>
      <c r="E32" s="140">
        <f>(C20*24)/360</f>
        <v>133333.33333333334</v>
      </c>
    </row>
    <row r="33" spans="1:5">
      <c r="A33" s="126"/>
      <c r="B33" s="129"/>
      <c r="C33" s="16"/>
      <c r="D33" s="35" t="s">
        <v>227</v>
      </c>
      <c r="E33" s="140">
        <f>(0.12*E32*24)/360</f>
        <v>1066.6666666666667</v>
      </c>
    </row>
    <row r="34" spans="1:5">
      <c r="A34" s="126"/>
      <c r="B34" s="126"/>
      <c r="C34" s="16"/>
      <c r="D34" s="35" t="s">
        <v>228</v>
      </c>
      <c r="E34" s="140">
        <f>(C20*24)/720</f>
        <v>66666.666666666672</v>
      </c>
    </row>
    <row r="35" spans="1:5">
      <c r="A35" s="126"/>
      <c r="B35" s="126"/>
      <c r="C35" s="16"/>
      <c r="D35" s="133" t="s">
        <v>229</v>
      </c>
      <c r="E35" s="141">
        <f>SUM(E31:E34)</f>
        <v>334400.00000000006</v>
      </c>
    </row>
    <row r="36" spans="1:5">
      <c r="A36" s="126"/>
      <c r="B36" s="126"/>
      <c r="C36" s="16"/>
      <c r="D36" s="35"/>
      <c r="E36" s="140"/>
    </row>
    <row r="37" spans="1:5">
      <c r="A37" s="126"/>
      <c r="B37" s="126"/>
      <c r="C37" s="16"/>
      <c r="D37" s="133" t="s">
        <v>207</v>
      </c>
      <c r="E37" s="141">
        <f>SUM(E35+E27+E19)</f>
        <v>1063600</v>
      </c>
    </row>
    <row r="38" spans="1:5">
      <c r="A38" s="126"/>
      <c r="B38" s="126"/>
      <c r="C38" s="16"/>
      <c r="D38" s="35"/>
      <c r="E38" s="140"/>
    </row>
    <row r="39" spans="1:5" ht="15.75" thickBot="1">
      <c r="A39" s="127"/>
      <c r="B39" s="127"/>
      <c r="C39" s="128"/>
      <c r="D39" s="162" t="s">
        <v>230</v>
      </c>
      <c r="E39" s="163">
        <f>E37+C32</f>
        <v>2986740</v>
      </c>
    </row>
    <row r="41" spans="1:5" ht="15.75" thickBot="1"/>
    <row r="42" spans="1:5">
      <c r="B42" s="323" t="s">
        <v>232</v>
      </c>
      <c r="C42" s="324"/>
      <c r="D42" s="324"/>
      <c r="E42" s="325"/>
    </row>
    <row r="43" spans="1:5">
      <c r="B43" s="145" t="s">
        <v>195</v>
      </c>
      <c r="C43" s="35">
        <v>1500000</v>
      </c>
      <c r="D43" s="326" t="s">
        <v>196</v>
      </c>
      <c r="E43" s="327"/>
    </row>
    <row r="44" spans="1:5">
      <c r="B44" s="146" t="s">
        <v>197</v>
      </c>
      <c r="C44" s="134">
        <v>0</v>
      </c>
      <c r="D44" s="35"/>
      <c r="E44" s="140"/>
    </row>
    <row r="45" spans="1:5">
      <c r="B45" s="146" t="s">
        <v>198</v>
      </c>
      <c r="C45" s="134">
        <v>0</v>
      </c>
      <c r="D45" s="133" t="s">
        <v>199</v>
      </c>
      <c r="E45" s="140"/>
    </row>
    <row r="46" spans="1:5">
      <c r="B46" s="146" t="s">
        <v>200</v>
      </c>
      <c r="C46" s="134">
        <v>0</v>
      </c>
      <c r="D46" s="35" t="s">
        <v>201</v>
      </c>
      <c r="E46" s="140">
        <f>C50*8.5%</f>
        <v>127500.00000000001</v>
      </c>
    </row>
    <row r="47" spans="1:5">
      <c r="B47" s="146" t="s">
        <v>202</v>
      </c>
      <c r="C47" s="134">
        <v>0</v>
      </c>
      <c r="D47" s="35" t="s">
        <v>203</v>
      </c>
      <c r="E47" s="140">
        <f>C50*12%</f>
        <v>180000</v>
      </c>
    </row>
    <row r="48" spans="1:5">
      <c r="B48" s="146" t="s">
        <v>204</v>
      </c>
      <c r="C48" s="134">
        <v>0</v>
      </c>
      <c r="D48" s="35" t="s">
        <v>205</v>
      </c>
      <c r="E48" s="140">
        <f>C50*6.96%</f>
        <v>104400</v>
      </c>
    </row>
    <row r="49" spans="1:5">
      <c r="B49" s="146" t="s">
        <v>206</v>
      </c>
      <c r="C49" s="35">
        <v>83140</v>
      </c>
      <c r="D49" s="35" t="s">
        <v>207</v>
      </c>
      <c r="E49" s="141">
        <f>SUM(E46:E48)</f>
        <v>411900</v>
      </c>
    </row>
    <row r="50" spans="1:5" ht="30">
      <c r="B50" s="147" t="s">
        <v>208</v>
      </c>
      <c r="C50" s="132">
        <f>SUM(C43:C48)</f>
        <v>1500000</v>
      </c>
      <c r="D50" s="35"/>
      <c r="E50" s="140"/>
    </row>
    <row r="51" spans="1:5">
      <c r="B51" s="147" t="s">
        <v>209</v>
      </c>
      <c r="C51" s="133">
        <f>SUM(C43:C49)</f>
        <v>1583140</v>
      </c>
      <c r="D51" s="326" t="s">
        <v>210</v>
      </c>
      <c r="E51" s="327"/>
    </row>
    <row r="52" spans="1:5">
      <c r="B52" s="147"/>
      <c r="C52" s="35"/>
      <c r="D52" s="133"/>
      <c r="E52" s="140"/>
    </row>
    <row r="53" spans="1:5">
      <c r="B53" s="145" t="s">
        <v>211</v>
      </c>
      <c r="C53" s="35"/>
      <c r="D53" s="35"/>
      <c r="E53" s="140"/>
    </row>
    <row r="54" spans="1:5">
      <c r="B54" s="146" t="s">
        <v>212</v>
      </c>
      <c r="C54" s="35">
        <f>C50*4%</f>
        <v>60000</v>
      </c>
      <c r="D54" s="35" t="s">
        <v>213</v>
      </c>
      <c r="E54" s="140">
        <f>C50*2%</f>
        <v>30000</v>
      </c>
    </row>
    <row r="55" spans="1:5">
      <c r="B55" s="146" t="s">
        <v>214</v>
      </c>
      <c r="C55" s="35">
        <f>C50*4%</f>
        <v>60000</v>
      </c>
      <c r="D55" s="35" t="s">
        <v>215</v>
      </c>
      <c r="E55" s="140">
        <f>C50*4%</f>
        <v>60000</v>
      </c>
    </row>
    <row r="56" spans="1:5">
      <c r="B56" s="146" t="s">
        <v>216</v>
      </c>
      <c r="C56" s="35">
        <v>0</v>
      </c>
      <c r="D56" s="35" t="s">
        <v>217</v>
      </c>
      <c r="E56" s="140">
        <f>C50*3%</f>
        <v>45000</v>
      </c>
    </row>
    <row r="57" spans="1:5">
      <c r="B57" s="146" t="s">
        <v>218</v>
      </c>
      <c r="C57" s="35">
        <v>0</v>
      </c>
      <c r="D57" s="35" t="s">
        <v>219</v>
      </c>
      <c r="E57" s="141">
        <f>SUM(E54:E56)</f>
        <v>135000</v>
      </c>
    </row>
    <row r="58" spans="1:5">
      <c r="B58" s="146" t="s">
        <v>220</v>
      </c>
      <c r="C58" s="35">
        <v>0</v>
      </c>
      <c r="D58" s="35"/>
      <c r="E58" s="140"/>
    </row>
    <row r="59" spans="1:5">
      <c r="B59" s="146" t="s">
        <v>221</v>
      </c>
      <c r="C59" s="35">
        <v>0</v>
      </c>
      <c r="D59" s="326" t="s">
        <v>222</v>
      </c>
      <c r="E59" s="327"/>
    </row>
    <row r="60" spans="1:5">
      <c r="B60" s="145" t="s">
        <v>223</v>
      </c>
      <c r="C60" s="133">
        <f>SUM(C54:C55)</f>
        <v>120000</v>
      </c>
      <c r="D60" s="35"/>
      <c r="E60" s="140"/>
    </row>
    <row r="61" spans="1:5">
      <c r="B61" s="146"/>
      <c r="C61" s="35"/>
      <c r="D61" s="35" t="s">
        <v>224</v>
      </c>
      <c r="E61" s="140">
        <f>(C50*24)/360</f>
        <v>100000</v>
      </c>
    </row>
    <row r="62" spans="1:5">
      <c r="B62" s="145" t="s">
        <v>225</v>
      </c>
      <c r="C62" s="133">
        <f>C51-C60</f>
        <v>1463140</v>
      </c>
      <c r="D62" s="35" t="s">
        <v>226</v>
      </c>
      <c r="E62" s="140">
        <f>(C50*24)/360</f>
        <v>100000</v>
      </c>
    </row>
    <row r="63" spans="1:5">
      <c r="A63" s="126"/>
      <c r="B63" s="129"/>
      <c r="C63" s="130"/>
      <c r="D63" s="35" t="s">
        <v>227</v>
      </c>
      <c r="E63" s="140">
        <f>(0.12*E62*24)/360</f>
        <v>800</v>
      </c>
    </row>
    <row r="64" spans="1:5">
      <c r="A64" s="126"/>
      <c r="B64" s="129"/>
      <c r="C64" s="130"/>
      <c r="D64" s="35" t="s">
        <v>228</v>
      </c>
      <c r="E64" s="140">
        <f>(C50*24)/720</f>
        <v>50000</v>
      </c>
    </row>
    <row r="65" spans="1:5">
      <c r="A65" s="126"/>
      <c r="B65" s="129"/>
      <c r="C65" s="130"/>
      <c r="D65" s="133" t="s">
        <v>229</v>
      </c>
      <c r="E65" s="141">
        <f>SUM(E61:E64)</f>
        <v>250800</v>
      </c>
    </row>
    <row r="66" spans="1:5">
      <c r="A66" s="126"/>
      <c r="B66" s="129"/>
      <c r="C66" s="130"/>
      <c r="D66" s="35"/>
      <c r="E66" s="140"/>
    </row>
    <row r="67" spans="1:5">
      <c r="A67" s="126"/>
      <c r="B67" s="129"/>
      <c r="C67" s="130"/>
      <c r="D67" s="133" t="s">
        <v>207</v>
      </c>
      <c r="E67" s="141">
        <f>SUM(E65+E57+E49)</f>
        <v>797700</v>
      </c>
    </row>
    <row r="68" spans="1:5">
      <c r="A68" s="126"/>
      <c r="B68" s="129"/>
      <c r="C68" s="130"/>
      <c r="D68" s="35"/>
      <c r="E68" s="140"/>
    </row>
    <row r="69" spans="1:5" ht="15.75" thickBot="1">
      <c r="A69" s="127"/>
      <c r="B69" s="143"/>
      <c r="C69" s="144"/>
      <c r="D69" s="162" t="s">
        <v>230</v>
      </c>
      <c r="E69" s="163">
        <f>E67+C62</f>
        <v>2260840</v>
      </c>
    </row>
    <row r="70" spans="1:5">
      <c r="A70" s="44"/>
      <c r="B70" s="119"/>
      <c r="C70" s="119"/>
      <c r="D70" s="119"/>
      <c r="E70" s="119"/>
    </row>
    <row r="71" spans="1:5" ht="15.75" thickBot="1">
      <c r="A71" s="44"/>
      <c r="B71" s="119"/>
      <c r="C71" s="119"/>
      <c r="D71" s="119"/>
      <c r="E71" s="119"/>
    </row>
    <row r="72" spans="1:5" ht="15.75" thickBot="1">
      <c r="A72" s="131"/>
      <c r="B72" s="328" t="s">
        <v>233</v>
      </c>
      <c r="C72" s="329"/>
      <c r="D72" s="329"/>
      <c r="E72" s="330"/>
    </row>
    <row r="73" spans="1:5">
      <c r="B73" s="145" t="s">
        <v>195</v>
      </c>
      <c r="C73" s="35">
        <v>1200000</v>
      </c>
      <c r="D73" s="326" t="s">
        <v>196</v>
      </c>
      <c r="E73" s="327"/>
    </row>
    <row r="74" spans="1:5">
      <c r="B74" s="146" t="s">
        <v>197</v>
      </c>
      <c r="C74" s="134">
        <v>0</v>
      </c>
      <c r="D74" s="35"/>
      <c r="E74" s="140"/>
    </row>
    <row r="75" spans="1:5">
      <c r="B75" s="146" t="s">
        <v>198</v>
      </c>
      <c r="C75" s="134">
        <v>0</v>
      </c>
      <c r="D75" s="133" t="s">
        <v>199</v>
      </c>
      <c r="E75" s="140"/>
    </row>
    <row r="76" spans="1:5">
      <c r="B76" s="146" t="s">
        <v>200</v>
      </c>
      <c r="C76" s="134">
        <v>0</v>
      </c>
      <c r="D76" s="35" t="s">
        <v>201</v>
      </c>
      <c r="E76" s="140">
        <f>C80*8.5%</f>
        <v>102000.00000000001</v>
      </c>
    </row>
    <row r="77" spans="1:5">
      <c r="B77" s="146" t="s">
        <v>202</v>
      </c>
      <c r="C77" s="134">
        <v>0</v>
      </c>
      <c r="D77" s="35" t="s">
        <v>203</v>
      </c>
      <c r="E77" s="140">
        <f>C80*12%</f>
        <v>144000</v>
      </c>
    </row>
    <row r="78" spans="1:5">
      <c r="B78" s="146" t="s">
        <v>204</v>
      </c>
      <c r="C78" s="134">
        <v>0</v>
      </c>
      <c r="D78" s="35" t="s">
        <v>205</v>
      </c>
      <c r="E78" s="140">
        <f>C80*6.96%</f>
        <v>83520</v>
      </c>
    </row>
    <row r="79" spans="1:5">
      <c r="B79" s="146" t="s">
        <v>206</v>
      </c>
      <c r="C79" s="35">
        <v>83140</v>
      </c>
      <c r="D79" s="35" t="s">
        <v>207</v>
      </c>
      <c r="E79" s="141">
        <f>SUM(E76:E78)</f>
        <v>329520</v>
      </c>
    </row>
    <row r="80" spans="1:5" ht="30">
      <c r="B80" s="147" t="s">
        <v>208</v>
      </c>
      <c r="C80" s="132">
        <f>SUM(C73:C78)</f>
        <v>1200000</v>
      </c>
      <c r="D80" s="35"/>
      <c r="E80" s="140"/>
    </row>
    <row r="81" spans="1:5">
      <c r="B81" s="147" t="s">
        <v>209</v>
      </c>
      <c r="C81" s="133">
        <f>SUM(C73:C79)</f>
        <v>1283140</v>
      </c>
      <c r="D81" s="326" t="s">
        <v>210</v>
      </c>
      <c r="E81" s="327"/>
    </row>
    <row r="82" spans="1:5">
      <c r="B82" s="147"/>
      <c r="C82" s="35"/>
      <c r="D82" s="133"/>
      <c r="E82" s="140"/>
    </row>
    <row r="83" spans="1:5">
      <c r="B83" s="145" t="s">
        <v>211</v>
      </c>
      <c r="C83" s="35"/>
      <c r="D83" s="35"/>
      <c r="E83" s="140"/>
    </row>
    <row r="84" spans="1:5">
      <c r="B84" s="146" t="s">
        <v>212</v>
      </c>
      <c r="C84" s="35">
        <f>C80*4%</f>
        <v>48000</v>
      </c>
      <c r="D84" s="35" t="s">
        <v>213</v>
      </c>
      <c r="E84" s="140">
        <f>C80*2%</f>
        <v>24000</v>
      </c>
    </row>
    <row r="85" spans="1:5">
      <c r="B85" s="146" t="s">
        <v>214</v>
      </c>
      <c r="C85" s="35">
        <f>C80*4%</f>
        <v>48000</v>
      </c>
      <c r="D85" s="35" t="s">
        <v>215</v>
      </c>
      <c r="E85" s="140">
        <f>C80*4%</f>
        <v>48000</v>
      </c>
    </row>
    <row r="86" spans="1:5">
      <c r="B86" s="146" t="s">
        <v>216</v>
      </c>
      <c r="C86" s="35">
        <v>0</v>
      </c>
      <c r="D86" s="35" t="s">
        <v>217</v>
      </c>
      <c r="E86" s="140">
        <f>C80*3%</f>
        <v>36000</v>
      </c>
    </row>
    <row r="87" spans="1:5">
      <c r="B87" s="146" t="s">
        <v>218</v>
      </c>
      <c r="C87" s="35">
        <v>0</v>
      </c>
      <c r="D87" s="35" t="s">
        <v>219</v>
      </c>
      <c r="E87" s="141">
        <f>SUM(E84:E86)</f>
        <v>108000</v>
      </c>
    </row>
    <row r="88" spans="1:5">
      <c r="B88" s="146" t="s">
        <v>220</v>
      </c>
      <c r="C88" s="35">
        <v>0</v>
      </c>
      <c r="D88" s="35"/>
      <c r="E88" s="140"/>
    </row>
    <row r="89" spans="1:5">
      <c r="B89" s="146" t="s">
        <v>221</v>
      </c>
      <c r="C89" s="35">
        <v>0</v>
      </c>
      <c r="D89" s="326" t="s">
        <v>222</v>
      </c>
      <c r="E89" s="327"/>
    </row>
    <row r="90" spans="1:5">
      <c r="B90" s="145" t="s">
        <v>223</v>
      </c>
      <c r="C90" s="133">
        <f>SUM(C84:C85)</f>
        <v>96000</v>
      </c>
      <c r="D90" s="35"/>
      <c r="E90" s="140"/>
    </row>
    <row r="91" spans="1:5">
      <c r="B91" s="146"/>
      <c r="C91" s="35"/>
      <c r="D91" s="35" t="s">
        <v>224</v>
      </c>
      <c r="E91" s="140">
        <f>(C80*24)/360</f>
        <v>80000</v>
      </c>
    </row>
    <row r="92" spans="1:5">
      <c r="B92" s="145" t="s">
        <v>225</v>
      </c>
      <c r="C92" s="133">
        <f>C81-C90</f>
        <v>1187140</v>
      </c>
      <c r="D92" s="35" t="s">
        <v>226</v>
      </c>
      <c r="E92" s="140">
        <f>(C80*24)/360</f>
        <v>80000</v>
      </c>
    </row>
    <row r="93" spans="1:5">
      <c r="A93" s="126"/>
      <c r="B93" s="129"/>
      <c r="C93" s="130"/>
      <c r="D93" s="35" t="s">
        <v>227</v>
      </c>
      <c r="E93" s="140">
        <f>(0.12*E92*24)/360</f>
        <v>640</v>
      </c>
    </row>
    <row r="94" spans="1:5">
      <c r="A94" s="126"/>
      <c r="B94" s="129"/>
      <c r="C94" s="130"/>
      <c r="D94" s="35" t="s">
        <v>228</v>
      </c>
      <c r="E94" s="140">
        <f>(C80*24)/720</f>
        <v>40000</v>
      </c>
    </row>
    <row r="95" spans="1:5">
      <c r="A95" s="126"/>
      <c r="B95" s="129"/>
      <c r="C95" s="130"/>
      <c r="D95" s="133" t="s">
        <v>229</v>
      </c>
      <c r="E95" s="141">
        <f>SUM(E91:E94)</f>
        <v>200640</v>
      </c>
    </row>
    <row r="96" spans="1:5">
      <c r="A96" s="126"/>
      <c r="B96" s="129"/>
      <c r="C96" s="130"/>
      <c r="D96" s="35"/>
      <c r="E96" s="140"/>
    </row>
    <row r="97" spans="1:5">
      <c r="A97" s="126"/>
      <c r="B97" s="129"/>
      <c r="C97" s="130"/>
      <c r="D97" s="133" t="s">
        <v>207</v>
      </c>
      <c r="E97" s="141">
        <f>SUM(E95+E87+E79)</f>
        <v>638160</v>
      </c>
    </row>
    <row r="98" spans="1:5">
      <c r="A98" s="126"/>
      <c r="B98" s="129"/>
      <c r="C98" s="130"/>
      <c r="D98" s="35"/>
      <c r="E98" s="140"/>
    </row>
    <row r="99" spans="1:5" ht="15.75" thickBot="1">
      <c r="A99" s="127"/>
      <c r="B99" s="143"/>
      <c r="C99" s="144"/>
      <c r="D99" s="162" t="s">
        <v>230</v>
      </c>
      <c r="E99" s="163">
        <f>E97+C92</f>
        <v>1825300</v>
      </c>
    </row>
    <row r="100" spans="1:5" ht="15.75" thickBot="1">
      <c r="A100" s="44"/>
      <c r="B100" s="119"/>
      <c r="C100" s="119"/>
      <c r="D100" s="119"/>
      <c r="E100" s="119"/>
    </row>
    <row r="101" spans="1:5">
      <c r="B101" s="328" t="s">
        <v>234</v>
      </c>
      <c r="C101" s="329"/>
      <c r="D101" s="329"/>
      <c r="E101" s="330"/>
    </row>
    <row r="102" spans="1:5">
      <c r="B102" s="145" t="s">
        <v>195</v>
      </c>
      <c r="C102" s="35">
        <v>800000</v>
      </c>
      <c r="D102" s="326" t="s">
        <v>196</v>
      </c>
      <c r="E102" s="327"/>
    </row>
    <row r="103" spans="1:5">
      <c r="B103" s="146" t="s">
        <v>197</v>
      </c>
      <c r="C103" s="134">
        <v>0</v>
      </c>
      <c r="D103" s="35"/>
      <c r="E103" s="140"/>
    </row>
    <row r="104" spans="1:5">
      <c r="B104" s="146" t="s">
        <v>198</v>
      </c>
      <c r="C104" s="134">
        <v>0</v>
      </c>
      <c r="D104" s="133" t="s">
        <v>199</v>
      </c>
      <c r="E104" s="140"/>
    </row>
    <row r="105" spans="1:5">
      <c r="B105" s="146" t="s">
        <v>200</v>
      </c>
      <c r="C105" s="134">
        <v>0</v>
      </c>
      <c r="D105" s="35" t="s">
        <v>201</v>
      </c>
      <c r="E105" s="140">
        <f>C109*8.5%</f>
        <v>68000</v>
      </c>
    </row>
    <row r="106" spans="1:5">
      <c r="B106" s="146" t="s">
        <v>202</v>
      </c>
      <c r="C106" s="134">
        <v>0</v>
      </c>
      <c r="D106" s="35" t="s">
        <v>203</v>
      </c>
      <c r="E106" s="140">
        <f>C109*12%</f>
        <v>96000</v>
      </c>
    </row>
    <row r="107" spans="1:5">
      <c r="B107" s="146" t="s">
        <v>204</v>
      </c>
      <c r="C107" s="134">
        <v>0</v>
      </c>
      <c r="D107" s="35" t="s">
        <v>205</v>
      </c>
      <c r="E107" s="140">
        <f>C109*6.96%</f>
        <v>55679.999999999993</v>
      </c>
    </row>
    <row r="108" spans="1:5">
      <c r="B108" s="146" t="s">
        <v>206</v>
      </c>
      <c r="C108" s="35">
        <v>83140</v>
      </c>
      <c r="D108" s="35" t="s">
        <v>207</v>
      </c>
      <c r="E108" s="141">
        <f>SUM(E105:E107)</f>
        <v>219680</v>
      </c>
    </row>
    <row r="109" spans="1:5" ht="30">
      <c r="B109" s="147" t="s">
        <v>208</v>
      </c>
      <c r="C109" s="132">
        <f>SUM(C102:C107)</f>
        <v>800000</v>
      </c>
      <c r="D109" s="35"/>
      <c r="E109" s="140"/>
    </row>
    <row r="110" spans="1:5">
      <c r="B110" s="147" t="s">
        <v>209</v>
      </c>
      <c r="C110" s="133">
        <f>SUM(C102:C108)</f>
        <v>883140</v>
      </c>
      <c r="D110" s="326" t="s">
        <v>210</v>
      </c>
      <c r="E110" s="327"/>
    </row>
    <row r="111" spans="1:5">
      <c r="B111" s="147"/>
      <c r="C111" s="35"/>
      <c r="D111" s="133"/>
      <c r="E111" s="140"/>
    </row>
    <row r="112" spans="1:5">
      <c r="B112" s="145" t="s">
        <v>211</v>
      </c>
      <c r="C112" s="35"/>
      <c r="D112" s="35"/>
      <c r="E112" s="140"/>
    </row>
    <row r="113" spans="1:5">
      <c r="B113" s="146" t="s">
        <v>212</v>
      </c>
      <c r="C113" s="35">
        <f>C109*4%</f>
        <v>32000</v>
      </c>
      <c r="D113" s="35" t="s">
        <v>213</v>
      </c>
      <c r="E113" s="140">
        <f>C109*2%</f>
        <v>16000</v>
      </c>
    </row>
    <row r="114" spans="1:5">
      <c r="B114" s="146" t="s">
        <v>214</v>
      </c>
      <c r="C114" s="35">
        <f>C109*4%</f>
        <v>32000</v>
      </c>
      <c r="D114" s="35" t="s">
        <v>215</v>
      </c>
      <c r="E114" s="140">
        <f>C109*4%</f>
        <v>32000</v>
      </c>
    </row>
    <row r="115" spans="1:5">
      <c r="B115" s="146" t="s">
        <v>216</v>
      </c>
      <c r="C115" s="35">
        <v>0</v>
      </c>
      <c r="D115" s="35" t="s">
        <v>217</v>
      </c>
      <c r="E115" s="140">
        <f>C109*3%</f>
        <v>24000</v>
      </c>
    </row>
    <row r="116" spans="1:5">
      <c r="B116" s="146" t="s">
        <v>218</v>
      </c>
      <c r="C116" s="35">
        <v>0</v>
      </c>
      <c r="D116" s="35" t="s">
        <v>219</v>
      </c>
      <c r="E116" s="141">
        <f>SUM(E113:E115)</f>
        <v>72000</v>
      </c>
    </row>
    <row r="117" spans="1:5">
      <c r="B117" s="146" t="s">
        <v>220</v>
      </c>
      <c r="C117" s="35">
        <v>0</v>
      </c>
      <c r="D117" s="35"/>
      <c r="E117" s="140"/>
    </row>
    <row r="118" spans="1:5">
      <c r="B118" s="146" t="s">
        <v>221</v>
      </c>
      <c r="C118" s="35">
        <v>0</v>
      </c>
      <c r="D118" s="326" t="s">
        <v>222</v>
      </c>
      <c r="E118" s="327"/>
    </row>
    <row r="119" spans="1:5">
      <c r="B119" s="145" t="s">
        <v>223</v>
      </c>
      <c r="C119" s="133">
        <f>SUM(C113:C114)</f>
        <v>64000</v>
      </c>
      <c r="D119" s="35"/>
      <c r="E119" s="140"/>
    </row>
    <row r="120" spans="1:5">
      <c r="B120" s="146"/>
      <c r="C120" s="35"/>
      <c r="D120" s="35" t="s">
        <v>224</v>
      </c>
      <c r="E120" s="140">
        <f>(C109*24)/360</f>
        <v>53333.333333333336</v>
      </c>
    </row>
    <row r="121" spans="1:5">
      <c r="B121" s="145" t="s">
        <v>225</v>
      </c>
      <c r="C121" s="133">
        <f>C110-C119</f>
        <v>819140</v>
      </c>
      <c r="D121" s="35" t="s">
        <v>226</v>
      </c>
      <c r="E121" s="140">
        <f>(C109*24)/360</f>
        <v>53333.333333333336</v>
      </c>
    </row>
    <row r="122" spans="1:5">
      <c r="A122" s="126"/>
      <c r="B122" s="129"/>
      <c r="C122" s="130"/>
      <c r="D122" s="35" t="s">
        <v>227</v>
      </c>
      <c r="E122" s="140">
        <f>(0.12*E121*24)/360</f>
        <v>426.66666666666669</v>
      </c>
    </row>
    <row r="123" spans="1:5">
      <c r="A123" s="126"/>
      <c r="B123" s="129"/>
      <c r="C123" s="130"/>
      <c r="D123" s="35" t="s">
        <v>228</v>
      </c>
      <c r="E123" s="140">
        <f>(C109*24)/720</f>
        <v>26666.666666666668</v>
      </c>
    </row>
    <row r="124" spans="1:5">
      <c r="A124" s="126"/>
      <c r="B124" s="129"/>
      <c r="C124" s="130"/>
      <c r="D124" s="133" t="s">
        <v>229</v>
      </c>
      <c r="E124" s="141">
        <f>SUM(E120:E123)</f>
        <v>133760</v>
      </c>
    </row>
    <row r="125" spans="1:5">
      <c r="A125" s="126"/>
      <c r="B125" s="129"/>
      <c r="C125" s="130"/>
      <c r="D125" s="35"/>
      <c r="E125" s="140"/>
    </row>
    <row r="126" spans="1:5">
      <c r="A126" s="126"/>
      <c r="B126" s="129"/>
      <c r="C126" s="130"/>
      <c r="D126" s="133" t="s">
        <v>207</v>
      </c>
      <c r="E126" s="141">
        <f>SUM(E124+E116+E108)</f>
        <v>425440</v>
      </c>
    </row>
    <row r="127" spans="1:5">
      <c r="A127" s="126"/>
      <c r="B127" s="129"/>
      <c r="C127" s="130"/>
      <c r="D127" s="35"/>
      <c r="E127" s="140"/>
    </row>
    <row r="128" spans="1:5" ht="15.75" thickBot="1">
      <c r="A128" s="127"/>
      <c r="B128" s="143"/>
      <c r="C128" s="144"/>
      <c r="D128" s="162" t="s">
        <v>230</v>
      </c>
      <c r="E128" s="163">
        <f>E126+C121</f>
        <v>1244580</v>
      </c>
    </row>
    <row r="130" spans="2:5" ht="15.75" thickBot="1"/>
    <row r="131" spans="2:5">
      <c r="B131" s="323" t="s">
        <v>283</v>
      </c>
      <c r="C131" s="324"/>
      <c r="D131" s="324"/>
      <c r="E131" s="325"/>
    </row>
    <row r="132" spans="2:5">
      <c r="B132" s="145" t="s">
        <v>195</v>
      </c>
      <c r="C132" s="35">
        <v>1800000</v>
      </c>
      <c r="D132" s="326" t="s">
        <v>196</v>
      </c>
      <c r="E132" s="327"/>
    </row>
    <row r="133" spans="2:5">
      <c r="B133" s="146" t="s">
        <v>197</v>
      </c>
      <c r="C133" s="35">
        <v>0</v>
      </c>
      <c r="D133" s="35"/>
      <c r="E133" s="140"/>
    </row>
    <row r="134" spans="2:5">
      <c r="B134" s="146" t="s">
        <v>198</v>
      </c>
      <c r="C134" s="35">
        <v>0</v>
      </c>
      <c r="D134" s="133" t="s">
        <v>199</v>
      </c>
      <c r="E134" s="140"/>
    </row>
    <row r="135" spans="2:5">
      <c r="B135" s="146" t="s">
        <v>200</v>
      </c>
      <c r="C135" s="35">
        <v>0</v>
      </c>
      <c r="D135" s="35" t="s">
        <v>201</v>
      </c>
      <c r="E135" s="140">
        <f>C139*8.5%</f>
        <v>153000</v>
      </c>
    </row>
    <row r="136" spans="2:5">
      <c r="B136" s="146" t="s">
        <v>202</v>
      </c>
      <c r="C136" s="35">
        <v>0</v>
      </c>
      <c r="D136" s="35" t="s">
        <v>203</v>
      </c>
      <c r="E136" s="140">
        <f>C139*12%</f>
        <v>216000</v>
      </c>
    </row>
    <row r="137" spans="2:5">
      <c r="B137" s="146" t="s">
        <v>204</v>
      </c>
      <c r="C137" s="35">
        <v>0</v>
      </c>
      <c r="D137" s="35" t="s">
        <v>205</v>
      </c>
      <c r="E137" s="140">
        <f>C139*6.96%</f>
        <v>125279.99999999999</v>
      </c>
    </row>
    <row r="138" spans="2:5">
      <c r="B138" s="146" t="s">
        <v>206</v>
      </c>
      <c r="C138" s="35">
        <v>83140</v>
      </c>
      <c r="D138" s="35" t="s">
        <v>207</v>
      </c>
      <c r="E138" s="141">
        <f>SUM(E135:E137)</f>
        <v>494280</v>
      </c>
    </row>
    <row r="139" spans="2:5" ht="30">
      <c r="B139" s="147" t="s">
        <v>208</v>
      </c>
      <c r="C139" s="132">
        <f>SUM(C132:C137)</f>
        <v>1800000</v>
      </c>
      <c r="D139" s="35"/>
      <c r="E139" s="140"/>
    </row>
    <row r="140" spans="2:5">
      <c r="B140" s="147" t="s">
        <v>209</v>
      </c>
      <c r="C140" s="133">
        <f>SUM(C132:C138)</f>
        <v>1883140</v>
      </c>
      <c r="D140" s="326" t="s">
        <v>210</v>
      </c>
      <c r="E140" s="327"/>
    </row>
    <row r="141" spans="2:5">
      <c r="B141" s="147"/>
      <c r="C141" s="35"/>
      <c r="D141" s="133"/>
      <c r="E141" s="140"/>
    </row>
    <row r="142" spans="2:5">
      <c r="B142" s="145" t="s">
        <v>211</v>
      </c>
      <c r="C142" s="35"/>
      <c r="D142" s="35"/>
      <c r="E142" s="140"/>
    </row>
    <row r="143" spans="2:5">
      <c r="B143" s="146" t="s">
        <v>212</v>
      </c>
      <c r="C143" s="35">
        <f>C139*4%</f>
        <v>72000</v>
      </c>
      <c r="D143" s="35" t="s">
        <v>213</v>
      </c>
      <c r="E143" s="140">
        <f>C139*2%</f>
        <v>36000</v>
      </c>
    </row>
    <row r="144" spans="2:5">
      <c r="B144" s="146" t="s">
        <v>214</v>
      </c>
      <c r="C144" s="35">
        <f>C139*4%</f>
        <v>72000</v>
      </c>
      <c r="D144" s="35" t="s">
        <v>215</v>
      </c>
      <c r="E144" s="140">
        <f>C139*4%</f>
        <v>72000</v>
      </c>
    </row>
    <row r="145" spans="2:5">
      <c r="B145" s="146" t="s">
        <v>216</v>
      </c>
      <c r="C145" s="35">
        <v>0</v>
      </c>
      <c r="D145" s="35" t="s">
        <v>217</v>
      </c>
      <c r="E145" s="140">
        <f>C139*3%</f>
        <v>54000</v>
      </c>
    </row>
    <row r="146" spans="2:5">
      <c r="B146" s="146" t="s">
        <v>218</v>
      </c>
      <c r="C146" s="35">
        <v>0</v>
      </c>
      <c r="D146" s="35" t="s">
        <v>219</v>
      </c>
      <c r="E146" s="141">
        <f>SUM(E143:E145)</f>
        <v>162000</v>
      </c>
    </row>
    <row r="147" spans="2:5">
      <c r="B147" s="146" t="s">
        <v>220</v>
      </c>
      <c r="C147" s="35">
        <v>0</v>
      </c>
      <c r="D147" s="35"/>
      <c r="E147" s="140"/>
    </row>
    <row r="148" spans="2:5">
      <c r="B148" s="146" t="s">
        <v>221</v>
      </c>
      <c r="C148" s="35">
        <v>0</v>
      </c>
      <c r="D148" s="326" t="s">
        <v>222</v>
      </c>
      <c r="E148" s="327"/>
    </row>
    <row r="149" spans="2:5">
      <c r="B149" s="145" t="s">
        <v>223</v>
      </c>
      <c r="C149" s="133">
        <f>SUM(C143:C144)</f>
        <v>144000</v>
      </c>
      <c r="D149" s="35"/>
      <c r="E149" s="140"/>
    </row>
    <row r="150" spans="2:5">
      <c r="B150" s="146"/>
      <c r="C150" s="35"/>
      <c r="D150" s="35" t="s">
        <v>224</v>
      </c>
      <c r="E150" s="140">
        <f>(C139*24)/360</f>
        <v>120000</v>
      </c>
    </row>
    <row r="151" spans="2:5">
      <c r="B151" s="145" t="s">
        <v>225</v>
      </c>
      <c r="C151" s="133">
        <f>C140-C149</f>
        <v>1739140</v>
      </c>
      <c r="D151" s="35" t="s">
        <v>226</v>
      </c>
      <c r="E151" s="140">
        <f>(C139*24)/360</f>
        <v>120000</v>
      </c>
    </row>
    <row r="152" spans="2:5">
      <c r="B152" s="129"/>
      <c r="C152" s="130"/>
      <c r="D152" s="35" t="s">
        <v>227</v>
      </c>
      <c r="E152" s="140">
        <f>(0.12*E151*24)/360</f>
        <v>960</v>
      </c>
    </row>
    <row r="153" spans="2:5">
      <c r="B153" s="129"/>
      <c r="C153" s="130"/>
      <c r="D153" s="35" t="s">
        <v>228</v>
      </c>
      <c r="E153" s="140">
        <f>(C139*24)/720</f>
        <v>60000</v>
      </c>
    </row>
    <row r="154" spans="2:5">
      <c r="B154" s="129"/>
      <c r="C154" s="130"/>
      <c r="D154" s="133" t="s">
        <v>229</v>
      </c>
      <c r="E154" s="141">
        <f>SUM(E150:E153)</f>
        <v>300960</v>
      </c>
    </row>
    <row r="155" spans="2:5">
      <c r="B155" s="129"/>
      <c r="C155" s="130"/>
      <c r="D155" s="35"/>
      <c r="E155" s="140"/>
    </row>
    <row r="156" spans="2:5">
      <c r="B156" s="129"/>
      <c r="C156" s="130"/>
      <c r="D156" s="133" t="s">
        <v>207</v>
      </c>
      <c r="E156" s="141">
        <f>SUM(E154+E146+E138)</f>
        <v>957240</v>
      </c>
    </row>
    <row r="157" spans="2:5">
      <c r="B157" s="129"/>
      <c r="C157" s="130"/>
      <c r="D157" s="35"/>
      <c r="E157" s="140"/>
    </row>
    <row r="158" spans="2:5" ht="15.75" thickBot="1">
      <c r="B158" s="143"/>
      <c r="C158" s="144"/>
      <c r="D158" s="162" t="s">
        <v>230</v>
      </c>
      <c r="E158" s="163">
        <f>E156+C151</f>
        <v>2696380</v>
      </c>
    </row>
  </sheetData>
  <mergeCells count="20">
    <mergeCell ref="D13:E13"/>
    <mergeCell ref="D21:E21"/>
    <mergeCell ref="D29:E29"/>
    <mergeCell ref="D43:E43"/>
    <mergeCell ref="B12:E12"/>
    <mergeCell ref="B42:E42"/>
    <mergeCell ref="B101:E101"/>
    <mergeCell ref="D51:E51"/>
    <mergeCell ref="D59:E59"/>
    <mergeCell ref="D73:E73"/>
    <mergeCell ref="D81:E81"/>
    <mergeCell ref="D89:E89"/>
    <mergeCell ref="B72:E72"/>
    <mergeCell ref="B131:E131"/>
    <mergeCell ref="D132:E132"/>
    <mergeCell ref="D140:E140"/>
    <mergeCell ref="D148:E148"/>
    <mergeCell ref="D102:E102"/>
    <mergeCell ref="D110:E110"/>
    <mergeCell ref="D118:E118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D1:S64"/>
  <sheetViews>
    <sheetView topLeftCell="E3" zoomScaleNormal="100" workbookViewId="0">
      <selection activeCell="I22" sqref="I22"/>
    </sheetView>
  </sheetViews>
  <sheetFormatPr baseColWidth="10" defaultColWidth="9.140625" defaultRowHeight="15"/>
  <cols>
    <col min="4" max="4" width="36" bestFit="1" customWidth="1"/>
    <col min="5" max="5" width="22.42578125" bestFit="1" customWidth="1"/>
    <col min="6" max="6" width="14" customWidth="1"/>
    <col min="7" max="7" width="12.5703125" bestFit="1" customWidth="1"/>
    <col min="8" max="8" width="15.28515625" bestFit="1" customWidth="1"/>
    <col min="9" max="9" width="10.7109375" customWidth="1"/>
    <col min="10" max="10" width="33.85546875" bestFit="1" customWidth="1"/>
    <col min="11" max="11" width="21.85546875" bestFit="1" customWidth="1"/>
    <col min="12" max="12" width="13.42578125" bestFit="1" customWidth="1"/>
    <col min="13" max="13" width="12.28515625" bestFit="1" customWidth="1"/>
    <col min="16" max="16" width="39.28515625" customWidth="1"/>
    <col min="17" max="17" width="25.5703125" customWidth="1"/>
    <col min="18" max="19" width="15.28515625" bestFit="1" customWidth="1"/>
  </cols>
  <sheetData>
    <row r="1" spans="4:19">
      <c r="D1" s="3" t="s">
        <v>14</v>
      </c>
      <c r="E1" s="3" t="s">
        <v>15</v>
      </c>
      <c r="F1" s="340" t="s">
        <v>17</v>
      </c>
      <c r="G1" s="341"/>
      <c r="J1" s="3" t="s">
        <v>14</v>
      </c>
      <c r="K1" s="3" t="s">
        <v>15</v>
      </c>
      <c r="L1" s="3" t="s">
        <v>17</v>
      </c>
      <c r="M1" s="335"/>
      <c r="P1" s="3" t="s">
        <v>14</v>
      </c>
      <c r="Q1" s="3" t="s">
        <v>15</v>
      </c>
      <c r="R1" s="3" t="s">
        <v>17</v>
      </c>
      <c r="S1" s="335"/>
    </row>
    <row r="2" spans="4:19" ht="30" customHeight="1">
      <c r="D2" s="11" t="s">
        <v>0</v>
      </c>
      <c r="E2" s="4" t="s">
        <v>1</v>
      </c>
      <c r="F2" s="342" t="s">
        <v>16</v>
      </c>
      <c r="G2" s="343"/>
      <c r="J2" s="11" t="s">
        <v>0</v>
      </c>
      <c r="K2" s="4" t="s">
        <v>20</v>
      </c>
      <c r="L2" s="36" t="s">
        <v>19</v>
      </c>
      <c r="M2" s="337"/>
      <c r="P2" s="11" t="s">
        <v>0</v>
      </c>
      <c r="Q2" s="4" t="s">
        <v>24</v>
      </c>
      <c r="R2" s="36" t="s">
        <v>18</v>
      </c>
      <c r="S2" s="337"/>
    </row>
    <row r="3" spans="4:19" ht="30" customHeight="1">
      <c r="D3" s="13"/>
      <c r="E3" s="346" t="s">
        <v>11</v>
      </c>
      <c r="F3" s="344"/>
      <c r="G3" s="7" t="s">
        <v>12</v>
      </c>
      <c r="J3" s="13"/>
      <c r="K3" s="344" t="s">
        <v>11</v>
      </c>
      <c r="L3" s="345"/>
      <c r="M3" s="7" t="s">
        <v>12</v>
      </c>
      <c r="P3" s="13"/>
      <c r="Q3" s="344" t="s">
        <v>11</v>
      </c>
      <c r="R3" s="345"/>
      <c r="S3" s="7" t="s">
        <v>12</v>
      </c>
    </row>
    <row r="4" spans="4:19">
      <c r="D4" s="14"/>
      <c r="E4" s="63" t="s">
        <v>2</v>
      </c>
      <c r="F4" s="64" t="s">
        <v>21</v>
      </c>
      <c r="G4" s="20" t="s">
        <v>4</v>
      </c>
      <c r="J4" s="14"/>
      <c r="K4" s="63" t="s">
        <v>2</v>
      </c>
      <c r="L4" s="64" t="s">
        <v>21</v>
      </c>
      <c r="M4" s="20" t="s">
        <v>4</v>
      </c>
      <c r="P4" s="14"/>
      <c r="Q4" s="63" t="s">
        <v>2</v>
      </c>
      <c r="R4" s="64" t="s">
        <v>21</v>
      </c>
      <c r="S4" s="20" t="s">
        <v>4</v>
      </c>
    </row>
    <row r="5" spans="4:19">
      <c r="D5" s="12" t="s">
        <v>22</v>
      </c>
      <c r="E5" s="69">
        <v>8</v>
      </c>
      <c r="F5" s="69">
        <v>8</v>
      </c>
      <c r="G5" s="69">
        <v>4</v>
      </c>
      <c r="J5" s="12" t="s">
        <v>22</v>
      </c>
      <c r="K5" s="6">
        <v>8</v>
      </c>
      <c r="L5" s="6">
        <v>8</v>
      </c>
      <c r="M5" s="6">
        <v>5</v>
      </c>
      <c r="P5" s="12" t="s">
        <v>22</v>
      </c>
      <c r="Q5" s="6">
        <v>8</v>
      </c>
      <c r="R5" s="6">
        <v>8</v>
      </c>
      <c r="S5" s="6">
        <v>6</v>
      </c>
    </row>
    <row r="6" spans="4:19">
      <c r="D6" s="5" t="s">
        <v>74</v>
      </c>
      <c r="E6" s="70">
        <f>(Nomina!$E$3)</f>
        <v>15555.9375</v>
      </c>
      <c r="F6" s="70">
        <f>Nomina!$E$6</f>
        <v>9506.7708333333339</v>
      </c>
      <c r="G6" s="70">
        <f>Nomina!$E$2</f>
        <v>15555.9375</v>
      </c>
      <c r="J6" s="5" t="s">
        <v>72</v>
      </c>
      <c r="K6" s="70">
        <f>(Nomina!$E$3)</f>
        <v>15555.9375</v>
      </c>
      <c r="L6" s="70">
        <f>Nomina!$E$6</f>
        <v>9506.7708333333339</v>
      </c>
      <c r="M6" s="70">
        <f>Nomina!$E$2</f>
        <v>15555.9375</v>
      </c>
      <c r="P6" s="5" t="s">
        <v>72</v>
      </c>
      <c r="Q6" s="70">
        <f>(Nomina!$E$3)</f>
        <v>15555.9375</v>
      </c>
      <c r="R6" s="70">
        <f>Nomina!$E$6</f>
        <v>9506.7708333333339</v>
      </c>
      <c r="S6" s="70">
        <f>Nomina!$E$2</f>
        <v>15555.9375</v>
      </c>
    </row>
    <row r="7" spans="4:19">
      <c r="D7" s="8" t="s">
        <v>6</v>
      </c>
      <c r="E7" s="71">
        <f>E5*E6</f>
        <v>124447.5</v>
      </c>
      <c r="F7" s="71">
        <f t="shared" ref="F7:G7" si="0">F5*F6</f>
        <v>76054.166666666672</v>
      </c>
      <c r="G7" s="71">
        <f t="shared" si="0"/>
        <v>62223.75</v>
      </c>
      <c r="J7" s="8" t="s">
        <v>6</v>
      </c>
      <c r="K7" s="24">
        <f>K5*K6</f>
        <v>124447.5</v>
      </c>
      <c r="L7" s="24">
        <f>L5*L6</f>
        <v>76054.166666666672</v>
      </c>
      <c r="M7" s="24">
        <f t="shared" ref="M7" si="1">M5*M6</f>
        <v>77779.6875</v>
      </c>
      <c r="P7" s="8" t="s">
        <v>6</v>
      </c>
      <c r="Q7" s="24">
        <f>Q5*Q6</f>
        <v>124447.5</v>
      </c>
      <c r="R7" s="24">
        <f t="shared" ref="R7" si="2">R5*R6</f>
        <v>76054.166666666672</v>
      </c>
      <c r="S7" s="24">
        <f t="shared" ref="S7" si="3">S5*S6</f>
        <v>93335.625</v>
      </c>
    </row>
    <row r="8" spans="4:19">
      <c r="D8" s="8" t="s">
        <v>7</v>
      </c>
      <c r="E8" s="69">
        <v>300</v>
      </c>
      <c r="F8" s="69">
        <f>$E8</f>
        <v>300</v>
      </c>
      <c r="G8" s="69">
        <v>0</v>
      </c>
      <c r="J8" s="8" t="s">
        <v>7</v>
      </c>
      <c r="K8" s="69">
        <f>$E8</f>
        <v>300</v>
      </c>
      <c r="L8" s="69">
        <f>$E8</f>
        <v>300</v>
      </c>
      <c r="M8" s="6">
        <v>0</v>
      </c>
      <c r="P8" s="8" t="s">
        <v>7</v>
      </c>
      <c r="Q8" s="69">
        <f t="shared" ref="Q8:R8" si="4">$E8</f>
        <v>300</v>
      </c>
      <c r="R8" s="69">
        <f t="shared" si="4"/>
        <v>300</v>
      </c>
      <c r="S8" s="6">
        <v>0</v>
      </c>
    </row>
    <row r="9" spans="4:19">
      <c r="D9" s="10" t="s">
        <v>71</v>
      </c>
      <c r="E9" s="70">
        <v>100</v>
      </c>
      <c r="F9" s="70">
        <v>100</v>
      </c>
      <c r="G9" s="70">
        <v>0</v>
      </c>
      <c r="J9" s="10" t="s">
        <v>71</v>
      </c>
      <c r="K9" s="23">
        <v>100</v>
      </c>
      <c r="L9" s="23">
        <v>100</v>
      </c>
      <c r="M9" s="23">
        <v>0</v>
      </c>
      <c r="P9" s="10" t="s">
        <v>71</v>
      </c>
      <c r="Q9" s="23">
        <v>100</v>
      </c>
      <c r="R9" s="23">
        <v>100</v>
      </c>
      <c r="S9" s="23">
        <v>0</v>
      </c>
    </row>
    <row r="10" spans="4:19">
      <c r="D10" s="8" t="s">
        <v>9</v>
      </c>
      <c r="E10" s="71">
        <f>(E8*E9)</f>
        <v>30000</v>
      </c>
      <c r="F10" s="71">
        <f>(F8*F9)</f>
        <v>30000</v>
      </c>
      <c r="G10" s="71">
        <v>0</v>
      </c>
      <c r="J10" s="8" t="s">
        <v>9</v>
      </c>
      <c r="K10" s="24">
        <f>(K8*K9)</f>
        <v>30000</v>
      </c>
      <c r="L10" s="24">
        <f>(L8*L9)</f>
        <v>30000</v>
      </c>
      <c r="M10" s="24">
        <v>0</v>
      </c>
      <c r="P10" s="8" t="s">
        <v>9</v>
      </c>
      <c r="Q10" s="24">
        <f>(Q8*Q9)</f>
        <v>30000</v>
      </c>
      <c r="R10" s="24">
        <f>(R8*R9)</f>
        <v>30000</v>
      </c>
      <c r="S10" s="24">
        <v>0</v>
      </c>
    </row>
    <row r="11" spans="4:19">
      <c r="D11" s="8" t="s">
        <v>23</v>
      </c>
      <c r="E11" s="69">
        <v>2</v>
      </c>
      <c r="F11" s="69">
        <v>2</v>
      </c>
      <c r="G11" s="69">
        <v>0</v>
      </c>
      <c r="J11" s="8" t="s">
        <v>23</v>
      </c>
      <c r="K11" s="6">
        <v>2</v>
      </c>
      <c r="L11" s="6">
        <v>2</v>
      </c>
      <c r="M11" s="6">
        <v>0</v>
      </c>
      <c r="P11" s="8" t="s">
        <v>23</v>
      </c>
      <c r="Q11" s="6">
        <v>2</v>
      </c>
      <c r="R11" s="6">
        <v>2</v>
      </c>
      <c r="S11" s="6">
        <v>0</v>
      </c>
    </row>
    <row r="12" spans="4:19">
      <c r="D12" s="8" t="s">
        <v>54</v>
      </c>
      <c r="E12" s="70">
        <v>10000</v>
      </c>
      <c r="F12" s="70">
        <v>10000</v>
      </c>
      <c r="G12" s="70">
        <v>0</v>
      </c>
      <c r="J12" s="8" t="s">
        <v>54</v>
      </c>
      <c r="K12" s="23">
        <v>10000</v>
      </c>
      <c r="L12" s="23">
        <v>10000</v>
      </c>
      <c r="M12" s="23">
        <v>0</v>
      </c>
      <c r="P12" s="8" t="s">
        <v>54</v>
      </c>
      <c r="Q12" s="23">
        <v>10000</v>
      </c>
      <c r="R12" s="23">
        <v>10000</v>
      </c>
      <c r="S12" s="23">
        <v>0</v>
      </c>
    </row>
    <row r="13" spans="4:19">
      <c r="D13" s="10" t="s">
        <v>73</v>
      </c>
      <c r="E13" s="71">
        <f>(E11*E12)</f>
        <v>20000</v>
      </c>
      <c r="F13" s="71">
        <f>(F11*F12)</f>
        <v>20000</v>
      </c>
      <c r="G13" s="71">
        <v>0</v>
      </c>
      <c r="J13" s="10" t="s">
        <v>73</v>
      </c>
      <c r="K13" s="24">
        <f>(K11*K12)</f>
        <v>20000</v>
      </c>
      <c r="L13" s="24">
        <f>(L11*L12)</f>
        <v>20000</v>
      </c>
      <c r="M13" s="24">
        <v>0</v>
      </c>
      <c r="P13" s="10" t="s">
        <v>73</v>
      </c>
      <c r="Q13" s="24">
        <f>(Q11*Q12)</f>
        <v>20000</v>
      </c>
      <c r="R13" s="24">
        <f>(R11*R12)</f>
        <v>20000</v>
      </c>
      <c r="S13" s="24">
        <v>0</v>
      </c>
    </row>
    <row r="14" spans="4:19">
      <c r="D14" s="30" t="s">
        <v>182</v>
      </c>
      <c r="E14" s="72">
        <f>(E7+E10+E13)</f>
        <v>174447.5</v>
      </c>
      <c r="F14" s="73">
        <f>(F7+F10+F13)</f>
        <v>126054.16666666667</v>
      </c>
      <c r="G14" s="73">
        <f>(G7+G10+G13)</f>
        <v>62223.75</v>
      </c>
      <c r="J14" s="30" t="s">
        <v>182</v>
      </c>
      <c r="K14" s="31">
        <f>(K7+K10+K13)</f>
        <v>174447.5</v>
      </c>
      <c r="L14" s="32">
        <f>(L7+L10+L13)</f>
        <v>126054.16666666667</v>
      </c>
      <c r="M14" s="32">
        <f>(M7+M10+M13)</f>
        <v>77779.6875</v>
      </c>
      <c r="P14" s="30" t="s">
        <v>182</v>
      </c>
      <c r="Q14" s="31">
        <f>(Q7+Q10+Q13)</f>
        <v>174447.5</v>
      </c>
      <c r="R14" s="32">
        <f>(R7+R10+R13)</f>
        <v>126054.16666666667</v>
      </c>
      <c r="S14" s="32">
        <f>(S7+S10+S13)</f>
        <v>93335.625</v>
      </c>
    </row>
    <row r="15" spans="4:19">
      <c r="D15" s="202" t="s">
        <v>287</v>
      </c>
      <c r="E15" s="203">
        <f>(Nomina!$E$9*(G5+E5))</f>
        <v>168523.75</v>
      </c>
      <c r="F15" s="335"/>
      <c r="G15" s="336"/>
      <c r="J15" s="202" t="s">
        <v>287</v>
      </c>
      <c r="K15" s="203">
        <f>(Nomina!$E$9*(M5+K5))</f>
        <v>182567.39583333334</v>
      </c>
      <c r="L15" s="335"/>
      <c r="M15" s="336"/>
      <c r="P15" s="202" t="s">
        <v>287</v>
      </c>
      <c r="Q15" s="203">
        <f>(Nomina!$E$9*(S5+Q5))</f>
        <v>196611.04166666669</v>
      </c>
      <c r="R15" s="338"/>
      <c r="S15" s="339"/>
    </row>
    <row r="16" spans="4:19">
      <c r="D16" s="9" t="s">
        <v>10</v>
      </c>
      <c r="E16" s="74">
        <f>SUM(E14:G14,E15)</f>
        <v>531249.16666666674</v>
      </c>
      <c r="J16" s="9" t="s">
        <v>10</v>
      </c>
      <c r="K16" s="25">
        <f>SUM(K14,L14,M14,K15)</f>
        <v>560848.75</v>
      </c>
      <c r="P16" s="9" t="s">
        <v>10</v>
      </c>
      <c r="Q16" s="25">
        <f>SUM(Q14:S14,Q15)</f>
        <v>590448.33333333337</v>
      </c>
    </row>
    <row r="20" spans="4:17">
      <c r="D20" s="347" t="s">
        <v>264</v>
      </c>
      <c r="E20" s="347"/>
      <c r="J20" s="347" t="s">
        <v>513</v>
      </c>
      <c r="K20" s="347"/>
      <c r="P20" s="347" t="s">
        <v>262</v>
      </c>
      <c r="Q20" s="347"/>
    </row>
    <row r="21" spans="4:17">
      <c r="D21" s="77" t="s">
        <v>14</v>
      </c>
      <c r="E21" s="77" t="s">
        <v>77</v>
      </c>
      <c r="J21" s="77" t="s">
        <v>14</v>
      </c>
      <c r="K21" s="77" t="s">
        <v>77</v>
      </c>
      <c r="P21" s="77" t="s">
        <v>14</v>
      </c>
      <c r="Q21" s="77" t="s">
        <v>77</v>
      </c>
    </row>
    <row r="22" spans="4:17" ht="30">
      <c r="D22" s="90" t="s">
        <v>78</v>
      </c>
      <c r="E22" s="90" t="s">
        <v>1</v>
      </c>
      <c r="J22" s="90" t="s">
        <v>78</v>
      </c>
      <c r="K22" s="5" t="s">
        <v>83</v>
      </c>
      <c r="P22" s="90" t="s">
        <v>78</v>
      </c>
      <c r="Q22" s="90" t="s">
        <v>24</v>
      </c>
    </row>
    <row r="23" spans="4:17">
      <c r="D23" s="6" t="s">
        <v>17</v>
      </c>
      <c r="E23" s="5" t="s">
        <v>84</v>
      </c>
      <c r="J23" s="6" t="s">
        <v>17</v>
      </c>
      <c r="K23" s="6" t="s">
        <v>18</v>
      </c>
      <c r="P23" s="6" t="s">
        <v>17</v>
      </c>
      <c r="Q23" s="6" t="s">
        <v>18</v>
      </c>
    </row>
    <row r="24" spans="4:17">
      <c r="D24" s="6" t="s">
        <v>75</v>
      </c>
      <c r="E24" s="79">
        <f>$E$16</f>
        <v>531249.16666666674</v>
      </c>
      <c r="J24" s="6" t="s">
        <v>75</v>
      </c>
      <c r="K24" s="79">
        <f>$K$16</f>
        <v>560848.75</v>
      </c>
      <c r="P24" s="6" t="s">
        <v>75</v>
      </c>
      <c r="Q24" s="79">
        <f>$Q$16</f>
        <v>590448.33333333337</v>
      </c>
    </row>
    <row r="25" spans="4:17">
      <c r="D25" s="6" t="s">
        <v>81</v>
      </c>
      <c r="E25" s="80">
        <v>20</v>
      </c>
      <c r="J25" s="6" t="s">
        <v>81</v>
      </c>
      <c r="K25" s="80">
        <f>E25</f>
        <v>20</v>
      </c>
      <c r="P25" s="6" t="s">
        <v>81</v>
      </c>
      <c r="Q25" s="80">
        <f>$E$25</f>
        <v>20</v>
      </c>
    </row>
    <row r="26" spans="4:17">
      <c r="D26" s="6" t="s">
        <v>76</v>
      </c>
      <c r="E26" s="70">
        <f>(E24*E25)/100</f>
        <v>106249.83333333336</v>
      </c>
      <c r="J26" s="6" t="s">
        <v>76</v>
      </c>
      <c r="K26" s="70">
        <f>(K24*K25)/100</f>
        <v>112169.75</v>
      </c>
      <c r="P26" s="6" t="s">
        <v>76</v>
      </c>
      <c r="Q26" s="70">
        <f>(Q24*Q25)/100</f>
        <v>118089.66666666669</v>
      </c>
    </row>
    <row r="27" spans="4:17">
      <c r="D27" s="6" t="s">
        <v>80</v>
      </c>
      <c r="E27" s="79">
        <f>(E24+E26)</f>
        <v>637499.00000000012</v>
      </c>
      <c r="J27" s="6" t="s">
        <v>80</v>
      </c>
      <c r="K27" s="79">
        <f>(K24+K26)</f>
        <v>673018.5</v>
      </c>
      <c r="P27" s="6" t="s">
        <v>80</v>
      </c>
      <c r="Q27" s="79">
        <f>(Q24+Q26)</f>
        <v>708538</v>
      </c>
    </row>
    <row r="28" spans="4:17">
      <c r="D28" s="78" t="s">
        <v>82</v>
      </c>
      <c r="E28" s="81">
        <f>E27</f>
        <v>637499.00000000012</v>
      </c>
      <c r="J28" s="78" t="s">
        <v>82</v>
      </c>
      <c r="K28" s="81">
        <f>K27</f>
        <v>673018.5</v>
      </c>
      <c r="P28" s="78" t="s">
        <v>82</v>
      </c>
      <c r="Q28" s="81">
        <f>Q27</f>
        <v>708538</v>
      </c>
    </row>
    <row r="35" spans="4:17">
      <c r="D35" s="347" t="s">
        <v>263</v>
      </c>
      <c r="E35" s="347"/>
      <c r="J35" s="347" t="s">
        <v>263</v>
      </c>
      <c r="K35" s="347"/>
      <c r="P35" s="347" t="s">
        <v>263</v>
      </c>
      <c r="Q35" s="347"/>
    </row>
    <row r="36" spans="4:17">
      <c r="D36" s="77" t="s">
        <v>14</v>
      </c>
      <c r="E36" s="77" t="s">
        <v>77</v>
      </c>
      <c r="J36" s="77" t="s">
        <v>14</v>
      </c>
      <c r="K36" s="77" t="s">
        <v>77</v>
      </c>
      <c r="P36" s="77" t="s">
        <v>14</v>
      </c>
      <c r="Q36" s="77" t="s">
        <v>77</v>
      </c>
    </row>
    <row r="37" spans="4:17" ht="30">
      <c r="D37" s="90" t="s">
        <v>78</v>
      </c>
      <c r="E37" s="90" t="s">
        <v>1</v>
      </c>
      <c r="J37" s="90" t="s">
        <v>78</v>
      </c>
      <c r="K37" s="5" t="s">
        <v>83</v>
      </c>
      <c r="P37" s="90" t="s">
        <v>78</v>
      </c>
      <c r="Q37" s="90" t="s">
        <v>24</v>
      </c>
    </row>
    <row r="38" spans="4:17">
      <c r="D38" s="6" t="s">
        <v>17</v>
      </c>
      <c r="E38" s="5" t="s">
        <v>84</v>
      </c>
      <c r="J38" s="6" t="s">
        <v>17</v>
      </c>
      <c r="K38" s="6" t="s">
        <v>18</v>
      </c>
      <c r="P38" s="6" t="s">
        <v>17</v>
      </c>
      <c r="Q38" s="6" t="s">
        <v>18</v>
      </c>
    </row>
    <row r="39" spans="4:17">
      <c r="D39" s="6" t="s">
        <v>75</v>
      </c>
      <c r="E39" s="79">
        <f>$E$16</f>
        <v>531249.16666666674</v>
      </c>
      <c r="J39" s="6" t="s">
        <v>75</v>
      </c>
      <c r="K39" s="79">
        <f>$K$16</f>
        <v>560848.75</v>
      </c>
      <c r="P39" s="6" t="s">
        <v>75</v>
      </c>
      <c r="Q39" s="79">
        <f>$Q$16</f>
        <v>590448.33333333337</v>
      </c>
    </row>
    <row r="40" spans="4:17">
      <c r="D40" s="6" t="s">
        <v>81</v>
      </c>
      <c r="E40" s="80">
        <v>50</v>
      </c>
      <c r="J40" s="6" t="s">
        <v>81</v>
      </c>
      <c r="K40" s="80">
        <f>$E$40</f>
        <v>50</v>
      </c>
      <c r="P40" s="6" t="s">
        <v>81</v>
      </c>
      <c r="Q40" s="80">
        <v>18</v>
      </c>
    </row>
    <row r="41" spans="4:17">
      <c r="D41" s="6" t="s">
        <v>76</v>
      </c>
      <c r="E41" s="70">
        <f>(E39*E40)/100</f>
        <v>265624.58333333337</v>
      </c>
      <c r="J41" s="6" t="s">
        <v>76</v>
      </c>
      <c r="K41" s="70">
        <f>(K39*K40)/100</f>
        <v>280424.375</v>
      </c>
      <c r="P41" s="6" t="s">
        <v>76</v>
      </c>
      <c r="Q41" s="70">
        <f>(Q39*Q40)/100</f>
        <v>106280.7</v>
      </c>
    </row>
    <row r="42" spans="4:17">
      <c r="D42" s="6" t="s">
        <v>80</v>
      </c>
      <c r="E42" s="79">
        <f>(E39+E41)</f>
        <v>796873.75000000012</v>
      </c>
      <c r="J42" s="6" t="s">
        <v>80</v>
      </c>
      <c r="K42" s="79">
        <f>(K39+K41)</f>
        <v>841273.125</v>
      </c>
      <c r="P42" s="6" t="s">
        <v>80</v>
      </c>
      <c r="Q42" s="79">
        <f>(Q39+Q41)</f>
        <v>696729.03333333333</v>
      </c>
    </row>
    <row r="43" spans="4:17">
      <c r="D43" s="78" t="s">
        <v>82</v>
      </c>
      <c r="E43" s="81"/>
      <c r="J43" s="78" t="s">
        <v>82</v>
      </c>
      <c r="K43" s="81"/>
      <c r="P43" s="78" t="s">
        <v>82</v>
      </c>
      <c r="Q43" s="81">
        <v>1</v>
      </c>
    </row>
    <row r="48" spans="4:17">
      <c r="D48" s="347" t="s">
        <v>264</v>
      </c>
      <c r="E48" s="347"/>
      <c r="J48" s="347" t="s">
        <v>264</v>
      </c>
      <c r="K48" s="347"/>
      <c r="P48" s="347" t="s">
        <v>264</v>
      </c>
      <c r="Q48" s="347"/>
    </row>
    <row r="49" spans="4:17">
      <c r="D49" s="77" t="s">
        <v>14</v>
      </c>
      <c r="E49" s="77" t="s">
        <v>77</v>
      </c>
      <c r="J49" s="77" t="s">
        <v>14</v>
      </c>
      <c r="K49" s="77" t="s">
        <v>77</v>
      </c>
      <c r="P49" s="77" t="s">
        <v>14</v>
      </c>
      <c r="Q49" s="77" t="s">
        <v>77</v>
      </c>
    </row>
    <row r="50" spans="4:17">
      <c r="D50" s="90" t="s">
        <v>78</v>
      </c>
      <c r="E50" s="90" t="s">
        <v>1</v>
      </c>
      <c r="J50" s="90" t="s">
        <v>78</v>
      </c>
      <c r="K50" s="90" t="s">
        <v>1</v>
      </c>
      <c r="P50" s="90" t="s">
        <v>78</v>
      </c>
      <c r="Q50" s="90" t="s">
        <v>1</v>
      </c>
    </row>
    <row r="51" spans="4:17">
      <c r="D51" s="6" t="s">
        <v>17</v>
      </c>
      <c r="E51" s="5" t="s">
        <v>84</v>
      </c>
      <c r="J51" s="6" t="s">
        <v>17</v>
      </c>
      <c r="K51" s="5" t="s">
        <v>84</v>
      </c>
      <c r="P51" s="6" t="s">
        <v>17</v>
      </c>
      <c r="Q51" s="5" t="s">
        <v>84</v>
      </c>
    </row>
    <row r="52" spans="4:17">
      <c r="D52" s="6" t="s">
        <v>75</v>
      </c>
      <c r="E52" s="79">
        <f>$E$16</f>
        <v>531249.16666666674</v>
      </c>
      <c r="J52" s="6" t="s">
        <v>75</v>
      </c>
      <c r="K52" s="79">
        <f>$K$16</f>
        <v>560848.75</v>
      </c>
      <c r="P52" s="6" t="s">
        <v>75</v>
      </c>
      <c r="Q52" s="79">
        <f>$Q$16</f>
        <v>590448.33333333337</v>
      </c>
    </row>
    <row r="53" spans="4:17">
      <c r="D53" s="6" t="s">
        <v>81</v>
      </c>
      <c r="E53" s="80">
        <v>40</v>
      </c>
      <c r="J53" s="6" t="s">
        <v>81</v>
      </c>
      <c r="K53" s="80">
        <f>$E$53</f>
        <v>40</v>
      </c>
      <c r="P53" s="6" t="s">
        <v>81</v>
      </c>
      <c r="Q53" s="80">
        <f>$E$53</f>
        <v>40</v>
      </c>
    </row>
    <row r="54" spans="4:17">
      <c r="D54" s="6" t="s">
        <v>76</v>
      </c>
      <c r="E54" s="70">
        <f>(E52*E53)/100</f>
        <v>212499.66666666672</v>
      </c>
      <c r="J54" s="6" t="s">
        <v>76</v>
      </c>
      <c r="K54" s="70">
        <f>(K52*K53)/100</f>
        <v>224339.5</v>
      </c>
      <c r="P54" s="6" t="s">
        <v>76</v>
      </c>
      <c r="Q54" s="70">
        <f>(Q52*Q53)/100</f>
        <v>236179.33333333337</v>
      </c>
    </row>
    <row r="55" spans="4:17">
      <c r="D55" s="6" t="s">
        <v>80</v>
      </c>
      <c r="E55" s="79">
        <f>(E52+E54)</f>
        <v>743748.83333333349</v>
      </c>
      <c r="J55" s="6" t="s">
        <v>80</v>
      </c>
      <c r="K55" s="79">
        <f>(K52+K54)</f>
        <v>785188.25</v>
      </c>
      <c r="P55" s="6" t="s">
        <v>80</v>
      </c>
      <c r="Q55" s="79">
        <f>(Q52+Q54)</f>
        <v>826627.66666666674</v>
      </c>
    </row>
    <row r="56" spans="4:17">
      <c r="D56" s="78" t="s">
        <v>82</v>
      </c>
      <c r="E56" s="81"/>
      <c r="J56" s="78" t="s">
        <v>82</v>
      </c>
      <c r="K56" s="81"/>
      <c r="P56" s="78" t="s">
        <v>82</v>
      </c>
      <c r="Q56" s="81">
        <v>1</v>
      </c>
    </row>
    <row r="63" spans="4:17">
      <c r="H63" s="16"/>
    </row>
    <row r="64" spans="4:17">
      <c r="F64" s="16"/>
      <c r="G64" s="16"/>
      <c r="H64" s="16"/>
    </row>
  </sheetData>
  <mergeCells count="19">
    <mergeCell ref="D48:E48"/>
    <mergeCell ref="J48:K48"/>
    <mergeCell ref="P48:Q48"/>
    <mergeCell ref="D20:E20"/>
    <mergeCell ref="J20:K20"/>
    <mergeCell ref="P20:Q20"/>
    <mergeCell ref="D35:E35"/>
    <mergeCell ref="J35:K35"/>
    <mergeCell ref="P35:Q35"/>
    <mergeCell ref="F15:G15"/>
    <mergeCell ref="L15:M15"/>
    <mergeCell ref="M1:M2"/>
    <mergeCell ref="R15:S15"/>
    <mergeCell ref="S1:S2"/>
    <mergeCell ref="F1:G1"/>
    <mergeCell ref="F2:G2"/>
    <mergeCell ref="Q3:R3"/>
    <mergeCell ref="E3:F3"/>
    <mergeCell ref="K3:L3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E3:AG81"/>
  <sheetViews>
    <sheetView topLeftCell="C1" zoomScaleNormal="100" workbookViewId="0">
      <selection activeCell="I22" sqref="I21:I22"/>
    </sheetView>
  </sheetViews>
  <sheetFormatPr baseColWidth="10" defaultColWidth="9.140625" defaultRowHeight="15"/>
  <cols>
    <col min="5" max="5" width="34.7109375" bestFit="1" customWidth="1"/>
    <col min="6" max="6" width="18.85546875" bestFit="1" customWidth="1"/>
    <col min="7" max="7" width="15.28515625" bestFit="1" customWidth="1"/>
    <col min="8" max="8" width="15.7109375" bestFit="1" customWidth="1"/>
    <col min="9" max="9" width="19.42578125" bestFit="1" customWidth="1"/>
    <col min="10" max="10" width="15.28515625" bestFit="1" customWidth="1"/>
    <col min="11" max="11" width="14.85546875" bestFit="1" customWidth="1"/>
    <col min="16" max="16" width="36.85546875" bestFit="1" customWidth="1"/>
    <col min="17" max="17" width="26" bestFit="1" customWidth="1"/>
    <col min="18" max="20" width="15.7109375" bestFit="1" customWidth="1"/>
    <col min="21" max="21" width="14.85546875" bestFit="1" customWidth="1"/>
    <col min="22" max="22" width="12.5703125" bestFit="1" customWidth="1"/>
    <col min="27" max="27" width="36.85546875" bestFit="1" customWidth="1"/>
    <col min="28" max="28" width="26" bestFit="1" customWidth="1"/>
    <col min="29" max="31" width="15.7109375" bestFit="1" customWidth="1"/>
    <col min="32" max="32" width="15.28515625" bestFit="1" customWidth="1"/>
    <col min="33" max="33" width="12.5703125" bestFit="1" customWidth="1"/>
  </cols>
  <sheetData>
    <row r="3" spans="5:33">
      <c r="E3" s="3" t="s">
        <v>14</v>
      </c>
      <c r="F3" s="3" t="s">
        <v>15</v>
      </c>
      <c r="G3" s="3" t="s">
        <v>17</v>
      </c>
      <c r="H3" s="335"/>
      <c r="I3" s="352"/>
      <c r="J3" s="352"/>
      <c r="K3" s="352"/>
      <c r="P3" s="3" t="s">
        <v>14</v>
      </c>
      <c r="Q3" s="3" t="s">
        <v>15</v>
      </c>
      <c r="R3" s="3" t="s">
        <v>17</v>
      </c>
      <c r="S3" s="335"/>
      <c r="T3" s="352"/>
      <c r="U3" s="352"/>
      <c r="V3" s="352"/>
      <c r="AA3" s="3" t="s">
        <v>14</v>
      </c>
      <c r="AB3" s="3" t="s">
        <v>15</v>
      </c>
      <c r="AC3" s="3" t="s">
        <v>17</v>
      </c>
      <c r="AD3" s="335"/>
      <c r="AE3" s="352"/>
      <c r="AF3" s="352"/>
      <c r="AG3" s="352"/>
    </row>
    <row r="4" spans="5:33" ht="30">
      <c r="E4" s="11" t="s">
        <v>25</v>
      </c>
      <c r="F4" s="4" t="s">
        <v>1</v>
      </c>
      <c r="G4" s="36" t="s">
        <v>16</v>
      </c>
      <c r="H4" s="335"/>
      <c r="I4" s="352"/>
      <c r="J4" s="352"/>
      <c r="K4" s="352"/>
      <c r="P4" s="11" t="s">
        <v>25</v>
      </c>
      <c r="Q4" s="4" t="s">
        <v>20</v>
      </c>
      <c r="R4" s="36" t="s">
        <v>19</v>
      </c>
      <c r="S4" s="335"/>
      <c r="T4" s="352"/>
      <c r="U4" s="352"/>
      <c r="V4" s="352"/>
      <c r="AA4" s="11" t="s">
        <v>25</v>
      </c>
      <c r="AB4" s="4" t="s">
        <v>24</v>
      </c>
      <c r="AC4" s="36" t="s">
        <v>18</v>
      </c>
      <c r="AD4" s="335"/>
      <c r="AE4" s="352"/>
      <c r="AF4" s="352"/>
      <c r="AG4" s="352"/>
    </row>
    <row r="5" spans="5:33" ht="45" customHeight="1">
      <c r="E5" s="13"/>
      <c r="F5" s="355" t="s">
        <v>27</v>
      </c>
      <c r="G5" s="356"/>
      <c r="H5" s="7" t="s">
        <v>12</v>
      </c>
      <c r="I5" s="357" t="s">
        <v>28</v>
      </c>
      <c r="J5" s="358"/>
      <c r="K5" s="359"/>
      <c r="P5" s="13"/>
      <c r="Q5" s="355" t="s">
        <v>27</v>
      </c>
      <c r="R5" s="356"/>
      <c r="S5" s="7" t="s">
        <v>12</v>
      </c>
      <c r="T5" s="361" t="s">
        <v>28</v>
      </c>
      <c r="U5" s="362"/>
      <c r="V5" s="362"/>
      <c r="AA5" s="13"/>
      <c r="AB5" s="355" t="s">
        <v>27</v>
      </c>
      <c r="AC5" s="356"/>
      <c r="AD5" s="7" t="s">
        <v>12</v>
      </c>
      <c r="AE5" s="357" t="s">
        <v>28</v>
      </c>
      <c r="AF5" s="358"/>
      <c r="AG5" s="359"/>
    </row>
    <row r="6" spans="5:33">
      <c r="E6" s="14"/>
      <c r="F6" s="18" t="s">
        <v>2</v>
      </c>
      <c r="G6" s="19" t="s">
        <v>21</v>
      </c>
      <c r="H6" s="20" t="s">
        <v>4</v>
      </c>
      <c r="I6" s="21" t="s">
        <v>3</v>
      </c>
      <c r="J6" s="21" t="s">
        <v>21</v>
      </c>
      <c r="K6" s="3" t="s">
        <v>92</v>
      </c>
      <c r="P6" s="14"/>
      <c r="Q6" s="18" t="s">
        <v>2</v>
      </c>
      <c r="R6" s="19" t="s">
        <v>21</v>
      </c>
      <c r="S6" s="20" t="s">
        <v>4</v>
      </c>
      <c r="T6" s="21" t="s">
        <v>3</v>
      </c>
      <c r="U6" s="21" t="s">
        <v>55</v>
      </c>
      <c r="V6" s="3" t="s">
        <v>92</v>
      </c>
      <c r="AA6" s="14"/>
      <c r="AB6" s="18" t="s">
        <v>2</v>
      </c>
      <c r="AC6" s="19" t="s">
        <v>21</v>
      </c>
      <c r="AD6" s="20" t="s">
        <v>4</v>
      </c>
      <c r="AE6" s="21" t="s">
        <v>3</v>
      </c>
      <c r="AF6" s="21" t="s">
        <v>55</v>
      </c>
      <c r="AG6" s="3" t="s">
        <v>92</v>
      </c>
    </row>
    <row r="7" spans="5:33">
      <c r="E7" s="12" t="s">
        <v>22</v>
      </c>
      <c r="F7" s="6">
        <v>24</v>
      </c>
      <c r="G7" s="6">
        <f>F7</f>
        <v>24</v>
      </c>
      <c r="H7" s="6">
        <v>12</v>
      </c>
      <c r="I7" s="8">
        <v>8</v>
      </c>
      <c r="J7" s="8">
        <f>I7</f>
        <v>8</v>
      </c>
      <c r="K7" s="8">
        <f>I7</f>
        <v>8</v>
      </c>
      <c r="P7" s="12" t="s">
        <v>22</v>
      </c>
      <c r="Q7" s="6">
        <v>30</v>
      </c>
      <c r="R7" s="6">
        <f>Q7</f>
        <v>30</v>
      </c>
      <c r="S7" s="6">
        <v>16</v>
      </c>
      <c r="T7" s="17">
        <v>10</v>
      </c>
      <c r="U7" s="17">
        <f>T7</f>
        <v>10</v>
      </c>
      <c r="V7" s="8">
        <f>T7</f>
        <v>10</v>
      </c>
      <c r="AA7" s="12" t="s">
        <v>22</v>
      </c>
      <c r="AB7" s="6">
        <v>36</v>
      </c>
      <c r="AC7" s="6">
        <f>AB7</f>
        <v>36</v>
      </c>
      <c r="AD7" s="6">
        <v>18</v>
      </c>
      <c r="AE7" s="8">
        <v>12</v>
      </c>
      <c r="AF7" s="8">
        <v>12</v>
      </c>
      <c r="AG7" s="8">
        <f>AE7</f>
        <v>12</v>
      </c>
    </row>
    <row r="8" spans="5:33">
      <c r="E8" s="5" t="s">
        <v>72</v>
      </c>
      <c r="F8" s="70">
        <f>(Nomina!$E$3)</f>
        <v>15555.9375</v>
      </c>
      <c r="G8" s="70">
        <f>Nomina!$E$6</f>
        <v>9506.7708333333339</v>
      </c>
      <c r="H8" s="70">
        <f>Nomina!$E$2</f>
        <v>15555.9375</v>
      </c>
      <c r="I8" s="70">
        <f>(Nomina!$E$3)</f>
        <v>15555.9375</v>
      </c>
      <c r="J8" s="70">
        <f>Nomina!$E$6</f>
        <v>9506.7708333333339</v>
      </c>
      <c r="K8" s="34">
        <f>Nomina!$E$7</f>
        <v>6482.1875</v>
      </c>
      <c r="P8" s="5" t="s">
        <v>72</v>
      </c>
      <c r="Q8" s="70">
        <f>(Nomina!$E$3)</f>
        <v>15555.9375</v>
      </c>
      <c r="R8" s="70">
        <f>Nomina!$E$6</f>
        <v>9506.7708333333339</v>
      </c>
      <c r="S8" s="70">
        <f>Nomina!$E$2</f>
        <v>15555.9375</v>
      </c>
      <c r="T8" s="70">
        <f>(Nomina!$E$3)</f>
        <v>15555.9375</v>
      </c>
      <c r="U8" s="70">
        <f>Nomina!$E$6</f>
        <v>9506.7708333333339</v>
      </c>
      <c r="V8" s="34">
        <f>Nomina!$E$7</f>
        <v>6482.1875</v>
      </c>
      <c r="AA8" s="5" t="s">
        <v>72</v>
      </c>
      <c r="AB8" s="70">
        <f>(Nomina!$E$3)</f>
        <v>15555.9375</v>
      </c>
      <c r="AC8" s="70">
        <f>Nomina!$E$6</f>
        <v>9506.7708333333339</v>
      </c>
      <c r="AD8" s="70">
        <f>Nomina!$E$2</f>
        <v>15555.9375</v>
      </c>
      <c r="AE8" s="70">
        <f>(Nomina!$E$3)</f>
        <v>15555.9375</v>
      </c>
      <c r="AF8" s="70">
        <f>Nomina!$E$6</f>
        <v>9506.7708333333339</v>
      </c>
      <c r="AG8" s="34">
        <f>Nomina!$E$7</f>
        <v>6482.1875</v>
      </c>
    </row>
    <row r="9" spans="5:33">
      <c r="E9" s="8" t="s">
        <v>6</v>
      </c>
      <c r="F9" s="24">
        <f>F7*F8</f>
        <v>373342.5</v>
      </c>
      <c r="G9" s="24">
        <f t="shared" ref="G9" si="0">G7*G8</f>
        <v>228162.5</v>
      </c>
      <c r="H9" s="24">
        <f>H7*H8</f>
        <v>186671.25</v>
      </c>
      <c r="I9" s="24">
        <f t="shared" ref="I9:K9" si="1">I7*I8</f>
        <v>124447.5</v>
      </c>
      <c r="J9" s="24">
        <f t="shared" si="1"/>
        <v>76054.166666666672</v>
      </c>
      <c r="K9" s="24">
        <f t="shared" si="1"/>
        <v>51857.5</v>
      </c>
      <c r="P9" s="8" t="s">
        <v>6</v>
      </c>
      <c r="Q9" s="24">
        <f>Q7*Q8</f>
        <v>466678.125</v>
      </c>
      <c r="R9" s="24">
        <f t="shared" ref="R9" si="2">R7*R8</f>
        <v>285203.125</v>
      </c>
      <c r="S9" s="24">
        <f>S7*S8</f>
        <v>248895</v>
      </c>
      <c r="T9" s="24">
        <f t="shared" ref="T9" si="3">T7*T8</f>
        <v>155559.375</v>
      </c>
      <c r="U9" s="24">
        <f t="shared" ref="U9:V9" si="4">U7*U8</f>
        <v>95067.708333333343</v>
      </c>
      <c r="V9" s="24">
        <f t="shared" si="4"/>
        <v>64821.875</v>
      </c>
      <c r="AA9" s="8" t="s">
        <v>6</v>
      </c>
      <c r="AB9" s="24">
        <f>AB7*AB8</f>
        <v>560013.75</v>
      </c>
      <c r="AC9" s="24">
        <f t="shared" ref="AC9" si="5">AC7*AC8</f>
        <v>342243.75</v>
      </c>
      <c r="AD9" s="24">
        <f>AD7*AD8</f>
        <v>280006.875</v>
      </c>
      <c r="AE9" s="24">
        <f t="shared" ref="AE9" si="6">AE7*AE8</f>
        <v>186671.25</v>
      </c>
      <c r="AF9" s="24">
        <f t="shared" ref="AF9:AG9" si="7">AF7*AF8</f>
        <v>114081.25</v>
      </c>
      <c r="AG9" s="24">
        <f t="shared" si="7"/>
        <v>77786.25</v>
      </c>
    </row>
    <row r="10" spans="5:33">
      <c r="E10" s="8" t="s">
        <v>7</v>
      </c>
      <c r="F10" s="6">
        <v>300</v>
      </c>
      <c r="G10" s="6">
        <f>$F10</f>
        <v>300</v>
      </c>
      <c r="H10" s="6">
        <v>0</v>
      </c>
      <c r="I10" s="6">
        <f t="shared" ref="I10:J10" si="8">$F10</f>
        <v>300</v>
      </c>
      <c r="J10" s="6">
        <f t="shared" si="8"/>
        <v>300</v>
      </c>
      <c r="K10" s="2">
        <f>$F10</f>
        <v>300</v>
      </c>
      <c r="P10" s="8" t="s">
        <v>7</v>
      </c>
      <c r="Q10" s="6">
        <f t="shared" ref="Q10:R10" si="9">$F10</f>
        <v>300</v>
      </c>
      <c r="R10" s="6">
        <f t="shared" si="9"/>
        <v>300</v>
      </c>
      <c r="S10" s="6">
        <v>0</v>
      </c>
      <c r="T10" s="6">
        <f t="shared" ref="T10:U10" si="10">$F10</f>
        <v>300</v>
      </c>
      <c r="U10" s="6">
        <f t="shared" si="10"/>
        <v>300</v>
      </c>
      <c r="V10" s="2">
        <f>$F10</f>
        <v>300</v>
      </c>
      <c r="AA10" s="8" t="s">
        <v>7</v>
      </c>
      <c r="AB10" s="6">
        <f t="shared" ref="AB10:AC10" si="11">$F10</f>
        <v>300</v>
      </c>
      <c r="AC10" s="6">
        <f t="shared" si="11"/>
        <v>300</v>
      </c>
      <c r="AD10" s="6">
        <v>0</v>
      </c>
      <c r="AE10" s="6">
        <f t="shared" ref="AE10:AF10" si="12">$F10</f>
        <v>300</v>
      </c>
      <c r="AF10" s="6">
        <f t="shared" si="12"/>
        <v>300</v>
      </c>
      <c r="AG10" s="2">
        <f>$F10</f>
        <v>300</v>
      </c>
    </row>
    <row r="11" spans="5:33">
      <c r="E11" s="10" t="s">
        <v>71</v>
      </c>
      <c r="F11" s="23">
        <v>100</v>
      </c>
      <c r="G11" s="23">
        <f>$F11</f>
        <v>100</v>
      </c>
      <c r="H11" s="23">
        <v>0</v>
      </c>
      <c r="I11" s="23">
        <f>$F11</f>
        <v>100</v>
      </c>
      <c r="J11" s="23">
        <f>$F11</f>
        <v>100</v>
      </c>
      <c r="K11" s="23">
        <f>$F11</f>
        <v>100</v>
      </c>
      <c r="P11" s="10" t="s">
        <v>71</v>
      </c>
      <c r="Q11" s="23">
        <v>100</v>
      </c>
      <c r="R11" s="23">
        <v>100</v>
      </c>
      <c r="S11" s="23">
        <v>0</v>
      </c>
      <c r="T11" s="33">
        <v>100</v>
      </c>
      <c r="U11" s="33">
        <v>100</v>
      </c>
      <c r="V11" s="23">
        <f>$F11</f>
        <v>100</v>
      </c>
      <c r="AA11" s="10" t="s">
        <v>71</v>
      </c>
      <c r="AB11" s="23">
        <v>100</v>
      </c>
      <c r="AC11" s="23">
        <v>100</v>
      </c>
      <c r="AD11" s="23">
        <v>0</v>
      </c>
      <c r="AE11" s="34">
        <v>100</v>
      </c>
      <c r="AF11" s="34">
        <v>100</v>
      </c>
      <c r="AG11" s="23">
        <f>$F11</f>
        <v>100</v>
      </c>
    </row>
    <row r="12" spans="5:33">
      <c r="E12" s="8" t="s">
        <v>9</v>
      </c>
      <c r="F12" s="24">
        <f>(F10*F11)</f>
        <v>30000</v>
      </c>
      <c r="G12" s="24">
        <f>(G10*G11)</f>
        <v>30000</v>
      </c>
      <c r="H12" s="24">
        <f t="shared" ref="H12:K12" si="13">(H10*H11)</f>
        <v>0</v>
      </c>
      <c r="I12" s="24">
        <f t="shared" si="13"/>
        <v>30000</v>
      </c>
      <c r="J12" s="24">
        <f t="shared" si="13"/>
        <v>30000</v>
      </c>
      <c r="K12" s="24">
        <f t="shared" si="13"/>
        <v>30000</v>
      </c>
      <c r="P12" s="8" t="s">
        <v>9</v>
      </c>
      <c r="Q12" s="24">
        <f>(Q10*Q11)</f>
        <v>30000</v>
      </c>
      <c r="R12" s="24">
        <f>(R10*R11)</f>
        <v>30000</v>
      </c>
      <c r="S12" s="24">
        <f t="shared" ref="S12" si="14">(S10*S11)</f>
        <v>0</v>
      </c>
      <c r="T12" s="24">
        <f t="shared" ref="T12" si="15">(T10*T11)</f>
        <v>30000</v>
      </c>
      <c r="U12" s="24">
        <f t="shared" ref="U12:V12" si="16">(U10*U11)</f>
        <v>30000</v>
      </c>
      <c r="V12" s="24">
        <f t="shared" si="16"/>
        <v>30000</v>
      </c>
      <c r="AA12" s="8" t="s">
        <v>9</v>
      </c>
      <c r="AB12" s="24">
        <f>(AB10*AB11)</f>
        <v>30000</v>
      </c>
      <c r="AC12" s="24">
        <f>(AC10*AC11)</f>
        <v>30000</v>
      </c>
      <c r="AD12" s="24">
        <f t="shared" ref="AD12" si="17">(AD10*AD11)</f>
        <v>0</v>
      </c>
      <c r="AE12" s="24">
        <f t="shared" ref="AE12" si="18">(AE10*AE11)</f>
        <v>30000</v>
      </c>
      <c r="AF12" s="24">
        <f t="shared" ref="AF12:AG12" si="19">(AF10*AF11)</f>
        <v>30000</v>
      </c>
      <c r="AG12" s="24">
        <f t="shared" si="19"/>
        <v>30000</v>
      </c>
    </row>
    <row r="13" spans="5:33">
      <c r="E13" s="8" t="s">
        <v>23</v>
      </c>
      <c r="F13" s="6">
        <f>(F7/8)*2</f>
        <v>6</v>
      </c>
      <c r="G13" s="6">
        <f>(G7/8)*2</f>
        <v>6</v>
      </c>
      <c r="H13" s="6">
        <v>0</v>
      </c>
      <c r="I13" s="37">
        <f t="shared" ref="I13:J13" si="20">(I7/8)*2</f>
        <v>2</v>
      </c>
      <c r="J13" s="37">
        <f t="shared" si="20"/>
        <v>2</v>
      </c>
      <c r="K13" s="37">
        <f>(K7/8)*2</f>
        <v>2</v>
      </c>
      <c r="P13" s="8" t="s">
        <v>23</v>
      </c>
      <c r="Q13" s="37">
        <f>(Q7/8)*2</f>
        <v>7.5</v>
      </c>
      <c r="R13" s="37">
        <f>(R7/8)*2</f>
        <v>7.5</v>
      </c>
      <c r="S13" s="37">
        <v>0</v>
      </c>
      <c r="T13" s="37">
        <f t="shared" ref="T13:U13" si="21">(T7/8)*2</f>
        <v>2.5</v>
      </c>
      <c r="U13" s="37">
        <f t="shared" si="21"/>
        <v>2.5</v>
      </c>
      <c r="V13" s="37">
        <f>(V7/8)*2</f>
        <v>2.5</v>
      </c>
      <c r="AA13" s="8" t="s">
        <v>23</v>
      </c>
      <c r="AB13" s="37">
        <f>(AB7/8)*2</f>
        <v>9</v>
      </c>
      <c r="AC13" s="37">
        <f>(AC7/8)*2</f>
        <v>9</v>
      </c>
      <c r="AD13" s="37">
        <v>0</v>
      </c>
      <c r="AE13" s="37">
        <f>(AE7/8)*2</f>
        <v>3</v>
      </c>
      <c r="AF13" s="37">
        <f>(AF7/8)*2</f>
        <v>3</v>
      </c>
      <c r="AG13" s="37">
        <f>(AG7/8)*2</f>
        <v>3</v>
      </c>
    </row>
    <row r="14" spans="5:33">
      <c r="E14" s="8" t="s">
        <v>54</v>
      </c>
      <c r="F14" s="23">
        <v>10000</v>
      </c>
      <c r="G14" s="23">
        <f>$F14</f>
        <v>10000</v>
      </c>
      <c r="H14" s="23">
        <v>0</v>
      </c>
      <c r="I14" s="23">
        <f t="shared" ref="I14:K14" si="22">$F14</f>
        <v>10000</v>
      </c>
      <c r="J14" s="23">
        <f t="shared" si="22"/>
        <v>10000</v>
      </c>
      <c r="K14" s="23">
        <f t="shared" si="22"/>
        <v>10000</v>
      </c>
      <c r="P14" s="8" t="s">
        <v>54</v>
      </c>
      <c r="Q14" s="23">
        <v>10000</v>
      </c>
      <c r="R14" s="23">
        <v>10000</v>
      </c>
      <c r="S14" s="23">
        <v>0</v>
      </c>
      <c r="T14" s="33">
        <v>10000</v>
      </c>
      <c r="U14" s="33">
        <v>10000</v>
      </c>
      <c r="V14" s="23">
        <f t="shared" ref="V14" si="23">$F14</f>
        <v>10000</v>
      </c>
      <c r="AA14" s="8" t="s">
        <v>54</v>
      </c>
      <c r="AB14" s="23">
        <v>10000</v>
      </c>
      <c r="AC14" s="23">
        <v>10000</v>
      </c>
      <c r="AD14" s="23">
        <v>0</v>
      </c>
      <c r="AE14" s="34">
        <v>10000</v>
      </c>
      <c r="AF14" s="34">
        <v>10000</v>
      </c>
      <c r="AG14" s="23">
        <f t="shared" ref="AG14" si="24">$F14</f>
        <v>10000</v>
      </c>
    </row>
    <row r="15" spans="5:33">
      <c r="E15" s="10" t="s">
        <v>73</v>
      </c>
      <c r="F15" s="24">
        <f>(F13*F14)</f>
        <v>60000</v>
      </c>
      <c r="G15" s="24">
        <f>(G13*G14)</f>
        <v>60000</v>
      </c>
      <c r="H15" s="24">
        <f t="shared" ref="H15:K15" si="25">(H13*H14)</f>
        <v>0</v>
      </c>
      <c r="I15" s="24">
        <f t="shared" si="25"/>
        <v>20000</v>
      </c>
      <c r="J15" s="24">
        <f t="shared" si="25"/>
        <v>20000</v>
      </c>
      <c r="K15" s="24">
        <f t="shared" si="25"/>
        <v>20000</v>
      </c>
      <c r="P15" s="10" t="s">
        <v>73</v>
      </c>
      <c r="Q15" s="24">
        <f>(Q13*Q14)</f>
        <v>75000</v>
      </c>
      <c r="R15" s="24">
        <f>(R13*R14)</f>
        <v>75000</v>
      </c>
      <c r="S15" s="24">
        <f t="shared" ref="S15" si="26">(S13*S14)</f>
        <v>0</v>
      </c>
      <c r="T15" s="24">
        <f t="shared" ref="T15" si="27">(T13*T14)</f>
        <v>25000</v>
      </c>
      <c r="U15" s="24">
        <f t="shared" ref="U15:V15" si="28">(U13*U14)</f>
        <v>25000</v>
      </c>
      <c r="V15" s="24">
        <f t="shared" si="28"/>
        <v>25000</v>
      </c>
      <c r="AA15" s="10" t="s">
        <v>73</v>
      </c>
      <c r="AB15" s="24">
        <f>(AB13*AB14)</f>
        <v>90000</v>
      </c>
      <c r="AC15" s="24">
        <f>(AC13*AC14)</f>
        <v>90000</v>
      </c>
      <c r="AD15" s="24">
        <f t="shared" ref="AD15" si="29">(AD13*AD14)</f>
        <v>0</v>
      </c>
      <c r="AE15" s="24">
        <f t="shared" ref="AE15" si="30">(AE13*AE14)</f>
        <v>30000</v>
      </c>
      <c r="AF15" s="24">
        <f t="shared" ref="AF15:AG15" si="31">(AF13*AF14)</f>
        <v>30000</v>
      </c>
      <c r="AG15" s="24">
        <f t="shared" si="31"/>
        <v>30000</v>
      </c>
    </row>
    <row r="16" spans="5:33">
      <c r="E16" s="30" t="s">
        <v>182</v>
      </c>
      <c r="F16" s="31">
        <f>(F9+F12+F15)</f>
        <v>463342.5</v>
      </c>
      <c r="G16" s="31">
        <f>(G9+G12+G15)</f>
        <v>318162.5</v>
      </c>
      <c r="H16" s="31">
        <f>(H9+H12+H15)</f>
        <v>186671.25</v>
      </c>
      <c r="I16" s="31">
        <f t="shared" ref="I16:K16" si="32">(I9+I12+I15)</f>
        <v>174447.5</v>
      </c>
      <c r="J16" s="31">
        <f t="shared" si="32"/>
        <v>126054.16666666667</v>
      </c>
      <c r="K16" s="31">
        <f t="shared" si="32"/>
        <v>101857.5</v>
      </c>
      <c r="P16" s="30" t="s">
        <v>182</v>
      </c>
      <c r="Q16" s="31">
        <f>(Q9+Q12+Q15)</f>
        <v>571678.125</v>
      </c>
      <c r="R16" s="32">
        <f>(R9+R12+R15)</f>
        <v>390203.125</v>
      </c>
      <c r="S16" s="32">
        <f>(S9+S12+S15)</f>
        <v>248895</v>
      </c>
      <c r="T16" s="32">
        <f t="shared" ref="T16" si="33">(T9+T12+T15)</f>
        <v>210559.375</v>
      </c>
      <c r="U16" s="32">
        <f t="shared" ref="U16:V16" si="34">(U9+U12+U15)</f>
        <v>150067.70833333334</v>
      </c>
      <c r="V16" s="31">
        <f t="shared" si="34"/>
        <v>119821.875</v>
      </c>
      <c r="AA16" s="30" t="s">
        <v>182</v>
      </c>
      <c r="AB16" s="31">
        <f>(AB9+AB12+AB15)</f>
        <v>680013.75</v>
      </c>
      <c r="AC16" s="31">
        <f>(AC9+AC12+AC15)</f>
        <v>462243.75</v>
      </c>
      <c r="AD16" s="31">
        <f>(AD9+AD12+AD15)</f>
        <v>280006.875</v>
      </c>
      <c r="AE16" s="31">
        <f t="shared" ref="AE16" si="35">(AE9+AE12+AE15)</f>
        <v>246671.25</v>
      </c>
      <c r="AF16" s="31">
        <f t="shared" ref="AF16:AG16" si="36">(AF9+AF12+AF15)</f>
        <v>174081.25</v>
      </c>
      <c r="AG16" s="31">
        <f t="shared" si="36"/>
        <v>137786.25</v>
      </c>
    </row>
    <row r="17" spans="5:33">
      <c r="E17" s="8" t="s">
        <v>56</v>
      </c>
      <c r="F17" s="51">
        <f>H39</f>
        <v>10214.454644063926</v>
      </c>
      <c r="G17" s="360"/>
      <c r="H17" s="360"/>
      <c r="I17" s="360"/>
      <c r="J17" s="360"/>
      <c r="K17" s="360"/>
      <c r="P17" s="8" t="s">
        <v>56</v>
      </c>
      <c r="Q17" s="51">
        <f>S39</f>
        <v>12766.503297031964</v>
      </c>
      <c r="R17" s="336"/>
      <c r="S17" s="336"/>
      <c r="T17" s="336"/>
      <c r="U17" s="336"/>
      <c r="V17" s="336"/>
      <c r="AA17" s="8" t="s">
        <v>56</v>
      </c>
      <c r="AB17" s="51">
        <f>AD39</f>
        <v>15377.282301826486</v>
      </c>
      <c r="AC17" s="360"/>
      <c r="AD17" s="360"/>
      <c r="AE17" s="360"/>
      <c r="AF17" s="360"/>
      <c r="AG17" s="360"/>
    </row>
    <row r="18" spans="5:33">
      <c r="E18" s="181" t="s">
        <v>287</v>
      </c>
      <c r="F18" s="204">
        <f>(Nomina!$E$9*(SUM(F7,H7,I7)))</f>
        <v>617920.41666666674</v>
      </c>
      <c r="G18" s="336"/>
      <c r="H18" s="336"/>
      <c r="I18" s="336"/>
      <c r="J18" s="336"/>
      <c r="K18" s="336"/>
      <c r="P18" s="181" t="s">
        <v>287</v>
      </c>
      <c r="Q18" s="204">
        <f>(Nomina!$E$9*(SUM(Q7,S7,T7)))</f>
        <v>786444.16666666674</v>
      </c>
      <c r="R18" s="336"/>
      <c r="S18" s="336"/>
      <c r="T18" s="336"/>
      <c r="U18" s="336"/>
      <c r="V18" s="336"/>
      <c r="AA18" s="181" t="s">
        <v>287</v>
      </c>
      <c r="AB18" s="204">
        <f>(Nomina!$E$9*(SUM(AB7,AD7,AE7)))</f>
        <v>926880.625</v>
      </c>
      <c r="AC18" s="336"/>
      <c r="AD18" s="336"/>
      <c r="AE18" s="336"/>
      <c r="AF18" s="336"/>
      <c r="AG18" s="336"/>
    </row>
    <row r="19" spans="5:33">
      <c r="E19" s="9" t="s">
        <v>10</v>
      </c>
      <c r="F19" s="25">
        <f>SUM(F16:K16,F17,F18)</f>
        <v>1998670.2879773974</v>
      </c>
      <c r="P19" s="9" t="s">
        <v>10</v>
      </c>
      <c r="Q19" s="25">
        <f>SUM(Q16:V16,Q17,Q18)</f>
        <v>2490435.8782970319</v>
      </c>
      <c r="AA19" s="9" t="s">
        <v>10</v>
      </c>
      <c r="AB19" s="25">
        <f>SUM(AB16:AG16,AB17,AB18)</f>
        <v>2923061.0323018264</v>
      </c>
    </row>
    <row r="24" spans="5:33">
      <c r="E24" s="348"/>
      <c r="F24" s="3" t="s">
        <v>14</v>
      </c>
      <c r="G24" s="3" t="s">
        <v>15</v>
      </c>
      <c r="H24" s="335"/>
      <c r="P24" s="348"/>
      <c r="Q24" s="3" t="s">
        <v>14</v>
      </c>
      <c r="R24" s="353" t="s">
        <v>15</v>
      </c>
      <c r="S24" s="353"/>
      <c r="AA24" s="348"/>
      <c r="AB24" s="3" t="s">
        <v>14</v>
      </c>
      <c r="AC24" s="3" t="s">
        <v>15</v>
      </c>
      <c r="AD24" s="335"/>
    </row>
    <row r="25" spans="5:33">
      <c r="E25" s="349"/>
      <c r="F25" s="11" t="s">
        <v>25</v>
      </c>
      <c r="G25" s="11" t="s">
        <v>1</v>
      </c>
      <c r="H25" s="337"/>
      <c r="P25" s="349"/>
      <c r="Q25" s="11" t="s">
        <v>25</v>
      </c>
      <c r="R25" s="354" t="s">
        <v>88</v>
      </c>
      <c r="S25" s="354"/>
      <c r="AA25" s="349"/>
      <c r="AB25" s="11" t="s">
        <v>25</v>
      </c>
      <c r="AC25" s="11" t="s">
        <v>24</v>
      </c>
      <c r="AD25" s="337"/>
    </row>
    <row r="26" spans="5:33" ht="30">
      <c r="E26" s="38" t="s">
        <v>30</v>
      </c>
      <c r="F26" s="15" t="s">
        <v>57</v>
      </c>
      <c r="G26" s="38" t="s">
        <v>36</v>
      </c>
      <c r="H26" s="38" t="s">
        <v>37</v>
      </c>
      <c r="P26" s="38" t="s">
        <v>30</v>
      </c>
      <c r="Q26" s="15" t="s">
        <v>57</v>
      </c>
      <c r="R26" s="38" t="s">
        <v>36</v>
      </c>
      <c r="S26" s="38" t="s">
        <v>37</v>
      </c>
      <c r="AA26" s="38" t="s">
        <v>30</v>
      </c>
      <c r="AB26" s="15" t="s">
        <v>57</v>
      </c>
      <c r="AC26" s="38" t="s">
        <v>36</v>
      </c>
      <c r="AD26" s="38" t="s">
        <v>37</v>
      </c>
    </row>
    <row r="27" spans="5:33">
      <c r="E27" s="26" t="s">
        <v>35</v>
      </c>
      <c r="F27" s="2">
        <f>F7+H7</f>
        <v>36</v>
      </c>
      <c r="G27" s="35">
        <f>'Depreciacion equipos'!P45</f>
        <v>15.399543378995434</v>
      </c>
      <c r="H27" s="35">
        <f>F27*G27</f>
        <v>554.38356164383561</v>
      </c>
      <c r="P27" s="26" t="s">
        <v>35</v>
      </c>
      <c r="Q27" s="2">
        <f>Q7+S7</f>
        <v>46</v>
      </c>
      <c r="R27" s="35">
        <f>'Depreciacion equipos'!P45</f>
        <v>15.399543378995434</v>
      </c>
      <c r="S27" s="35">
        <f>Q27*R27</f>
        <v>708.3789954337899</v>
      </c>
      <c r="AA27" s="26" t="s">
        <v>35</v>
      </c>
      <c r="AB27" s="2">
        <f>AB7+AD7</f>
        <v>54</v>
      </c>
      <c r="AC27" s="35">
        <f>'Depreciacion equipos'!P45</f>
        <v>15.399543378995434</v>
      </c>
      <c r="AD27" s="35">
        <f>AB27*AC27</f>
        <v>831.57534246575347</v>
      </c>
    </row>
    <row r="28" spans="5:33" ht="14.25" customHeight="1">
      <c r="E28" s="27" t="s">
        <v>31</v>
      </c>
      <c r="F28" s="2">
        <v>72</v>
      </c>
      <c r="G28" s="35">
        <f>'Depreciacion equipos'!P46</f>
        <v>125.57077625570776</v>
      </c>
      <c r="H28" s="35">
        <f t="shared" ref="H28:H38" si="37">F28*G28</f>
        <v>9041.0958904109575</v>
      </c>
      <c r="P28" s="27" t="s">
        <v>31</v>
      </c>
      <c r="Q28" s="2">
        <f>((Q7/8)*24)</f>
        <v>90</v>
      </c>
      <c r="R28" s="35">
        <f>'Depreciacion equipos'!P46</f>
        <v>125.57077625570776</v>
      </c>
      <c r="S28" s="35">
        <f t="shared" ref="S28:S38" si="38">Q28*R28</f>
        <v>11301.369863013699</v>
      </c>
      <c r="AA28" s="27" t="s">
        <v>31</v>
      </c>
      <c r="AB28" s="2">
        <f>((AB7/8)*24)</f>
        <v>108</v>
      </c>
      <c r="AC28" s="35">
        <f>'Depreciacion equipos'!P46</f>
        <v>125.57077625570776</v>
      </c>
      <c r="AD28" s="35">
        <f t="shared" ref="AD28:AD38" si="39">AB28*AC28</f>
        <v>13561.643835616438</v>
      </c>
    </row>
    <row r="29" spans="5:33">
      <c r="E29" s="26" t="s">
        <v>47</v>
      </c>
      <c r="F29" s="2">
        <f>F7</f>
        <v>24</v>
      </c>
      <c r="G29" s="35">
        <f>'Depreciacion equipos'!P47</f>
        <v>6.384703196347032</v>
      </c>
      <c r="H29" s="35">
        <f t="shared" si="37"/>
        <v>153.23287671232876</v>
      </c>
      <c r="P29" s="26" t="s">
        <v>47</v>
      </c>
      <c r="Q29" s="2">
        <f>Q7</f>
        <v>30</v>
      </c>
      <c r="R29" s="35">
        <f>'Depreciacion equipos'!P47</f>
        <v>6.384703196347032</v>
      </c>
      <c r="S29" s="35">
        <f t="shared" si="38"/>
        <v>191.54109589041096</v>
      </c>
      <c r="AA29" s="26" t="s">
        <v>47</v>
      </c>
      <c r="AB29" s="2">
        <f>AB7</f>
        <v>36</v>
      </c>
      <c r="AC29" s="35">
        <f>'Depreciacion equipos'!P47</f>
        <v>6.384703196347032</v>
      </c>
      <c r="AD29" s="35">
        <f t="shared" si="39"/>
        <v>229.84931506849315</v>
      </c>
    </row>
    <row r="30" spans="5:33">
      <c r="E30" s="26" t="s">
        <v>48</v>
      </c>
      <c r="F30" s="2">
        <f>F7</f>
        <v>24</v>
      </c>
      <c r="G30" s="35">
        <f>'Depreciacion equipos'!P48</f>
        <v>9.9166666666666661</v>
      </c>
      <c r="H30" s="35">
        <f t="shared" si="37"/>
        <v>238</v>
      </c>
      <c r="P30" s="26" t="s">
        <v>48</v>
      </c>
      <c r="Q30" s="2">
        <f>Q7</f>
        <v>30</v>
      </c>
      <c r="R30" s="35">
        <f>'Depreciacion equipos'!P48</f>
        <v>9.9166666666666661</v>
      </c>
      <c r="S30" s="35">
        <f t="shared" si="38"/>
        <v>297.5</v>
      </c>
      <c r="AA30" s="26" t="s">
        <v>48</v>
      </c>
      <c r="AB30" s="2">
        <f>AB7</f>
        <v>36</v>
      </c>
      <c r="AC30" s="35">
        <f>'Depreciacion equipos'!P48</f>
        <v>9.9166666666666661</v>
      </c>
      <c r="AD30" s="35">
        <f t="shared" si="39"/>
        <v>357</v>
      </c>
    </row>
    <row r="31" spans="5:33">
      <c r="E31" s="26" t="s">
        <v>49</v>
      </c>
      <c r="F31" s="2">
        <f>F7</f>
        <v>24</v>
      </c>
      <c r="G31" s="35">
        <f>'Depreciacion equipos'!P49</f>
        <v>2.7828424657534243</v>
      </c>
      <c r="H31" s="35">
        <f t="shared" si="37"/>
        <v>66.788219178082187</v>
      </c>
      <c r="P31" s="26" t="s">
        <v>49</v>
      </c>
      <c r="Q31" s="2">
        <f>Q7</f>
        <v>30</v>
      </c>
      <c r="R31" s="35">
        <f>'Depreciacion equipos'!P49</f>
        <v>2.7828424657534243</v>
      </c>
      <c r="S31" s="35">
        <f t="shared" si="38"/>
        <v>83.485273972602727</v>
      </c>
      <c r="AA31" s="26" t="s">
        <v>49</v>
      </c>
      <c r="AB31" s="2">
        <f>AB7</f>
        <v>36</v>
      </c>
      <c r="AC31" s="35">
        <f>'Depreciacion equipos'!P49</f>
        <v>2.7828424657534243</v>
      </c>
      <c r="AD31" s="35">
        <f t="shared" si="39"/>
        <v>100.18232876712328</v>
      </c>
    </row>
    <row r="32" spans="5:33">
      <c r="E32" s="27" t="s">
        <v>32</v>
      </c>
      <c r="F32" s="2">
        <v>1</v>
      </c>
      <c r="G32" s="35">
        <f>'Depreciacion equipos'!P50</f>
        <v>0.47640753424657528</v>
      </c>
      <c r="H32" s="35">
        <f t="shared" si="37"/>
        <v>0.47640753424657528</v>
      </c>
      <c r="P32" s="27" t="s">
        <v>32</v>
      </c>
      <c r="Q32" s="2">
        <v>1</v>
      </c>
      <c r="R32" s="35">
        <f>'Depreciacion equipos'!P50</f>
        <v>0.47640753424657528</v>
      </c>
      <c r="S32" s="35">
        <f t="shared" si="38"/>
        <v>0.47640753424657528</v>
      </c>
      <c r="AA32" s="27" t="s">
        <v>32</v>
      </c>
      <c r="AB32" s="2">
        <v>2</v>
      </c>
      <c r="AC32" s="35">
        <f>'Depreciacion equipos'!P50</f>
        <v>0.47640753424657528</v>
      </c>
      <c r="AD32" s="35">
        <f t="shared" si="39"/>
        <v>0.95281506849315056</v>
      </c>
    </row>
    <row r="33" spans="5:30">
      <c r="E33" s="26" t="s">
        <v>50</v>
      </c>
      <c r="F33" s="2">
        <v>4</v>
      </c>
      <c r="G33" s="35">
        <f>'Depreciacion equipos'!P51</f>
        <v>21.118721461187214</v>
      </c>
      <c r="H33" s="35">
        <f t="shared" si="37"/>
        <v>84.474885844748854</v>
      </c>
      <c r="P33" s="26" t="s">
        <v>50</v>
      </c>
      <c r="Q33" s="2">
        <v>4</v>
      </c>
      <c r="R33" s="35">
        <f>'Depreciacion equipos'!P51</f>
        <v>21.118721461187214</v>
      </c>
      <c r="S33" s="35">
        <f t="shared" si="38"/>
        <v>84.474885844748854</v>
      </c>
      <c r="AA33" s="26" t="s">
        <v>50</v>
      </c>
      <c r="AB33" s="2">
        <v>8</v>
      </c>
      <c r="AC33" s="35">
        <f>'Depreciacion equipos'!P51</f>
        <v>21.118721461187214</v>
      </c>
      <c r="AD33" s="35">
        <f t="shared" si="39"/>
        <v>168.94977168949771</v>
      </c>
    </row>
    <row r="34" spans="5:30">
      <c r="E34" s="26" t="s">
        <v>51</v>
      </c>
      <c r="F34" s="2">
        <v>1</v>
      </c>
      <c r="G34" s="35">
        <f>'Depreciacion equipos'!P52</f>
        <v>14.845268493150684</v>
      </c>
      <c r="H34" s="35">
        <f t="shared" si="37"/>
        <v>14.845268493150684</v>
      </c>
      <c r="P34" s="26" t="s">
        <v>51</v>
      </c>
      <c r="Q34" s="2">
        <v>1</v>
      </c>
      <c r="R34" s="35">
        <f>'Depreciacion equipos'!P52</f>
        <v>14.845268493150684</v>
      </c>
      <c r="S34" s="35">
        <f t="shared" si="38"/>
        <v>14.845268493150684</v>
      </c>
      <c r="AA34" s="26" t="s">
        <v>51</v>
      </c>
      <c r="AB34" s="2">
        <v>2</v>
      </c>
      <c r="AC34" s="35">
        <f>'Depreciacion equipos'!P52</f>
        <v>14.845268493150684</v>
      </c>
      <c r="AD34" s="35">
        <f t="shared" si="39"/>
        <v>29.690536986301368</v>
      </c>
    </row>
    <row r="35" spans="5:30">
      <c r="E35" s="27" t="s">
        <v>33</v>
      </c>
      <c r="F35" s="2">
        <v>2</v>
      </c>
      <c r="G35" s="35">
        <f>'Depreciacion equipos'!P53</f>
        <v>4.5650684931506849</v>
      </c>
      <c r="H35" s="35">
        <f t="shared" si="37"/>
        <v>9.1301369863013697</v>
      </c>
      <c r="P35" s="27" t="s">
        <v>33</v>
      </c>
      <c r="Q35" s="2">
        <v>2</v>
      </c>
      <c r="R35" s="35">
        <f>'Depreciacion equipos'!P53</f>
        <v>4.5650684931506849</v>
      </c>
      <c r="S35" s="35">
        <f t="shared" si="38"/>
        <v>9.1301369863013697</v>
      </c>
      <c r="AA35" s="27" t="s">
        <v>33</v>
      </c>
      <c r="AB35" s="2">
        <v>2</v>
      </c>
      <c r="AC35" s="35">
        <f>'Depreciacion equipos'!P53</f>
        <v>4.5650684931506849</v>
      </c>
      <c r="AD35" s="35">
        <f t="shared" si="39"/>
        <v>9.1301369863013697</v>
      </c>
    </row>
    <row r="36" spans="5:30">
      <c r="E36" s="27" t="s">
        <v>34</v>
      </c>
      <c r="F36" s="2">
        <f>F28</f>
        <v>72</v>
      </c>
      <c r="G36" s="35">
        <f>'Depreciacion equipos'!P54</f>
        <v>0.45662100456621002</v>
      </c>
      <c r="H36" s="35">
        <f t="shared" si="37"/>
        <v>32.87671232876712</v>
      </c>
      <c r="P36" s="27" t="s">
        <v>34</v>
      </c>
      <c r="Q36" s="2">
        <f>Q28</f>
        <v>90</v>
      </c>
      <c r="R36" s="35">
        <f>'Depreciacion equipos'!P54</f>
        <v>0.45662100456621002</v>
      </c>
      <c r="S36" s="35">
        <f t="shared" si="38"/>
        <v>41.095890410958901</v>
      </c>
      <c r="AA36" s="27" t="s">
        <v>34</v>
      </c>
      <c r="AB36" s="2">
        <f>AB28</f>
        <v>108</v>
      </c>
      <c r="AC36" s="35">
        <f>'Depreciacion equipos'!P54</f>
        <v>0.45662100456621002</v>
      </c>
      <c r="AD36" s="35">
        <f t="shared" si="39"/>
        <v>49.315068493150683</v>
      </c>
    </row>
    <row r="37" spans="5:30">
      <c r="E37" s="26" t="s">
        <v>43</v>
      </c>
      <c r="F37" s="2">
        <f>F7</f>
        <v>24</v>
      </c>
      <c r="G37" s="35">
        <f>'Depreciacion equipos'!P55</f>
        <v>0.79794520547945202</v>
      </c>
      <c r="H37" s="35">
        <f t="shared" si="37"/>
        <v>19.150684931506849</v>
      </c>
      <c r="P37" s="26" t="s">
        <v>43</v>
      </c>
      <c r="Q37" s="2">
        <f>Q31</f>
        <v>30</v>
      </c>
      <c r="R37" s="35">
        <f>'Depreciacion equipos'!P55</f>
        <v>0.79794520547945202</v>
      </c>
      <c r="S37" s="35">
        <f t="shared" si="38"/>
        <v>23.93835616438356</v>
      </c>
      <c r="AA37" s="26" t="s">
        <v>43</v>
      </c>
      <c r="AB37" s="2">
        <f>AB31</f>
        <v>36</v>
      </c>
      <c r="AC37" s="35">
        <f>'Depreciacion equipos'!P55</f>
        <v>0.79794520547945202</v>
      </c>
      <c r="AD37" s="35">
        <f t="shared" si="39"/>
        <v>28.726027397260275</v>
      </c>
    </row>
    <row r="38" spans="5:30">
      <c r="E38" s="66" t="s">
        <v>52</v>
      </c>
      <c r="F38" s="67">
        <v>4</v>
      </c>
      <c r="G38" s="68">
        <f>'Depreciacion equipos'!P56</f>
        <v>1.7111872146118721</v>
      </c>
      <c r="H38" s="68">
        <f t="shared" si="37"/>
        <v>6.8447488584474883</v>
      </c>
      <c r="P38" s="28" t="s">
        <v>52</v>
      </c>
      <c r="Q38" s="2">
        <v>6</v>
      </c>
      <c r="R38" s="35">
        <f>'Depreciacion equipos'!P56</f>
        <v>1.7111872146118721</v>
      </c>
      <c r="S38" s="35">
        <f t="shared" si="38"/>
        <v>10.267123287671232</v>
      </c>
      <c r="AA38" s="28" t="s">
        <v>52</v>
      </c>
      <c r="AB38" s="2">
        <v>6</v>
      </c>
      <c r="AC38" s="35">
        <f>'Depreciacion equipos'!P56</f>
        <v>1.7111872146118721</v>
      </c>
      <c r="AD38" s="35">
        <f t="shared" si="39"/>
        <v>10.267123287671232</v>
      </c>
    </row>
    <row r="39" spans="5:30">
      <c r="E39" s="40" t="s">
        <v>38</v>
      </c>
      <c r="F39" s="350"/>
      <c r="G39" s="351"/>
      <c r="H39" s="39">
        <f>SUM(H27:H37)</f>
        <v>10214.454644063926</v>
      </c>
      <c r="P39" s="40" t="s">
        <v>38</v>
      </c>
      <c r="Q39" s="350"/>
      <c r="R39" s="351"/>
      <c r="S39" s="39">
        <f>SUM(S27:S38)</f>
        <v>12766.503297031964</v>
      </c>
      <c r="AA39" s="40" t="s">
        <v>38</v>
      </c>
      <c r="AB39" s="350"/>
      <c r="AC39" s="351"/>
      <c r="AD39" s="39">
        <f>SUM(AD27:AD38)</f>
        <v>15377.282301826486</v>
      </c>
    </row>
    <row r="46" spans="5:30">
      <c r="E46" s="347" t="s">
        <v>264</v>
      </c>
      <c r="F46" s="347"/>
      <c r="P46" s="347" t="s">
        <v>262</v>
      </c>
      <c r="Q46" s="347"/>
      <c r="AA46" s="347" t="s">
        <v>262</v>
      </c>
      <c r="AB46" s="347"/>
    </row>
    <row r="47" spans="5:30">
      <c r="E47" s="77" t="s">
        <v>14</v>
      </c>
      <c r="F47" s="77" t="s">
        <v>85</v>
      </c>
      <c r="P47" s="77" t="s">
        <v>14</v>
      </c>
      <c r="Q47" s="77" t="s">
        <v>85</v>
      </c>
      <c r="AA47" s="77" t="s">
        <v>14</v>
      </c>
      <c r="AB47" s="77" t="s">
        <v>85</v>
      </c>
    </row>
    <row r="48" spans="5:30" ht="30">
      <c r="E48" s="4" t="s">
        <v>78</v>
      </c>
      <c r="F48" s="5" t="s">
        <v>79</v>
      </c>
      <c r="P48" s="4" t="s">
        <v>78</v>
      </c>
      <c r="Q48" s="36" t="s">
        <v>90</v>
      </c>
      <c r="R48" s="83"/>
      <c r="AA48" s="4" t="s">
        <v>78</v>
      </c>
      <c r="AB48" s="36" t="s">
        <v>89</v>
      </c>
    </row>
    <row r="49" spans="5:28">
      <c r="E49" s="6" t="s">
        <v>17</v>
      </c>
      <c r="F49" s="36" t="s">
        <v>86</v>
      </c>
      <c r="P49" s="6" t="s">
        <v>17</v>
      </c>
      <c r="Q49" s="36" t="s">
        <v>18</v>
      </c>
      <c r="AA49" s="6" t="s">
        <v>17</v>
      </c>
      <c r="AB49" s="36" t="s">
        <v>91</v>
      </c>
    </row>
    <row r="50" spans="5:28">
      <c r="E50" s="6" t="s">
        <v>75</v>
      </c>
      <c r="F50" s="79">
        <f>$F$19</f>
        <v>1998670.2879773974</v>
      </c>
      <c r="P50" s="6" t="s">
        <v>75</v>
      </c>
      <c r="Q50" s="79">
        <f>$Q$19</f>
        <v>2490435.8782970319</v>
      </c>
      <c r="AA50" s="6" t="s">
        <v>75</v>
      </c>
      <c r="AB50" s="79">
        <f>$AB$19</f>
        <v>2923061.0323018264</v>
      </c>
    </row>
    <row r="51" spans="5:28">
      <c r="E51" s="6" t="s">
        <v>81</v>
      </c>
      <c r="F51" s="80">
        <v>20</v>
      </c>
      <c r="P51" s="6" t="s">
        <v>81</v>
      </c>
      <c r="Q51" s="80">
        <f>$F$51</f>
        <v>20</v>
      </c>
      <c r="AA51" s="6" t="s">
        <v>81</v>
      </c>
      <c r="AB51" s="80">
        <f>Q51</f>
        <v>20</v>
      </c>
    </row>
    <row r="52" spans="5:28">
      <c r="E52" s="6" t="s">
        <v>76</v>
      </c>
      <c r="F52" s="70">
        <f>(F50*F51)/100</f>
        <v>399734.05759547948</v>
      </c>
      <c r="P52" s="6" t="s">
        <v>76</v>
      </c>
      <c r="Q52" s="70">
        <f>(Q50*Q51)/100</f>
        <v>498087.17565940635</v>
      </c>
      <c r="AA52" s="6" t="s">
        <v>76</v>
      </c>
      <c r="AB52" s="70">
        <f>(AB50*AB51)/100</f>
        <v>584612.20646036533</v>
      </c>
    </row>
    <row r="53" spans="5:28">
      <c r="E53" s="6" t="s">
        <v>80</v>
      </c>
      <c r="F53" s="79">
        <f>(F50+F52)</f>
        <v>2398404.3455728767</v>
      </c>
      <c r="P53" s="6" t="s">
        <v>80</v>
      </c>
      <c r="Q53" s="79">
        <f>(Q50+Q52)</f>
        <v>2988523.0539564383</v>
      </c>
      <c r="AA53" s="6" t="s">
        <v>80</v>
      </c>
      <c r="AB53" s="79">
        <f>(AB50+AB52)</f>
        <v>3507673.2387621915</v>
      </c>
    </row>
    <row r="54" spans="5:28">
      <c r="E54" s="78" t="s">
        <v>82</v>
      </c>
      <c r="F54" s="81">
        <f>F53</f>
        <v>2398404.3455728767</v>
      </c>
      <c r="P54" s="78" t="s">
        <v>82</v>
      </c>
      <c r="Q54" s="81">
        <f>Q53</f>
        <v>2988523.0539564383</v>
      </c>
      <c r="AA54" s="78" t="s">
        <v>82</v>
      </c>
      <c r="AB54" s="81">
        <f>AB53</f>
        <v>3507673.2387621915</v>
      </c>
    </row>
    <row r="55" spans="5:28">
      <c r="E55" s="8" t="s">
        <v>87</v>
      </c>
      <c r="F55" s="82">
        <v>0.02</v>
      </c>
      <c r="P55" s="8" t="s">
        <v>87</v>
      </c>
      <c r="Q55" s="82">
        <v>0.02</v>
      </c>
      <c r="AA55" s="8" t="s">
        <v>87</v>
      </c>
      <c r="AB55" s="82">
        <v>0.02</v>
      </c>
    </row>
    <row r="59" spans="5:28">
      <c r="E59" s="347" t="s">
        <v>265</v>
      </c>
      <c r="F59" s="347"/>
      <c r="P59" s="347" t="s">
        <v>265</v>
      </c>
      <c r="Q59" s="347"/>
      <c r="AA59" s="347" t="s">
        <v>265</v>
      </c>
      <c r="AB59" s="347"/>
    </row>
    <row r="60" spans="5:28">
      <c r="E60" s="77" t="s">
        <v>14</v>
      </c>
      <c r="F60" s="77" t="s">
        <v>85</v>
      </c>
      <c r="P60" s="77" t="s">
        <v>14</v>
      </c>
      <c r="Q60" s="77" t="s">
        <v>85</v>
      </c>
      <c r="AA60" s="77" t="s">
        <v>14</v>
      </c>
      <c r="AB60" s="77" t="s">
        <v>85</v>
      </c>
    </row>
    <row r="61" spans="5:28" ht="30">
      <c r="E61" s="90" t="s">
        <v>78</v>
      </c>
      <c r="F61" s="5" t="s">
        <v>79</v>
      </c>
      <c r="P61" s="90" t="s">
        <v>78</v>
      </c>
      <c r="Q61" s="36" t="s">
        <v>90</v>
      </c>
      <c r="AA61" s="90" t="s">
        <v>78</v>
      </c>
      <c r="AB61" s="36" t="s">
        <v>89</v>
      </c>
    </row>
    <row r="62" spans="5:28">
      <c r="E62" s="6" t="s">
        <v>17</v>
      </c>
      <c r="F62" s="36" t="s">
        <v>86</v>
      </c>
      <c r="P62" s="6" t="s">
        <v>17</v>
      </c>
      <c r="Q62" s="36" t="s">
        <v>18</v>
      </c>
      <c r="AA62" s="6" t="s">
        <v>17</v>
      </c>
      <c r="AB62" s="36" t="s">
        <v>91</v>
      </c>
    </row>
    <row r="63" spans="5:28">
      <c r="E63" s="6" t="s">
        <v>75</v>
      </c>
      <c r="F63" s="79">
        <f>$F$19</f>
        <v>1998670.2879773974</v>
      </c>
      <c r="P63" s="6" t="s">
        <v>75</v>
      </c>
      <c r="Q63" s="79">
        <f>$Q$19</f>
        <v>2490435.8782970319</v>
      </c>
      <c r="AA63" s="6" t="s">
        <v>75</v>
      </c>
      <c r="AB63" s="79">
        <f>$AB$19</f>
        <v>2923061.0323018264</v>
      </c>
    </row>
    <row r="64" spans="5:28">
      <c r="E64" s="6" t="s">
        <v>81</v>
      </c>
      <c r="F64" s="80">
        <v>50</v>
      </c>
      <c r="P64" s="6" t="s">
        <v>81</v>
      </c>
      <c r="Q64" s="80">
        <f>$F$64</f>
        <v>50</v>
      </c>
      <c r="AA64" s="6" t="s">
        <v>81</v>
      </c>
      <c r="AB64" s="80">
        <f>$F$64</f>
        <v>50</v>
      </c>
    </row>
    <row r="65" spans="5:28">
      <c r="E65" s="6" t="s">
        <v>76</v>
      </c>
      <c r="F65" s="70">
        <f>(F63*F64)/100</f>
        <v>999335.14398869872</v>
      </c>
      <c r="P65" s="6" t="s">
        <v>76</v>
      </c>
      <c r="Q65" s="70">
        <f>(Q63*Q64)/100</f>
        <v>1245217.9391485159</v>
      </c>
      <c r="AA65" s="6" t="s">
        <v>76</v>
      </c>
      <c r="AB65" s="70">
        <f>(AB63*AB64)/100</f>
        <v>1461530.5161509132</v>
      </c>
    </row>
    <row r="66" spans="5:28">
      <c r="E66" s="6" t="s">
        <v>80</v>
      </c>
      <c r="F66" s="79">
        <f>(F63+F65)</f>
        <v>2998005.4319660962</v>
      </c>
      <c r="P66" s="6" t="s">
        <v>80</v>
      </c>
      <c r="Q66" s="79">
        <f>(Q63+Q65)</f>
        <v>3735653.8174455478</v>
      </c>
      <c r="AA66" s="6" t="s">
        <v>80</v>
      </c>
      <c r="AB66" s="79">
        <f>(AB63+AB65)</f>
        <v>4384591.5484527396</v>
      </c>
    </row>
    <row r="67" spans="5:28">
      <c r="E67" s="78" t="s">
        <v>82</v>
      </c>
      <c r="F67" s="81"/>
      <c r="P67" s="78" t="s">
        <v>82</v>
      </c>
      <c r="Q67" s="81"/>
      <c r="AA67" s="78" t="s">
        <v>82</v>
      </c>
      <c r="AB67" s="81">
        <v>1</v>
      </c>
    </row>
    <row r="68" spans="5:28">
      <c r="E68" s="8" t="s">
        <v>87</v>
      </c>
      <c r="F68" s="82">
        <v>0.02</v>
      </c>
      <c r="P68" s="8" t="s">
        <v>87</v>
      </c>
      <c r="Q68" s="82">
        <v>0.02</v>
      </c>
      <c r="AA68" s="8" t="s">
        <v>87</v>
      </c>
      <c r="AB68" s="82">
        <v>0.02</v>
      </c>
    </row>
    <row r="72" spans="5:28">
      <c r="E72" s="347" t="s">
        <v>266</v>
      </c>
      <c r="F72" s="347"/>
      <c r="P72" s="347" t="s">
        <v>266</v>
      </c>
      <c r="Q72" s="347"/>
      <c r="AA72" s="347" t="s">
        <v>266</v>
      </c>
      <c r="AB72" s="347"/>
    </row>
    <row r="73" spans="5:28">
      <c r="E73" s="77" t="s">
        <v>14</v>
      </c>
      <c r="F73" s="77" t="s">
        <v>85</v>
      </c>
      <c r="P73" s="77" t="s">
        <v>14</v>
      </c>
      <c r="Q73" s="77" t="s">
        <v>85</v>
      </c>
      <c r="AA73" s="77" t="s">
        <v>14</v>
      </c>
      <c r="AB73" s="77" t="s">
        <v>85</v>
      </c>
    </row>
    <row r="74" spans="5:28" ht="30">
      <c r="E74" s="90" t="s">
        <v>78</v>
      </c>
      <c r="F74" s="5" t="s">
        <v>79</v>
      </c>
      <c r="P74" s="90" t="s">
        <v>78</v>
      </c>
      <c r="Q74" s="36" t="s">
        <v>90</v>
      </c>
      <c r="AA74" s="90" t="s">
        <v>78</v>
      </c>
      <c r="AB74" s="36" t="s">
        <v>89</v>
      </c>
    </row>
    <row r="75" spans="5:28">
      <c r="E75" s="6" t="s">
        <v>17</v>
      </c>
      <c r="F75" s="36" t="s">
        <v>86</v>
      </c>
      <c r="P75" s="6" t="s">
        <v>17</v>
      </c>
      <c r="Q75" s="36" t="s">
        <v>18</v>
      </c>
      <c r="AA75" s="6" t="s">
        <v>17</v>
      </c>
      <c r="AB75" s="36" t="s">
        <v>91</v>
      </c>
    </row>
    <row r="76" spans="5:28">
      <c r="E76" s="6" t="s">
        <v>75</v>
      </c>
      <c r="F76" s="79">
        <f>$F$19</f>
        <v>1998670.2879773974</v>
      </c>
      <c r="P76" s="6" t="s">
        <v>75</v>
      </c>
      <c r="Q76" s="79">
        <f>$Q$19</f>
        <v>2490435.8782970319</v>
      </c>
      <c r="AA76" s="6" t="s">
        <v>75</v>
      </c>
      <c r="AB76" s="79">
        <f>$AB$19</f>
        <v>2923061.0323018264</v>
      </c>
    </row>
    <row r="77" spans="5:28">
      <c r="E77" s="6" t="s">
        <v>81</v>
      </c>
      <c r="F77" s="80">
        <v>40</v>
      </c>
      <c r="P77" s="6" t="s">
        <v>81</v>
      </c>
      <c r="Q77" s="80">
        <f>$F$77</f>
        <v>40</v>
      </c>
      <c r="AA77" s="6" t="s">
        <v>81</v>
      </c>
      <c r="AB77" s="80">
        <f>$F$77</f>
        <v>40</v>
      </c>
    </row>
    <row r="78" spans="5:28">
      <c r="E78" s="6" t="s">
        <v>76</v>
      </c>
      <c r="F78" s="70">
        <f>(F76*F77)/100</f>
        <v>799468.11519095895</v>
      </c>
      <c r="P78" s="6" t="s">
        <v>76</v>
      </c>
      <c r="Q78" s="70">
        <f>(Q76*Q77)/100</f>
        <v>996174.3513188127</v>
      </c>
      <c r="AA78" s="6" t="s">
        <v>76</v>
      </c>
      <c r="AB78" s="70">
        <f>(AB76*AB77)/100</f>
        <v>1169224.4129207307</v>
      </c>
    </row>
    <row r="79" spans="5:28">
      <c r="E79" s="6" t="s">
        <v>80</v>
      </c>
      <c r="F79" s="79">
        <f>(F76+F78)</f>
        <v>2798138.4031683565</v>
      </c>
      <c r="P79" s="6" t="s">
        <v>80</v>
      </c>
      <c r="Q79" s="79">
        <f>(Q76+Q78)</f>
        <v>3486610.2296158448</v>
      </c>
      <c r="AA79" s="6" t="s">
        <v>80</v>
      </c>
      <c r="AB79" s="79">
        <f>(AB76+AB78)</f>
        <v>4092285.4452225571</v>
      </c>
    </row>
    <row r="80" spans="5:28">
      <c r="E80" s="78" t="s">
        <v>82</v>
      </c>
      <c r="F80" s="81"/>
      <c r="P80" s="78" t="s">
        <v>82</v>
      </c>
      <c r="Q80" s="81"/>
      <c r="AA80" s="78" t="s">
        <v>82</v>
      </c>
      <c r="AB80" s="81">
        <v>1</v>
      </c>
    </row>
    <row r="81" spans="5:28">
      <c r="E81" s="8" t="s">
        <v>87</v>
      </c>
      <c r="F81" s="82">
        <v>0.02</v>
      </c>
      <c r="P81" s="8" t="s">
        <v>87</v>
      </c>
      <c r="Q81" s="82">
        <v>0.02</v>
      </c>
      <c r="AA81" s="8" t="s">
        <v>87</v>
      </c>
      <c r="AB81" s="82">
        <v>0.02</v>
      </c>
    </row>
  </sheetData>
  <mergeCells count="31">
    <mergeCell ref="AA72:AB72"/>
    <mergeCell ref="E46:F46"/>
    <mergeCell ref="P46:Q46"/>
    <mergeCell ref="AA46:AB46"/>
    <mergeCell ref="E59:F59"/>
    <mergeCell ref="E72:F72"/>
    <mergeCell ref="P59:Q59"/>
    <mergeCell ref="P72:Q72"/>
    <mergeCell ref="AA59:AB59"/>
    <mergeCell ref="AB5:AC5"/>
    <mergeCell ref="F5:G5"/>
    <mergeCell ref="AE5:AG5"/>
    <mergeCell ref="H3:K4"/>
    <mergeCell ref="G17:K18"/>
    <mergeCell ref="AD3:AG4"/>
    <mergeCell ref="AC17:AG18"/>
    <mergeCell ref="I5:K5"/>
    <mergeCell ref="T5:V5"/>
    <mergeCell ref="Q5:R5"/>
    <mergeCell ref="E24:E25"/>
    <mergeCell ref="H24:H25"/>
    <mergeCell ref="S3:V4"/>
    <mergeCell ref="P24:P25"/>
    <mergeCell ref="R17:V18"/>
    <mergeCell ref="R24:S24"/>
    <mergeCell ref="R25:S25"/>
    <mergeCell ref="AA24:AA25"/>
    <mergeCell ref="AD24:AD25"/>
    <mergeCell ref="AB39:AC39"/>
    <mergeCell ref="F39:G39"/>
    <mergeCell ref="Q39:R3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AD98"/>
  <sheetViews>
    <sheetView topLeftCell="B1" zoomScale="85" zoomScaleNormal="85" workbookViewId="0">
      <selection activeCell="I27" sqref="I27"/>
    </sheetView>
  </sheetViews>
  <sheetFormatPr baseColWidth="10" defaultColWidth="9.140625" defaultRowHeight="15"/>
  <cols>
    <col min="2" max="2" width="36.85546875" bestFit="1" customWidth="1"/>
    <col min="3" max="3" width="19.5703125" bestFit="1" customWidth="1"/>
    <col min="4" max="4" width="15.28515625" bestFit="1" customWidth="1"/>
    <col min="5" max="5" width="15.7109375" bestFit="1" customWidth="1"/>
    <col min="6" max="7" width="15.28515625" bestFit="1" customWidth="1"/>
    <col min="8" max="8" width="15.7109375" bestFit="1" customWidth="1"/>
    <col min="9" max="10" width="17.28515625" bestFit="1" customWidth="1"/>
    <col min="12" max="12" width="36.85546875" bestFit="1" customWidth="1"/>
    <col min="13" max="13" width="26.85546875" bestFit="1" customWidth="1"/>
    <col min="14" max="14" width="23.42578125" bestFit="1" customWidth="1"/>
    <col min="15" max="15" width="15.7109375" bestFit="1" customWidth="1"/>
    <col min="16" max="16" width="15.28515625" bestFit="1" customWidth="1"/>
    <col min="17" max="17" width="14.85546875" bestFit="1" customWidth="1"/>
    <col min="18" max="19" width="15.7109375" bestFit="1" customWidth="1"/>
    <col min="20" max="20" width="17.28515625" bestFit="1" customWidth="1"/>
    <col min="22" max="22" width="36.5703125" bestFit="1" customWidth="1"/>
    <col min="23" max="23" width="26.85546875" bestFit="1" customWidth="1"/>
    <col min="24" max="24" width="15.28515625" bestFit="1" customWidth="1"/>
    <col min="25" max="25" width="15.7109375" bestFit="1" customWidth="1"/>
    <col min="26" max="26" width="15.28515625" bestFit="1" customWidth="1"/>
    <col min="27" max="27" width="14.85546875" bestFit="1" customWidth="1"/>
    <col min="28" max="28" width="16.42578125" bestFit="1" customWidth="1"/>
    <col min="29" max="29" width="17.28515625" bestFit="1" customWidth="1"/>
    <col min="30" max="30" width="16.85546875" bestFit="1" customWidth="1"/>
  </cols>
  <sheetData>
    <row r="2" spans="2:30">
      <c r="B2" s="3" t="s">
        <v>14</v>
      </c>
      <c r="C2" s="3" t="s">
        <v>15</v>
      </c>
      <c r="D2" s="87" t="s">
        <v>17</v>
      </c>
      <c r="E2" s="336"/>
      <c r="F2" s="336"/>
      <c r="G2" s="336"/>
      <c r="H2" s="336"/>
      <c r="I2" s="336"/>
      <c r="J2" s="336"/>
      <c r="K2" s="16"/>
      <c r="L2" s="3" t="s">
        <v>14</v>
      </c>
      <c r="M2" s="3" t="s">
        <v>15</v>
      </c>
      <c r="N2" s="3" t="s">
        <v>17</v>
      </c>
      <c r="O2" s="335"/>
      <c r="P2" s="352"/>
      <c r="Q2" s="352"/>
      <c r="R2" s="352"/>
      <c r="S2" s="352"/>
      <c r="T2" s="352"/>
      <c r="V2" s="3" t="s">
        <v>14</v>
      </c>
      <c r="W2" s="3" t="s">
        <v>15</v>
      </c>
      <c r="X2" s="3" t="s">
        <v>17</v>
      </c>
      <c r="Y2" s="335"/>
      <c r="Z2" s="352"/>
      <c r="AA2" s="352"/>
      <c r="AB2" s="352"/>
      <c r="AC2" s="352"/>
      <c r="AD2" s="352"/>
    </row>
    <row r="3" spans="2:30">
      <c r="B3" s="11" t="s">
        <v>58</v>
      </c>
      <c r="C3" s="4" t="s">
        <v>1</v>
      </c>
      <c r="D3" s="5" t="s">
        <v>42</v>
      </c>
      <c r="E3" s="336"/>
      <c r="F3" s="336"/>
      <c r="G3" s="336"/>
      <c r="H3" s="336"/>
      <c r="I3" s="336"/>
      <c r="J3" s="336"/>
      <c r="K3" s="88"/>
      <c r="L3" s="11" t="s">
        <v>58</v>
      </c>
      <c r="M3" s="4" t="s">
        <v>67</v>
      </c>
      <c r="N3" s="5" t="s">
        <v>42</v>
      </c>
      <c r="O3" s="335"/>
      <c r="P3" s="352"/>
      <c r="Q3" s="352"/>
      <c r="R3" s="352"/>
      <c r="S3" s="352"/>
      <c r="T3" s="352"/>
      <c r="V3" s="11" t="s">
        <v>58</v>
      </c>
      <c r="W3" s="4" t="s">
        <v>24</v>
      </c>
      <c r="X3" s="5" t="s">
        <v>42</v>
      </c>
      <c r="Y3" s="335"/>
      <c r="Z3" s="352"/>
      <c r="AA3" s="352"/>
      <c r="AB3" s="352"/>
      <c r="AC3" s="352"/>
      <c r="AD3" s="352"/>
    </row>
    <row r="4" spans="2:30" ht="30" customHeight="1">
      <c r="B4" s="13"/>
      <c r="C4" s="355" t="s">
        <v>27</v>
      </c>
      <c r="D4" s="356"/>
      <c r="E4" s="7" t="s">
        <v>12</v>
      </c>
      <c r="F4" s="372" t="s">
        <v>28</v>
      </c>
      <c r="G4" s="373"/>
      <c r="H4" s="374"/>
      <c r="I4" s="375" t="s">
        <v>63</v>
      </c>
      <c r="J4" s="376"/>
      <c r="K4" s="2"/>
      <c r="L4" s="13"/>
      <c r="M4" s="355" t="s">
        <v>27</v>
      </c>
      <c r="N4" s="356"/>
      <c r="O4" s="7" t="s">
        <v>12</v>
      </c>
      <c r="P4" s="369" t="s">
        <v>28</v>
      </c>
      <c r="Q4" s="370"/>
      <c r="R4" s="371"/>
      <c r="S4" s="365" t="s">
        <v>63</v>
      </c>
      <c r="T4" s="366"/>
      <c r="V4" s="13"/>
      <c r="W4" s="43" t="s">
        <v>27</v>
      </c>
      <c r="X4" s="41"/>
      <c r="Y4" s="7" t="s">
        <v>12</v>
      </c>
      <c r="Z4" s="357" t="s">
        <v>28</v>
      </c>
      <c r="AA4" s="358"/>
      <c r="AB4" s="359"/>
      <c r="AC4" s="367" t="s">
        <v>63</v>
      </c>
      <c r="AD4" s="368"/>
    </row>
    <row r="5" spans="2:30">
      <c r="B5" s="14"/>
      <c r="C5" s="18" t="s">
        <v>2</v>
      </c>
      <c r="D5" s="19" t="s">
        <v>13</v>
      </c>
      <c r="E5" s="20" t="s">
        <v>4</v>
      </c>
      <c r="F5" s="21" t="s">
        <v>3</v>
      </c>
      <c r="G5" s="21" t="s">
        <v>13</v>
      </c>
      <c r="H5" s="3" t="s">
        <v>92</v>
      </c>
      <c r="I5" s="75" t="s">
        <v>3</v>
      </c>
      <c r="J5" s="84" t="s">
        <v>13</v>
      </c>
      <c r="K5" s="2"/>
      <c r="L5" s="14"/>
      <c r="M5" s="18" t="s">
        <v>2</v>
      </c>
      <c r="N5" s="19" t="s">
        <v>13</v>
      </c>
      <c r="O5" s="20" t="s">
        <v>4</v>
      </c>
      <c r="P5" s="21" t="s">
        <v>3</v>
      </c>
      <c r="Q5" s="21" t="s">
        <v>13</v>
      </c>
      <c r="R5" s="3" t="s">
        <v>92</v>
      </c>
      <c r="S5" s="65" t="s">
        <v>3</v>
      </c>
      <c r="T5" s="65" t="s">
        <v>13</v>
      </c>
      <c r="V5" s="14"/>
      <c r="W5" s="18" t="s">
        <v>2</v>
      </c>
      <c r="X5" s="19" t="s">
        <v>13</v>
      </c>
      <c r="Y5" s="20" t="s">
        <v>4</v>
      </c>
      <c r="Z5" s="21" t="s">
        <v>3</v>
      </c>
      <c r="AA5" s="21" t="s">
        <v>13</v>
      </c>
      <c r="AB5" s="3" t="s">
        <v>92</v>
      </c>
      <c r="AC5" s="121" t="s">
        <v>3</v>
      </c>
      <c r="AD5" s="121" t="s">
        <v>13</v>
      </c>
    </row>
    <row r="6" spans="2:30" ht="15" customHeight="1">
      <c r="B6" s="6" t="s">
        <v>5</v>
      </c>
      <c r="C6" s="6">
        <v>24</v>
      </c>
      <c r="D6" s="6">
        <v>24</v>
      </c>
      <c r="E6" s="6">
        <v>12</v>
      </c>
      <c r="F6" s="8">
        <v>8</v>
      </c>
      <c r="G6" s="8">
        <v>8</v>
      </c>
      <c r="H6" s="8">
        <f>F6</f>
        <v>8</v>
      </c>
      <c r="I6" s="2">
        <v>40</v>
      </c>
      <c r="J6" s="52">
        <v>40</v>
      </c>
      <c r="K6" s="2"/>
      <c r="L6" s="6" t="s">
        <v>5</v>
      </c>
      <c r="M6" s="6">
        <v>24</v>
      </c>
      <c r="N6" s="6">
        <v>24</v>
      </c>
      <c r="O6" s="6">
        <v>12</v>
      </c>
      <c r="P6" s="8">
        <v>10</v>
      </c>
      <c r="Q6" s="8">
        <v>10</v>
      </c>
      <c r="R6" s="8">
        <f>P6</f>
        <v>10</v>
      </c>
      <c r="S6" s="2">
        <v>48</v>
      </c>
      <c r="T6" s="2">
        <v>48</v>
      </c>
      <c r="V6" s="6" t="s">
        <v>5</v>
      </c>
      <c r="W6" s="6">
        <v>24</v>
      </c>
      <c r="X6" s="6">
        <v>24</v>
      </c>
      <c r="Y6" s="6">
        <v>12</v>
      </c>
      <c r="Z6" s="8">
        <v>10</v>
      </c>
      <c r="AA6" s="8">
        <v>10</v>
      </c>
      <c r="AB6" s="8">
        <f>Z6</f>
        <v>10</v>
      </c>
      <c r="AC6" s="2">
        <v>56</v>
      </c>
      <c r="AD6" s="2">
        <v>56</v>
      </c>
    </row>
    <row r="7" spans="2:30">
      <c r="B7" s="5" t="s">
        <v>41</v>
      </c>
      <c r="C7" s="70">
        <f>(Nomina!$E$3)</f>
        <v>15555.9375</v>
      </c>
      <c r="D7" s="70">
        <f>Nomina!$E$6</f>
        <v>9506.7708333333339</v>
      </c>
      <c r="E7" s="70">
        <f>Nomina!$E$2</f>
        <v>15555.9375</v>
      </c>
      <c r="F7" s="70">
        <f>(Nomina!$E$3)</f>
        <v>15555.9375</v>
      </c>
      <c r="G7" s="70">
        <f>Nomina!$E$6</f>
        <v>9506.7708333333339</v>
      </c>
      <c r="H7" s="34">
        <f>Nomina!$E$7</f>
        <v>6482.1875</v>
      </c>
      <c r="I7" s="70">
        <f>(Nomina!$E$3)</f>
        <v>15555.9375</v>
      </c>
      <c r="J7" s="70">
        <f>Nomina!$E$6</f>
        <v>9506.7708333333339</v>
      </c>
      <c r="L7" s="5" t="s">
        <v>41</v>
      </c>
      <c r="M7" s="70">
        <f>(Nomina!$E$3)</f>
        <v>15555.9375</v>
      </c>
      <c r="N7" s="70">
        <f>Nomina!$E$6</f>
        <v>9506.7708333333339</v>
      </c>
      <c r="O7" s="70">
        <f>Nomina!$E$2</f>
        <v>15555.9375</v>
      </c>
      <c r="P7" s="70">
        <f>(Nomina!$E$3)</f>
        <v>15555.9375</v>
      </c>
      <c r="Q7" s="70">
        <f>Nomina!$E$6</f>
        <v>9506.7708333333339</v>
      </c>
      <c r="R7" s="34">
        <f>Nomina!$E$7</f>
        <v>6482.1875</v>
      </c>
      <c r="S7" s="70">
        <f>(Nomina!$E$3)</f>
        <v>15555.9375</v>
      </c>
      <c r="T7" s="70">
        <f>Nomina!$E$6</f>
        <v>9506.7708333333339</v>
      </c>
      <c r="V7" s="5" t="s">
        <v>41</v>
      </c>
      <c r="W7" s="70">
        <f>(Nomina!$E$3)</f>
        <v>15555.9375</v>
      </c>
      <c r="X7" s="70">
        <f>Nomina!$E$6</f>
        <v>9506.7708333333339</v>
      </c>
      <c r="Y7" s="70">
        <f>Nomina!$E$2</f>
        <v>15555.9375</v>
      </c>
      <c r="Z7" s="70">
        <f>(Nomina!$E$3)</f>
        <v>15555.9375</v>
      </c>
      <c r="AA7" s="70">
        <f>Nomina!$E$6</f>
        <v>9506.7708333333339</v>
      </c>
      <c r="AB7" s="34">
        <f>Nomina!$E$7</f>
        <v>6482.1875</v>
      </c>
      <c r="AC7" s="70">
        <f>(Nomina!$E$3)</f>
        <v>15555.9375</v>
      </c>
      <c r="AD7" s="70">
        <f>Nomina!$E$6</f>
        <v>9506.7708333333339</v>
      </c>
    </row>
    <row r="8" spans="2:30">
      <c r="B8" s="8" t="s">
        <v>6</v>
      </c>
      <c r="C8" s="24">
        <f>C6*C7</f>
        <v>373342.5</v>
      </c>
      <c r="D8" s="24">
        <f t="shared" ref="D8" si="0">D6*D7</f>
        <v>228162.5</v>
      </c>
      <c r="E8" s="24">
        <f>E6*E7</f>
        <v>186671.25</v>
      </c>
      <c r="F8" s="24">
        <f>F6*F7</f>
        <v>124447.5</v>
      </c>
      <c r="G8" s="24">
        <f t="shared" ref="G8:H8" si="1">G6*G7</f>
        <v>76054.166666666672</v>
      </c>
      <c r="H8" s="24">
        <f t="shared" si="1"/>
        <v>51857.5</v>
      </c>
      <c r="I8" s="24">
        <f>I6*I7</f>
        <v>622237.5</v>
      </c>
      <c r="J8" s="24">
        <f>J6*J7</f>
        <v>380270.83333333337</v>
      </c>
      <c r="L8" s="8" t="s">
        <v>6</v>
      </c>
      <c r="M8" s="24">
        <f>M6*M7</f>
        <v>373342.5</v>
      </c>
      <c r="N8" s="24">
        <f t="shared" ref="N8" si="2">N6*N7</f>
        <v>228162.5</v>
      </c>
      <c r="O8" s="24">
        <f>O6*O7</f>
        <v>186671.25</v>
      </c>
      <c r="P8" s="24">
        <f>P6*P7</f>
        <v>155559.375</v>
      </c>
      <c r="Q8" s="24">
        <f t="shared" ref="Q8:R8" si="3">Q6*Q7</f>
        <v>95067.708333333343</v>
      </c>
      <c r="R8" s="24">
        <f t="shared" si="3"/>
        <v>64821.875</v>
      </c>
      <c r="S8" s="24">
        <f>S6*S7</f>
        <v>746685</v>
      </c>
      <c r="T8" s="24">
        <f>T6*T7</f>
        <v>456325</v>
      </c>
      <c r="V8" s="8" t="s">
        <v>6</v>
      </c>
      <c r="W8" s="24">
        <f>W6*W7</f>
        <v>373342.5</v>
      </c>
      <c r="X8" s="24">
        <f t="shared" ref="X8" si="4">X6*X7</f>
        <v>228162.5</v>
      </c>
      <c r="Y8" s="24">
        <f>Y6*Y7</f>
        <v>186671.25</v>
      </c>
      <c r="Z8" s="24">
        <f>Z6*Z7</f>
        <v>155559.375</v>
      </c>
      <c r="AA8" s="24">
        <f t="shared" ref="AA8:AB8" si="5">AA6*AA7</f>
        <v>95067.708333333343</v>
      </c>
      <c r="AB8" s="24">
        <f t="shared" si="5"/>
        <v>64821.875</v>
      </c>
      <c r="AC8" s="24">
        <f>AC6*AC7</f>
        <v>871132.5</v>
      </c>
      <c r="AD8" s="24">
        <f>AD6*AD7</f>
        <v>532379.16666666674</v>
      </c>
    </row>
    <row r="9" spans="2:30">
      <c r="B9" s="8" t="s">
        <v>7</v>
      </c>
      <c r="C9" s="6">
        <v>300</v>
      </c>
      <c r="D9" s="6">
        <f>C9</f>
        <v>300</v>
      </c>
      <c r="E9" s="6">
        <v>0</v>
      </c>
      <c r="F9" s="8">
        <f>C9</f>
        <v>300</v>
      </c>
      <c r="G9" s="8">
        <f>C9</f>
        <v>300</v>
      </c>
      <c r="H9" s="2">
        <f>$F9</f>
        <v>300</v>
      </c>
      <c r="I9" s="2">
        <f>C9</f>
        <v>300</v>
      </c>
      <c r="J9" s="2">
        <f>D9</f>
        <v>300</v>
      </c>
      <c r="L9" s="8" t="s">
        <v>7</v>
      </c>
      <c r="M9" s="6">
        <v>300</v>
      </c>
      <c r="N9" s="6">
        <f>$M9</f>
        <v>300</v>
      </c>
      <c r="O9" s="6">
        <v>0</v>
      </c>
      <c r="P9" s="8">
        <f>M9</f>
        <v>300</v>
      </c>
      <c r="Q9" s="8">
        <f>M9</f>
        <v>300</v>
      </c>
      <c r="R9" s="2">
        <f>$F9</f>
        <v>300</v>
      </c>
      <c r="S9" s="2">
        <f>M9</f>
        <v>300</v>
      </c>
      <c r="T9" s="2">
        <f>N9</f>
        <v>300</v>
      </c>
      <c r="V9" s="8" t="s">
        <v>7</v>
      </c>
      <c r="W9" s="6">
        <v>300</v>
      </c>
      <c r="X9" s="6">
        <f>W9</f>
        <v>300</v>
      </c>
      <c r="Y9" s="6">
        <v>0</v>
      </c>
      <c r="Z9" s="8">
        <f>W9</f>
        <v>300</v>
      </c>
      <c r="AA9" s="8">
        <f>W9</f>
        <v>300</v>
      </c>
      <c r="AB9" s="2">
        <f>$F9</f>
        <v>300</v>
      </c>
      <c r="AC9" s="2">
        <f>W9</f>
        <v>300</v>
      </c>
      <c r="AD9" s="2">
        <f>X9</f>
        <v>300</v>
      </c>
    </row>
    <row r="10" spans="2:30">
      <c r="B10" s="10" t="s">
        <v>39</v>
      </c>
      <c r="C10" s="23">
        <v>100</v>
      </c>
      <c r="D10" s="23">
        <f>C10</f>
        <v>100</v>
      </c>
      <c r="E10" s="23">
        <v>0</v>
      </c>
      <c r="F10" s="34">
        <f>C10</f>
        <v>100</v>
      </c>
      <c r="G10" s="34">
        <f t="shared" ref="G10" si="6">D10</f>
        <v>100</v>
      </c>
      <c r="H10" s="23">
        <f>$F10</f>
        <v>100</v>
      </c>
      <c r="I10" s="34">
        <f>C10</f>
        <v>100</v>
      </c>
      <c r="J10" s="34">
        <f>F10</f>
        <v>100</v>
      </c>
      <c r="L10" s="10" t="s">
        <v>39</v>
      </c>
      <c r="M10" s="23">
        <v>100</v>
      </c>
      <c r="N10" s="23">
        <f>M10</f>
        <v>100</v>
      </c>
      <c r="O10" s="23">
        <v>0</v>
      </c>
      <c r="P10" s="34">
        <f>M10</f>
        <v>100</v>
      </c>
      <c r="Q10" s="34">
        <f t="shared" ref="Q10" si="7">N10</f>
        <v>100</v>
      </c>
      <c r="R10" s="23">
        <f>$F10</f>
        <v>100</v>
      </c>
      <c r="S10" s="34">
        <f>M10</f>
        <v>100</v>
      </c>
      <c r="T10" s="34">
        <f>P10</f>
        <v>100</v>
      </c>
      <c r="V10" s="10" t="s">
        <v>39</v>
      </c>
      <c r="W10" s="23">
        <v>100</v>
      </c>
      <c r="X10" s="23">
        <f>W10</f>
        <v>100</v>
      </c>
      <c r="Y10" s="23">
        <v>0</v>
      </c>
      <c r="Z10" s="34">
        <f>W10</f>
        <v>100</v>
      </c>
      <c r="AA10" s="34">
        <f t="shared" ref="AA10" si="8">X10</f>
        <v>100</v>
      </c>
      <c r="AB10" s="23">
        <f>$F10</f>
        <v>100</v>
      </c>
      <c r="AC10" s="34">
        <f>W10</f>
        <v>100</v>
      </c>
      <c r="AD10" s="34">
        <f>Z10</f>
        <v>100</v>
      </c>
    </row>
    <row r="11" spans="2:30">
      <c r="B11" s="8" t="s">
        <v>9</v>
      </c>
      <c r="C11" s="24">
        <f>(C9*C10)</f>
        <v>30000</v>
      </c>
      <c r="D11" s="24">
        <f>(D9*D10)</f>
        <v>30000</v>
      </c>
      <c r="E11" s="24">
        <f t="shared" ref="E11:H11" si="9">(E9*E10)</f>
        <v>0</v>
      </c>
      <c r="F11" s="24">
        <f t="shared" si="9"/>
        <v>30000</v>
      </c>
      <c r="G11" s="24">
        <f t="shared" si="9"/>
        <v>30000</v>
      </c>
      <c r="H11" s="24">
        <f t="shared" si="9"/>
        <v>30000</v>
      </c>
      <c r="I11" s="24">
        <f>(I9*I10)</f>
        <v>30000</v>
      </c>
      <c r="J11" s="24">
        <f>(J9*J10)</f>
        <v>30000</v>
      </c>
      <c r="L11" s="8" t="s">
        <v>9</v>
      </c>
      <c r="M11" s="24">
        <f>(M9*M10)</f>
        <v>30000</v>
      </c>
      <c r="N11" s="24">
        <f>(N9*N10)</f>
        <v>30000</v>
      </c>
      <c r="O11" s="24">
        <f t="shared" ref="O11:R11" si="10">(O9*O10)</f>
        <v>0</v>
      </c>
      <c r="P11" s="24">
        <f t="shared" si="10"/>
        <v>30000</v>
      </c>
      <c r="Q11" s="24">
        <f t="shared" si="10"/>
        <v>30000</v>
      </c>
      <c r="R11" s="24">
        <f t="shared" si="10"/>
        <v>30000</v>
      </c>
      <c r="S11" s="24">
        <f>(S9*S10)</f>
        <v>30000</v>
      </c>
      <c r="T11" s="24">
        <f>(T9*T10)</f>
        <v>30000</v>
      </c>
      <c r="V11" s="8" t="s">
        <v>9</v>
      </c>
      <c r="W11" s="24">
        <f>(W9*W10)</f>
        <v>30000</v>
      </c>
      <c r="X11" s="24">
        <f>(X9*X10)</f>
        <v>30000</v>
      </c>
      <c r="Y11" s="24">
        <f t="shared" ref="Y11:AB11" si="11">(Y9*Y10)</f>
        <v>0</v>
      </c>
      <c r="Z11" s="24">
        <f t="shared" si="11"/>
        <v>30000</v>
      </c>
      <c r="AA11" s="24">
        <f t="shared" si="11"/>
        <v>30000</v>
      </c>
      <c r="AB11" s="24">
        <f t="shared" si="11"/>
        <v>30000</v>
      </c>
      <c r="AC11" s="24">
        <f>(AC9*AC10)</f>
        <v>30000</v>
      </c>
      <c r="AD11" s="24">
        <f>(AD9*AD10)</f>
        <v>30000</v>
      </c>
    </row>
    <row r="12" spans="2:30">
      <c r="B12" s="8" t="s">
        <v>26</v>
      </c>
      <c r="C12" s="6">
        <f>(C6/8)*2</f>
        <v>6</v>
      </c>
      <c r="D12" s="6">
        <f>(D6/8)*2</f>
        <v>6</v>
      </c>
      <c r="E12" s="6">
        <v>0</v>
      </c>
      <c r="F12" s="8">
        <v>2</v>
      </c>
      <c r="G12" s="8">
        <v>2</v>
      </c>
      <c r="H12" s="37">
        <f>(H6/8)*2</f>
        <v>2</v>
      </c>
      <c r="I12" s="6">
        <f>(I6/8)*2</f>
        <v>10</v>
      </c>
      <c r="J12" s="6">
        <f>(J6/8)*2</f>
        <v>10</v>
      </c>
      <c r="L12" s="8" t="s">
        <v>26</v>
      </c>
      <c r="M12" s="6">
        <f>(M6/8)*2</f>
        <v>6</v>
      </c>
      <c r="N12" s="6">
        <f>(N6/8)*2</f>
        <v>6</v>
      </c>
      <c r="O12" s="6">
        <v>0</v>
      </c>
      <c r="P12" s="37">
        <f t="shared" ref="P12:Q12" si="12">(P6/8)*2</f>
        <v>2.5</v>
      </c>
      <c r="Q12" s="37">
        <f t="shared" si="12"/>
        <v>2.5</v>
      </c>
      <c r="R12" s="37">
        <f>(R6/8)*2</f>
        <v>2.5</v>
      </c>
      <c r="S12" s="37">
        <f>(S6/8)*2</f>
        <v>12</v>
      </c>
      <c r="T12" s="37">
        <f>(T6/8)*2</f>
        <v>12</v>
      </c>
      <c r="V12" s="8" t="s">
        <v>26</v>
      </c>
      <c r="W12" s="37">
        <f t="shared" ref="W12:AA12" si="13">(W6/8)*2</f>
        <v>6</v>
      </c>
      <c r="X12" s="37">
        <f t="shared" si="13"/>
        <v>6</v>
      </c>
      <c r="Y12" s="37">
        <v>0</v>
      </c>
      <c r="Z12" s="37">
        <f t="shared" si="13"/>
        <v>2.5</v>
      </c>
      <c r="AA12" s="37">
        <f t="shared" si="13"/>
        <v>2.5</v>
      </c>
      <c r="AB12" s="37">
        <f>(AB6/8)*2</f>
        <v>2.5</v>
      </c>
      <c r="AC12" s="37">
        <f t="shared" ref="AC12:AD12" si="14">(AC6/8)*2</f>
        <v>14</v>
      </c>
      <c r="AD12" s="37">
        <f t="shared" si="14"/>
        <v>14</v>
      </c>
    </row>
    <row r="13" spans="2:30">
      <c r="B13" s="8" t="s">
        <v>8</v>
      </c>
      <c r="C13" s="23">
        <v>10000</v>
      </c>
      <c r="D13" s="23">
        <f>C13</f>
        <v>10000</v>
      </c>
      <c r="E13" s="23">
        <v>0</v>
      </c>
      <c r="F13" s="34">
        <f>C13</f>
        <v>10000</v>
      </c>
      <c r="G13" s="34">
        <f>C13</f>
        <v>10000</v>
      </c>
      <c r="H13" s="23">
        <f t="shared" ref="H13" si="15">$F13</f>
        <v>10000</v>
      </c>
      <c r="I13" s="34">
        <f>D13</f>
        <v>10000</v>
      </c>
      <c r="J13" s="34">
        <f>C13</f>
        <v>10000</v>
      </c>
      <c r="L13" s="8" t="s">
        <v>8</v>
      </c>
      <c r="M13" s="23">
        <v>10000</v>
      </c>
      <c r="N13" s="23">
        <f>M13</f>
        <v>10000</v>
      </c>
      <c r="O13" s="23">
        <v>0</v>
      </c>
      <c r="P13" s="34">
        <f>M13</f>
        <v>10000</v>
      </c>
      <c r="Q13" s="34">
        <f>M13</f>
        <v>10000</v>
      </c>
      <c r="R13" s="23">
        <f t="shared" ref="R13" si="16">$F13</f>
        <v>10000</v>
      </c>
      <c r="S13" s="34">
        <f>N13</f>
        <v>10000</v>
      </c>
      <c r="T13" s="34">
        <f>M13</f>
        <v>10000</v>
      </c>
      <c r="V13" s="8" t="s">
        <v>8</v>
      </c>
      <c r="W13" s="23">
        <v>10000</v>
      </c>
      <c r="X13" s="23">
        <f>W13</f>
        <v>10000</v>
      </c>
      <c r="Y13" s="23">
        <v>0</v>
      </c>
      <c r="Z13" s="34">
        <f>W13</f>
        <v>10000</v>
      </c>
      <c r="AA13" s="34">
        <f>W13</f>
        <v>10000</v>
      </c>
      <c r="AB13" s="23">
        <f t="shared" ref="AB13" si="17">$F13</f>
        <v>10000</v>
      </c>
      <c r="AC13" s="34">
        <f>X13</f>
        <v>10000</v>
      </c>
      <c r="AD13" s="34">
        <f>W13</f>
        <v>10000</v>
      </c>
    </row>
    <row r="14" spans="2:30">
      <c r="B14" s="10" t="s">
        <v>40</v>
      </c>
      <c r="C14" s="24">
        <f>(C12*C13)</f>
        <v>60000</v>
      </c>
      <c r="D14" s="24">
        <f>(D12*D13)</f>
        <v>60000</v>
      </c>
      <c r="E14" s="24">
        <f t="shared" ref="E14:H14" si="18">(E12*E13)</f>
        <v>0</v>
      </c>
      <c r="F14" s="24">
        <f t="shared" si="18"/>
        <v>20000</v>
      </c>
      <c r="G14" s="24">
        <f t="shared" si="18"/>
        <v>20000</v>
      </c>
      <c r="H14" s="24">
        <f t="shared" si="18"/>
        <v>20000</v>
      </c>
      <c r="I14" s="24">
        <f>(I12*I13)</f>
        <v>100000</v>
      </c>
      <c r="J14" s="24">
        <f>(J12*J13)</f>
        <v>100000</v>
      </c>
      <c r="L14" s="10" t="s">
        <v>40</v>
      </c>
      <c r="M14" s="24">
        <f>(M12*M13)</f>
        <v>60000</v>
      </c>
      <c r="N14" s="24">
        <f>(N12*N13)</f>
        <v>60000</v>
      </c>
      <c r="O14" s="24">
        <f t="shared" ref="O14:R14" si="19">(O12*O13)</f>
        <v>0</v>
      </c>
      <c r="P14" s="24">
        <f t="shared" si="19"/>
        <v>25000</v>
      </c>
      <c r="Q14" s="24">
        <f t="shared" si="19"/>
        <v>25000</v>
      </c>
      <c r="R14" s="24">
        <f t="shared" si="19"/>
        <v>25000</v>
      </c>
      <c r="S14" s="24">
        <f>(S12*S13)</f>
        <v>120000</v>
      </c>
      <c r="T14" s="24">
        <f>(T12*T13)</f>
        <v>120000</v>
      </c>
      <c r="V14" s="10" t="s">
        <v>40</v>
      </c>
      <c r="W14" s="24">
        <f>(W12*W13)</f>
        <v>60000</v>
      </c>
      <c r="X14" s="24">
        <f>(X12*X13)</f>
        <v>60000</v>
      </c>
      <c r="Y14" s="24">
        <f t="shared" ref="Y14:AB14" si="20">(Y12*Y13)</f>
        <v>0</v>
      </c>
      <c r="Z14" s="24">
        <f t="shared" si="20"/>
        <v>25000</v>
      </c>
      <c r="AA14" s="24">
        <f t="shared" si="20"/>
        <v>25000</v>
      </c>
      <c r="AB14" s="24">
        <f t="shared" si="20"/>
        <v>25000</v>
      </c>
      <c r="AC14" s="24">
        <f>(AC12*AC13)</f>
        <v>140000</v>
      </c>
      <c r="AD14" s="24">
        <f>(AD12*AD13)</f>
        <v>140000</v>
      </c>
    </row>
    <row r="15" spans="2:30">
      <c r="B15" s="30" t="s">
        <v>182</v>
      </c>
      <c r="C15" s="31">
        <f>(C8+C11+C14)</f>
        <v>463342.5</v>
      </c>
      <c r="D15" s="31">
        <f>(D8+D11+D14)</f>
        <v>318162.5</v>
      </c>
      <c r="E15" s="31">
        <f>(E8+E11+E14)</f>
        <v>186671.25</v>
      </c>
      <c r="F15" s="31">
        <f t="shared" ref="F15:H15" si="21">(F8+F11+F14)</f>
        <v>174447.5</v>
      </c>
      <c r="G15" s="31">
        <f t="shared" si="21"/>
        <v>126054.16666666667</v>
      </c>
      <c r="H15" s="31">
        <f t="shared" si="21"/>
        <v>101857.5</v>
      </c>
      <c r="I15" s="31">
        <f>(I8+I11+I14)</f>
        <v>752237.5</v>
      </c>
      <c r="J15" s="31">
        <f>(J8+J11+J14)</f>
        <v>510270.83333333337</v>
      </c>
      <c r="L15" s="30" t="s">
        <v>182</v>
      </c>
      <c r="M15" s="31">
        <f>(M8+M11+M14)</f>
        <v>463342.5</v>
      </c>
      <c r="N15" s="31">
        <f>(N8+N11+N14)</f>
        <v>318162.5</v>
      </c>
      <c r="O15" s="31">
        <f>(O8+O11+O14)</f>
        <v>186671.25</v>
      </c>
      <c r="P15" s="31">
        <f t="shared" ref="P15:R15" si="22">(P8+P11+P14)</f>
        <v>210559.375</v>
      </c>
      <c r="Q15" s="31">
        <f t="shared" si="22"/>
        <v>150067.70833333334</v>
      </c>
      <c r="R15" s="31">
        <f t="shared" si="22"/>
        <v>119821.875</v>
      </c>
      <c r="S15" s="31">
        <f>(S8+S11+S14)</f>
        <v>896685</v>
      </c>
      <c r="T15" s="31">
        <f>(T8+T11+T14)</f>
        <v>606325</v>
      </c>
      <c r="V15" s="30" t="s">
        <v>182</v>
      </c>
      <c r="W15" s="31">
        <f>(W8+W11+W14)</f>
        <v>463342.5</v>
      </c>
      <c r="X15" s="31">
        <f>(X8+X11+X14)</f>
        <v>318162.5</v>
      </c>
      <c r="Y15" s="31">
        <f>(Y8+Y11+Y14)</f>
        <v>186671.25</v>
      </c>
      <c r="Z15" s="31">
        <f t="shared" ref="Z15:AB15" si="23">(Z8+Z11+Z14)</f>
        <v>210559.375</v>
      </c>
      <c r="AA15" s="31">
        <f t="shared" si="23"/>
        <v>150067.70833333334</v>
      </c>
      <c r="AB15" s="31">
        <f t="shared" si="23"/>
        <v>119821.875</v>
      </c>
      <c r="AC15" s="31">
        <f>(AC8+AC11+AC14)</f>
        <v>1041132.5</v>
      </c>
      <c r="AD15" s="31">
        <f>(AD8+AD11+AD14)</f>
        <v>702379.16666666674</v>
      </c>
    </row>
    <row r="16" spans="2:30">
      <c r="B16" s="8" t="s">
        <v>66</v>
      </c>
      <c r="C16" s="51">
        <f>E38</f>
        <v>10214.454644063926</v>
      </c>
      <c r="D16" s="364"/>
      <c r="E16" s="360"/>
      <c r="F16" s="360"/>
      <c r="G16" s="360"/>
      <c r="H16" s="360"/>
      <c r="I16" s="75" t="s">
        <v>64</v>
      </c>
      <c r="J16" s="76">
        <f>(I15+J15)</f>
        <v>1262508.3333333335</v>
      </c>
      <c r="L16" s="8" t="s">
        <v>66</v>
      </c>
      <c r="M16" s="51">
        <f>O38</f>
        <v>10214.454644063926</v>
      </c>
      <c r="N16" s="364"/>
      <c r="O16" s="360"/>
      <c r="P16" s="360"/>
      <c r="Q16" s="360"/>
      <c r="R16" s="360"/>
      <c r="S16" s="75" t="s">
        <v>64</v>
      </c>
      <c r="T16" s="76">
        <f>(S15+T15)</f>
        <v>1503010</v>
      </c>
      <c r="V16" s="8" t="s">
        <v>66</v>
      </c>
      <c r="W16" s="51">
        <f>Y38</f>
        <v>10214.454644063926</v>
      </c>
      <c r="X16" s="364"/>
      <c r="Y16" s="360"/>
      <c r="Z16" s="360"/>
      <c r="AA16" s="360"/>
      <c r="AB16" s="360"/>
      <c r="AC16" s="75" t="s">
        <v>64</v>
      </c>
      <c r="AD16" s="76">
        <f>(AC15+AD15)</f>
        <v>1743511.6666666667</v>
      </c>
    </row>
    <row r="17" spans="2:30">
      <c r="B17" s="65" t="s">
        <v>65</v>
      </c>
      <c r="C17" s="76">
        <f>E58</f>
        <v>40809.941863926935</v>
      </c>
      <c r="D17" s="335"/>
      <c r="E17" s="336"/>
      <c r="F17" s="336"/>
      <c r="G17" s="336"/>
      <c r="H17" s="336"/>
      <c r="I17" s="360"/>
      <c r="J17" s="360"/>
      <c r="L17" s="65" t="s">
        <v>65</v>
      </c>
      <c r="M17" s="76">
        <f>O58</f>
        <v>40809.941863926935</v>
      </c>
      <c r="N17" s="335"/>
      <c r="O17" s="336"/>
      <c r="P17" s="336"/>
      <c r="Q17" s="336"/>
      <c r="R17" s="336"/>
      <c r="S17" s="360"/>
      <c r="T17" s="360"/>
      <c r="V17" s="65" t="s">
        <v>65</v>
      </c>
      <c r="W17" s="76">
        <f>Y58</f>
        <v>40809.941863926935</v>
      </c>
      <c r="X17" s="335"/>
      <c r="Y17" s="336"/>
      <c r="Z17" s="336"/>
      <c r="AA17" s="336"/>
      <c r="AB17" s="336"/>
      <c r="AC17" s="360"/>
      <c r="AD17" s="360"/>
    </row>
    <row r="18" spans="2:30">
      <c r="B18" s="181" t="s">
        <v>287</v>
      </c>
      <c r="C18" s="204">
        <f>(Nomina!$E$9*(SUM(C6,E6,F6,I6)))</f>
        <v>1179666.25</v>
      </c>
      <c r="D18" s="335"/>
      <c r="E18" s="336"/>
      <c r="F18" s="336"/>
      <c r="G18" s="336"/>
      <c r="H18" s="336"/>
      <c r="I18" s="352"/>
      <c r="J18" s="352"/>
      <c r="L18" s="181" t="s">
        <v>287</v>
      </c>
      <c r="M18" s="204">
        <f>(Nomina!$E$9*(SUM(M6,O6,P6,S6)))</f>
        <v>1320102.7083333335</v>
      </c>
      <c r="N18" s="335"/>
      <c r="O18" s="336"/>
      <c r="P18" s="336"/>
      <c r="Q18" s="336"/>
      <c r="R18" s="336"/>
      <c r="S18" s="352"/>
      <c r="T18" s="352"/>
      <c r="V18" s="181" t="s">
        <v>287</v>
      </c>
      <c r="W18" s="204">
        <f>(Nomina!$E$9*(SUM(W6,Y6,Z6,AC6)))</f>
        <v>1432451.875</v>
      </c>
      <c r="X18" s="335"/>
      <c r="Y18" s="336"/>
      <c r="Z18" s="336"/>
      <c r="AA18" s="336"/>
      <c r="AB18" s="336"/>
      <c r="AC18" s="352"/>
      <c r="AD18" s="352"/>
    </row>
    <row r="19" spans="2:30">
      <c r="B19" s="9" t="s">
        <v>10</v>
      </c>
      <c r="C19" s="25">
        <f>SUM(C15:G15,I15,J15,C16,C17,H15,C18)</f>
        <v>3863734.396507991</v>
      </c>
      <c r="L19" s="9" t="s">
        <v>10</v>
      </c>
      <c r="M19" s="25">
        <f>SUM(M15:Q15,S15,T15,M16,M17,R15,M18)</f>
        <v>4322762.3131746575</v>
      </c>
      <c r="V19" s="9" t="s">
        <v>10</v>
      </c>
      <c r="W19" s="25">
        <f>SUM(W15:AA15,AC15,AD15,W16,W17,AB15,W18)</f>
        <v>4675613.1465079915</v>
      </c>
      <c r="X19" s="44"/>
      <c r="Y19" s="44"/>
      <c r="Z19" s="44"/>
      <c r="AA19" s="44"/>
      <c r="AB19" s="44"/>
      <c r="AC19" s="44"/>
    </row>
    <row r="20" spans="2:30">
      <c r="V20" s="44"/>
      <c r="W20" s="44"/>
      <c r="X20" s="44"/>
      <c r="Y20" s="44"/>
      <c r="Z20" s="44"/>
      <c r="AA20" s="44"/>
      <c r="AB20" s="44"/>
      <c r="AC20" s="44"/>
    </row>
    <row r="21" spans="2:30">
      <c r="V21" s="44"/>
      <c r="W21" s="44"/>
      <c r="X21" s="44"/>
      <c r="Y21" s="44"/>
      <c r="Z21" s="44"/>
      <c r="AA21" s="44"/>
      <c r="AB21" s="44"/>
      <c r="AC21" s="44"/>
    </row>
    <row r="22" spans="2:30">
      <c r="V22" s="44"/>
      <c r="W22" s="44"/>
      <c r="X22" s="44"/>
      <c r="Y22" s="44"/>
      <c r="Z22" s="44"/>
      <c r="AA22" s="44"/>
      <c r="AB22" s="44"/>
      <c r="AC22" s="44"/>
    </row>
    <row r="23" spans="2:30">
      <c r="B23" s="49" t="s">
        <v>61</v>
      </c>
      <c r="C23" s="3" t="s">
        <v>14</v>
      </c>
      <c r="D23" s="3" t="s">
        <v>15</v>
      </c>
      <c r="E23" s="335"/>
      <c r="F23" s="44"/>
      <c r="L23" s="49" t="s">
        <v>61</v>
      </c>
      <c r="M23" s="3" t="s">
        <v>14</v>
      </c>
      <c r="N23" s="3" t="s">
        <v>15</v>
      </c>
      <c r="O23" s="335"/>
      <c r="P23" s="44"/>
      <c r="V23" s="49" t="s">
        <v>61</v>
      </c>
      <c r="W23" s="3" t="s">
        <v>14</v>
      </c>
      <c r="X23" s="3" t="s">
        <v>15</v>
      </c>
      <c r="Y23" s="335"/>
      <c r="Z23" s="44"/>
      <c r="AA23" s="44"/>
      <c r="AB23" s="44"/>
      <c r="AC23" s="44"/>
    </row>
    <row r="24" spans="2:30">
      <c r="B24" s="44"/>
      <c r="C24" s="11" t="s">
        <v>58</v>
      </c>
      <c r="D24" s="11" t="s">
        <v>1</v>
      </c>
      <c r="E24" s="337"/>
      <c r="F24" s="44"/>
      <c r="L24" s="44"/>
      <c r="M24" s="11" t="s">
        <v>58</v>
      </c>
      <c r="N24" s="11" t="s">
        <v>68</v>
      </c>
      <c r="O24" s="337"/>
      <c r="P24" s="44"/>
      <c r="V24" s="44"/>
      <c r="W24" s="11" t="s">
        <v>58</v>
      </c>
      <c r="X24" s="11" t="s">
        <v>24</v>
      </c>
      <c r="Y24" s="337"/>
      <c r="Z24" s="44"/>
      <c r="AA24" s="44"/>
      <c r="AB24" s="44"/>
      <c r="AC24" s="44"/>
    </row>
    <row r="25" spans="2:30" ht="30">
      <c r="B25" s="38" t="s">
        <v>30</v>
      </c>
      <c r="C25" s="15" t="s">
        <v>59</v>
      </c>
      <c r="D25" s="38" t="s">
        <v>36</v>
      </c>
      <c r="E25" s="38" t="s">
        <v>37</v>
      </c>
      <c r="F25" s="44"/>
      <c r="L25" s="38" t="s">
        <v>30</v>
      </c>
      <c r="M25" s="42" t="s">
        <v>59</v>
      </c>
      <c r="N25" s="38" t="s">
        <v>36</v>
      </c>
      <c r="O25" s="38" t="s">
        <v>37</v>
      </c>
      <c r="P25" s="44"/>
      <c r="V25" s="38" t="s">
        <v>30</v>
      </c>
      <c r="W25" s="42" t="s">
        <v>59</v>
      </c>
      <c r="X25" s="38" t="s">
        <v>36</v>
      </c>
      <c r="Y25" s="38" t="s">
        <v>37</v>
      </c>
      <c r="Z25" s="44"/>
      <c r="AA25" s="44"/>
      <c r="AB25" s="44"/>
      <c r="AC25" s="44"/>
    </row>
    <row r="26" spans="2:30">
      <c r="B26" s="26" t="s">
        <v>35</v>
      </c>
      <c r="C26" s="2">
        <f>C6+E6</f>
        <v>36</v>
      </c>
      <c r="D26" s="35">
        <f>'Depreciacion equipos'!P45</f>
        <v>15.399543378995434</v>
      </c>
      <c r="E26" s="35">
        <f>C26*D26</f>
        <v>554.38356164383561</v>
      </c>
      <c r="F26" s="44"/>
      <c r="L26" s="26" t="s">
        <v>35</v>
      </c>
      <c r="M26" s="2">
        <f>M6+O6</f>
        <v>36</v>
      </c>
      <c r="N26" s="35">
        <f>'Depreciacion equipos'!P45</f>
        <v>15.399543378995434</v>
      </c>
      <c r="O26" s="35">
        <f>M26*N26</f>
        <v>554.38356164383561</v>
      </c>
      <c r="P26" s="44"/>
      <c r="V26" s="26" t="s">
        <v>35</v>
      </c>
      <c r="W26" s="2">
        <f>W6+Y6</f>
        <v>36</v>
      </c>
      <c r="X26" s="35">
        <f>'Depreciacion equipos'!P45</f>
        <v>15.399543378995434</v>
      </c>
      <c r="Y26" s="35">
        <f>W26*X26</f>
        <v>554.38356164383561</v>
      </c>
      <c r="Z26" s="44"/>
      <c r="AA26" s="44"/>
      <c r="AB26" s="44"/>
      <c r="AC26" s="44"/>
    </row>
    <row r="27" spans="2:30">
      <c r="B27" s="27" t="s">
        <v>31</v>
      </c>
      <c r="C27" s="2">
        <v>72</v>
      </c>
      <c r="D27" s="35">
        <f>'Depreciacion equipos'!P46</f>
        <v>125.57077625570776</v>
      </c>
      <c r="E27" s="35">
        <f t="shared" ref="E27:E37" si="24">C27*D27</f>
        <v>9041.0958904109575</v>
      </c>
      <c r="F27" s="44"/>
      <c r="L27" s="27" t="s">
        <v>31</v>
      </c>
      <c r="M27" s="2">
        <v>72</v>
      </c>
      <c r="N27" s="35">
        <f>'Depreciacion equipos'!P46</f>
        <v>125.57077625570776</v>
      </c>
      <c r="O27" s="35">
        <f t="shared" ref="O27:O37" si="25">M27*N27</f>
        <v>9041.0958904109575</v>
      </c>
      <c r="P27" s="44"/>
      <c r="V27" s="27" t="s">
        <v>31</v>
      </c>
      <c r="W27" s="2">
        <v>72</v>
      </c>
      <c r="X27" s="35">
        <f>'Depreciacion equipos'!P46</f>
        <v>125.57077625570776</v>
      </c>
      <c r="Y27" s="35">
        <f t="shared" ref="Y27:Y37" si="26">W27*X27</f>
        <v>9041.0958904109575</v>
      </c>
      <c r="Z27" s="44"/>
      <c r="AA27" s="44"/>
      <c r="AB27" s="44"/>
      <c r="AC27" s="44"/>
    </row>
    <row r="28" spans="2:30">
      <c r="B28" s="26" t="s">
        <v>47</v>
      </c>
      <c r="C28" s="2">
        <f>C6</f>
        <v>24</v>
      </c>
      <c r="D28" s="35">
        <f>'Depreciacion equipos'!P47</f>
        <v>6.384703196347032</v>
      </c>
      <c r="E28" s="35">
        <f t="shared" si="24"/>
        <v>153.23287671232876</v>
      </c>
      <c r="F28" s="44"/>
      <c r="L28" s="26" t="s">
        <v>47</v>
      </c>
      <c r="M28" s="2">
        <f>M6</f>
        <v>24</v>
      </c>
      <c r="N28" s="35">
        <f>'Depreciacion equipos'!P47</f>
        <v>6.384703196347032</v>
      </c>
      <c r="O28" s="35">
        <f t="shared" si="25"/>
        <v>153.23287671232876</v>
      </c>
      <c r="P28" s="44"/>
      <c r="V28" s="26" t="s">
        <v>47</v>
      </c>
      <c r="W28" s="2">
        <f>W6</f>
        <v>24</v>
      </c>
      <c r="X28" s="35">
        <f>'Depreciacion equipos'!P47</f>
        <v>6.384703196347032</v>
      </c>
      <c r="Y28" s="35">
        <f t="shared" si="26"/>
        <v>153.23287671232876</v>
      </c>
      <c r="Z28" s="44"/>
      <c r="AA28" s="44"/>
      <c r="AB28" s="44"/>
      <c r="AC28" s="44"/>
    </row>
    <row r="29" spans="2:30">
      <c r="B29" s="26" t="s">
        <v>48</v>
      </c>
      <c r="C29" s="2">
        <f>C6</f>
        <v>24</v>
      </c>
      <c r="D29" s="35">
        <f>'Depreciacion equipos'!P48</f>
        <v>9.9166666666666661</v>
      </c>
      <c r="E29" s="35">
        <f t="shared" si="24"/>
        <v>238</v>
      </c>
      <c r="F29" s="44"/>
      <c r="L29" s="26" t="s">
        <v>48</v>
      </c>
      <c r="M29" s="2">
        <f>M6</f>
        <v>24</v>
      </c>
      <c r="N29" s="35">
        <f>'Depreciacion equipos'!P48</f>
        <v>9.9166666666666661</v>
      </c>
      <c r="O29" s="35">
        <f t="shared" si="25"/>
        <v>238</v>
      </c>
      <c r="P29" s="44"/>
      <c r="V29" s="26" t="s">
        <v>48</v>
      </c>
      <c r="W29" s="2">
        <f>W6</f>
        <v>24</v>
      </c>
      <c r="X29" s="35">
        <f>'Depreciacion equipos'!P48</f>
        <v>9.9166666666666661</v>
      </c>
      <c r="Y29" s="35">
        <f t="shared" si="26"/>
        <v>238</v>
      </c>
      <c r="Z29" s="44"/>
      <c r="AA29" s="44"/>
      <c r="AB29" s="44"/>
      <c r="AC29" s="44"/>
    </row>
    <row r="30" spans="2:30">
      <c r="B30" s="26" t="s">
        <v>49</v>
      </c>
      <c r="C30" s="2">
        <f>C6</f>
        <v>24</v>
      </c>
      <c r="D30" s="35">
        <f>'Depreciacion equipos'!P49</f>
        <v>2.7828424657534243</v>
      </c>
      <c r="E30" s="35">
        <f t="shared" si="24"/>
        <v>66.788219178082187</v>
      </c>
      <c r="F30" s="44"/>
      <c r="L30" s="26" t="s">
        <v>49</v>
      </c>
      <c r="M30" s="2">
        <f>M6</f>
        <v>24</v>
      </c>
      <c r="N30" s="35">
        <f>'Depreciacion equipos'!P49</f>
        <v>2.7828424657534243</v>
      </c>
      <c r="O30" s="35">
        <f t="shared" si="25"/>
        <v>66.788219178082187</v>
      </c>
      <c r="P30" s="44"/>
      <c r="V30" s="26" t="s">
        <v>49</v>
      </c>
      <c r="W30" s="2">
        <f>W6</f>
        <v>24</v>
      </c>
      <c r="X30" s="35">
        <f>'Depreciacion equipos'!P49</f>
        <v>2.7828424657534243</v>
      </c>
      <c r="Y30" s="35">
        <f t="shared" si="26"/>
        <v>66.788219178082187</v>
      </c>
      <c r="Z30" s="44"/>
      <c r="AA30" s="44"/>
      <c r="AB30" s="44"/>
      <c r="AC30" s="44"/>
    </row>
    <row r="31" spans="2:30">
      <c r="B31" s="27" t="s">
        <v>32</v>
      </c>
      <c r="C31" s="2">
        <v>1</v>
      </c>
      <c r="D31" s="35">
        <f>'Depreciacion equipos'!P50</f>
        <v>0.47640753424657528</v>
      </c>
      <c r="E31" s="35">
        <f t="shared" si="24"/>
        <v>0.47640753424657528</v>
      </c>
      <c r="F31" s="44"/>
      <c r="L31" s="27" t="s">
        <v>32</v>
      </c>
      <c r="M31" s="2">
        <v>1</v>
      </c>
      <c r="N31" s="35">
        <f>'Depreciacion equipos'!P50</f>
        <v>0.47640753424657528</v>
      </c>
      <c r="O31" s="35">
        <f t="shared" si="25"/>
        <v>0.47640753424657528</v>
      </c>
      <c r="P31" s="44"/>
      <c r="V31" s="27" t="s">
        <v>32</v>
      </c>
      <c r="W31" s="2">
        <v>1</v>
      </c>
      <c r="X31" s="35">
        <f>'Depreciacion equipos'!P50</f>
        <v>0.47640753424657528</v>
      </c>
      <c r="Y31" s="35">
        <f t="shared" si="26"/>
        <v>0.47640753424657528</v>
      </c>
      <c r="Z31" s="44"/>
      <c r="AA31" s="44"/>
      <c r="AB31" s="44"/>
      <c r="AC31" s="44"/>
    </row>
    <row r="32" spans="2:30">
      <c r="B32" s="26" t="s">
        <v>50</v>
      </c>
      <c r="C32" s="2">
        <v>4</v>
      </c>
      <c r="D32" s="35">
        <f>'Depreciacion equipos'!P51</f>
        <v>21.118721461187214</v>
      </c>
      <c r="E32" s="35">
        <f t="shared" si="24"/>
        <v>84.474885844748854</v>
      </c>
      <c r="F32" s="44"/>
      <c r="L32" s="26" t="s">
        <v>50</v>
      </c>
      <c r="M32" s="2">
        <v>4</v>
      </c>
      <c r="N32" s="35">
        <f>'Depreciacion equipos'!P51</f>
        <v>21.118721461187214</v>
      </c>
      <c r="O32" s="35">
        <f t="shared" si="25"/>
        <v>84.474885844748854</v>
      </c>
      <c r="P32" s="44"/>
      <c r="V32" s="26" t="s">
        <v>50</v>
      </c>
      <c r="W32" s="2">
        <v>4</v>
      </c>
      <c r="X32" s="35">
        <f>'Depreciacion equipos'!P51</f>
        <v>21.118721461187214</v>
      </c>
      <c r="Y32" s="35">
        <f t="shared" si="26"/>
        <v>84.474885844748854</v>
      </c>
      <c r="Z32" s="44"/>
      <c r="AA32" s="44"/>
      <c r="AB32" s="44"/>
      <c r="AC32" s="44"/>
    </row>
    <row r="33" spans="2:29">
      <c r="B33" s="26" t="s">
        <v>51</v>
      </c>
      <c r="C33" s="2">
        <v>1</v>
      </c>
      <c r="D33" s="35">
        <f>'Depreciacion equipos'!P52</f>
        <v>14.845268493150684</v>
      </c>
      <c r="E33" s="35">
        <f t="shared" si="24"/>
        <v>14.845268493150684</v>
      </c>
      <c r="F33" s="44"/>
      <c r="L33" s="26" t="s">
        <v>51</v>
      </c>
      <c r="M33" s="2">
        <v>1</v>
      </c>
      <c r="N33" s="35">
        <f>'Depreciacion equipos'!P52</f>
        <v>14.845268493150684</v>
      </c>
      <c r="O33" s="35">
        <f t="shared" si="25"/>
        <v>14.845268493150684</v>
      </c>
      <c r="P33" s="44"/>
      <c r="V33" s="26" t="s">
        <v>51</v>
      </c>
      <c r="W33" s="2">
        <v>1</v>
      </c>
      <c r="X33" s="35">
        <f>'Depreciacion equipos'!P52</f>
        <v>14.845268493150684</v>
      </c>
      <c r="Y33" s="35">
        <f t="shared" si="26"/>
        <v>14.845268493150684</v>
      </c>
      <c r="Z33" s="44"/>
      <c r="AA33" s="44"/>
      <c r="AB33" s="44"/>
      <c r="AC33" s="44"/>
    </row>
    <row r="34" spans="2:29">
      <c r="B34" s="27" t="s">
        <v>33</v>
      </c>
      <c r="C34" s="2">
        <v>2</v>
      </c>
      <c r="D34" s="35">
        <f>'Depreciacion equipos'!P53</f>
        <v>4.5650684931506849</v>
      </c>
      <c r="E34" s="35">
        <f t="shared" si="24"/>
        <v>9.1301369863013697</v>
      </c>
      <c r="F34" s="44"/>
      <c r="L34" s="27" t="s">
        <v>33</v>
      </c>
      <c r="M34" s="2">
        <v>2</v>
      </c>
      <c r="N34" s="35">
        <f>'Depreciacion equipos'!P53</f>
        <v>4.5650684931506849</v>
      </c>
      <c r="O34" s="35">
        <f t="shared" si="25"/>
        <v>9.1301369863013697</v>
      </c>
      <c r="P34" s="44"/>
      <c r="V34" s="27" t="s">
        <v>33</v>
      </c>
      <c r="W34" s="2">
        <v>2</v>
      </c>
      <c r="X34" s="35">
        <f>'Depreciacion equipos'!P53</f>
        <v>4.5650684931506849</v>
      </c>
      <c r="Y34" s="35">
        <f t="shared" si="26"/>
        <v>9.1301369863013697</v>
      </c>
      <c r="Z34" s="44"/>
      <c r="AA34" s="44"/>
      <c r="AB34" s="44"/>
      <c r="AC34" s="44"/>
    </row>
    <row r="35" spans="2:29">
      <c r="B35" s="27" t="s">
        <v>34</v>
      </c>
      <c r="C35" s="2">
        <f>C27</f>
        <v>72</v>
      </c>
      <c r="D35" s="35">
        <f>'Depreciacion equipos'!P54</f>
        <v>0.45662100456621002</v>
      </c>
      <c r="E35" s="35">
        <f t="shared" si="24"/>
        <v>32.87671232876712</v>
      </c>
      <c r="F35" s="44"/>
      <c r="L35" s="27" t="s">
        <v>34</v>
      </c>
      <c r="M35" s="2">
        <f>M27</f>
        <v>72</v>
      </c>
      <c r="N35" s="35">
        <f>'Depreciacion equipos'!P54</f>
        <v>0.45662100456621002</v>
      </c>
      <c r="O35" s="35">
        <f t="shared" si="25"/>
        <v>32.87671232876712</v>
      </c>
      <c r="P35" s="44"/>
      <c r="V35" s="27" t="s">
        <v>34</v>
      </c>
      <c r="W35" s="2">
        <f>W27</f>
        <v>72</v>
      </c>
      <c r="X35" s="35">
        <f>'Depreciacion equipos'!P54</f>
        <v>0.45662100456621002</v>
      </c>
      <c r="Y35" s="35">
        <f t="shared" si="26"/>
        <v>32.87671232876712</v>
      </c>
      <c r="Z35" s="44"/>
      <c r="AA35" s="44"/>
      <c r="AB35" s="44"/>
      <c r="AC35" s="44"/>
    </row>
    <row r="36" spans="2:29">
      <c r="B36" s="26" t="s">
        <v>43</v>
      </c>
      <c r="C36" s="2">
        <f>C6</f>
        <v>24</v>
      </c>
      <c r="D36" s="35">
        <f>'Depreciacion equipos'!P55</f>
        <v>0.79794520547945202</v>
      </c>
      <c r="E36" s="35">
        <f t="shared" si="24"/>
        <v>19.150684931506849</v>
      </c>
      <c r="F36" s="44"/>
      <c r="L36" s="26" t="s">
        <v>43</v>
      </c>
      <c r="M36" s="2">
        <f>M6</f>
        <v>24</v>
      </c>
      <c r="N36" s="35">
        <f>'Depreciacion equipos'!P55</f>
        <v>0.79794520547945202</v>
      </c>
      <c r="O36" s="35">
        <f t="shared" si="25"/>
        <v>19.150684931506849</v>
      </c>
      <c r="P36" s="44"/>
      <c r="V36" s="26" t="s">
        <v>43</v>
      </c>
      <c r="W36" s="2">
        <f>W6</f>
        <v>24</v>
      </c>
      <c r="X36" s="35">
        <f>'Depreciacion equipos'!P55</f>
        <v>0.79794520547945202</v>
      </c>
      <c r="Y36" s="35">
        <f t="shared" si="26"/>
        <v>19.150684931506849</v>
      </c>
      <c r="Z36" s="44"/>
      <c r="AA36" s="44"/>
      <c r="AB36" s="44"/>
      <c r="AC36" s="44"/>
    </row>
    <row r="37" spans="2:29">
      <c r="B37" s="28" t="s">
        <v>52</v>
      </c>
      <c r="C37" s="2">
        <v>4</v>
      </c>
      <c r="D37" s="35">
        <f>'Depreciacion equipos'!P56</f>
        <v>1.7111872146118721</v>
      </c>
      <c r="E37" s="35">
        <f t="shared" si="24"/>
        <v>6.8447488584474883</v>
      </c>
      <c r="F37" s="44"/>
      <c r="L37" s="28" t="s">
        <v>52</v>
      </c>
      <c r="M37" s="2">
        <v>4</v>
      </c>
      <c r="N37" s="35">
        <f>'Depreciacion equipos'!P56</f>
        <v>1.7111872146118721</v>
      </c>
      <c r="O37" s="35">
        <f t="shared" si="25"/>
        <v>6.8447488584474883</v>
      </c>
      <c r="P37" s="44"/>
      <c r="V37" s="28" t="s">
        <v>52</v>
      </c>
      <c r="W37" s="2">
        <v>4</v>
      </c>
      <c r="X37" s="35">
        <f>'Depreciacion equipos'!P56</f>
        <v>1.7111872146118721</v>
      </c>
      <c r="Y37" s="35">
        <f t="shared" si="26"/>
        <v>6.8447488584474883</v>
      </c>
      <c r="Z37" s="44"/>
      <c r="AA37" s="44"/>
      <c r="AB37" s="44"/>
      <c r="AC37" s="44"/>
    </row>
    <row r="38" spans="2:29">
      <c r="B38" s="48" t="s">
        <v>38</v>
      </c>
      <c r="C38" s="363"/>
      <c r="D38" s="351"/>
      <c r="E38" s="39">
        <f>SUM(E26:E36)</f>
        <v>10214.454644063926</v>
      </c>
      <c r="L38" s="48" t="s">
        <v>38</v>
      </c>
      <c r="M38" s="363"/>
      <c r="N38" s="351"/>
      <c r="O38" s="39">
        <f>SUM(O26:O36)</f>
        <v>10214.454644063926</v>
      </c>
      <c r="V38" s="48" t="s">
        <v>38</v>
      </c>
      <c r="W38" s="363"/>
      <c r="X38" s="351"/>
      <c r="Y38" s="39">
        <f>SUM(Y26:Y36)</f>
        <v>10214.454644063926</v>
      </c>
      <c r="AA38" s="44"/>
      <c r="AB38" s="44"/>
      <c r="AC38" s="44"/>
    </row>
    <row r="39" spans="2:29">
      <c r="L39" s="44"/>
      <c r="M39" s="44"/>
      <c r="N39" s="44"/>
      <c r="O39" s="44"/>
      <c r="P39" s="44"/>
      <c r="V39" s="44"/>
      <c r="W39" s="44"/>
      <c r="X39" s="44"/>
      <c r="Y39" s="44"/>
      <c r="Z39" s="44"/>
      <c r="AA39" s="44"/>
      <c r="AB39" s="44"/>
      <c r="AC39" s="44"/>
    </row>
    <row r="40" spans="2:29">
      <c r="L40" s="44"/>
      <c r="M40" s="44"/>
      <c r="N40" s="44"/>
      <c r="O40" s="44"/>
      <c r="P40" s="44"/>
      <c r="V40" s="44"/>
      <c r="W40" s="44"/>
      <c r="X40" s="44"/>
      <c r="Y40" s="44"/>
      <c r="Z40" s="44"/>
      <c r="AA40" s="44"/>
      <c r="AB40" s="44"/>
      <c r="AC40" s="44"/>
    </row>
    <row r="41" spans="2:29">
      <c r="L41" s="44"/>
      <c r="M41" s="44"/>
      <c r="N41" s="44"/>
      <c r="O41" s="44"/>
      <c r="P41" s="44"/>
      <c r="V41" s="44"/>
      <c r="W41" s="44"/>
      <c r="X41" s="44"/>
      <c r="Y41" s="44"/>
      <c r="Z41" s="44"/>
      <c r="AA41" s="44"/>
      <c r="AB41" s="44"/>
      <c r="AC41" s="44"/>
    </row>
    <row r="42" spans="2:29">
      <c r="L42" s="44"/>
      <c r="M42" s="44"/>
      <c r="N42" s="44"/>
      <c r="O42" s="44"/>
      <c r="P42" s="44"/>
      <c r="V42" s="44"/>
      <c r="W42" s="44"/>
      <c r="X42" s="44"/>
      <c r="Y42" s="44"/>
      <c r="Z42" s="44"/>
      <c r="AA42" s="44"/>
      <c r="AB42" s="44"/>
      <c r="AC42" s="44"/>
    </row>
    <row r="43" spans="2:29">
      <c r="B43" s="47" t="s">
        <v>60</v>
      </c>
      <c r="C43" s="3" t="s">
        <v>14</v>
      </c>
      <c r="D43" s="3" t="s">
        <v>15</v>
      </c>
      <c r="E43" s="44"/>
      <c r="F43" s="44"/>
      <c r="L43" s="47" t="s">
        <v>60</v>
      </c>
      <c r="M43" s="3" t="s">
        <v>14</v>
      </c>
      <c r="N43" s="3" t="s">
        <v>15</v>
      </c>
      <c r="O43" s="44"/>
      <c r="P43" s="44"/>
      <c r="V43" s="47" t="s">
        <v>60</v>
      </c>
      <c r="W43" s="3" t="s">
        <v>14</v>
      </c>
      <c r="X43" s="3" t="s">
        <v>15</v>
      </c>
      <c r="Y43" s="44"/>
      <c r="Z43" s="44"/>
      <c r="AA43" s="44"/>
      <c r="AB43" s="44"/>
      <c r="AC43" s="44"/>
    </row>
    <row r="44" spans="2:29">
      <c r="B44" s="1" t="s">
        <v>62</v>
      </c>
      <c r="C44" s="11" t="s">
        <v>58</v>
      </c>
      <c r="D44" s="11" t="s">
        <v>1</v>
      </c>
      <c r="E44" s="44"/>
      <c r="F44" s="44"/>
      <c r="L44" s="1" t="s">
        <v>62</v>
      </c>
      <c r="M44" s="11" t="s">
        <v>58</v>
      </c>
      <c r="N44" s="11" t="s">
        <v>68</v>
      </c>
      <c r="O44" s="44"/>
      <c r="P44" s="44"/>
      <c r="V44" s="1" t="s">
        <v>62</v>
      </c>
      <c r="W44" s="11" t="s">
        <v>58</v>
      </c>
      <c r="X44" s="11" t="s">
        <v>24</v>
      </c>
      <c r="Y44" s="44"/>
      <c r="Z44" s="44"/>
      <c r="AA44" s="44"/>
      <c r="AB44" s="44"/>
      <c r="AC44" s="44"/>
    </row>
    <row r="45" spans="2:29" ht="30">
      <c r="B45" s="38" t="s">
        <v>30</v>
      </c>
      <c r="C45" s="15" t="s">
        <v>57</v>
      </c>
      <c r="D45" s="38" t="s">
        <v>36</v>
      </c>
      <c r="E45" s="38" t="s">
        <v>37</v>
      </c>
      <c r="F45" s="44"/>
      <c r="L45" s="38" t="s">
        <v>30</v>
      </c>
      <c r="M45" s="42" t="s">
        <v>57</v>
      </c>
      <c r="N45" s="38" t="s">
        <v>36</v>
      </c>
      <c r="O45" s="38" t="s">
        <v>37</v>
      </c>
      <c r="P45" s="44"/>
      <c r="V45" s="38" t="s">
        <v>30</v>
      </c>
      <c r="W45" s="42" t="s">
        <v>57</v>
      </c>
      <c r="X45" s="38" t="s">
        <v>36</v>
      </c>
      <c r="Y45" s="38" t="s">
        <v>37</v>
      </c>
      <c r="Z45" s="44"/>
      <c r="AA45" s="44"/>
      <c r="AB45" s="44"/>
      <c r="AC45" s="44"/>
    </row>
    <row r="46" spans="2:29">
      <c r="B46" s="26" t="s">
        <v>35</v>
      </c>
      <c r="C46" s="2">
        <v>144</v>
      </c>
      <c r="D46" s="35">
        <f>'Depreciacion equipos'!P45</f>
        <v>15.399543378995434</v>
      </c>
      <c r="E46" s="35">
        <f>C46*D46</f>
        <v>2217.5342465753424</v>
      </c>
      <c r="F46" s="44"/>
      <c r="L46" s="26" t="s">
        <v>35</v>
      </c>
      <c r="M46" s="2">
        <v>144</v>
      </c>
      <c r="N46" s="35">
        <f>'Depreciacion equipos'!P45</f>
        <v>15.399543378995434</v>
      </c>
      <c r="O46" s="35">
        <f>M46*N46</f>
        <v>2217.5342465753424</v>
      </c>
      <c r="P46" s="44"/>
      <c r="V46" s="26" t="s">
        <v>35</v>
      </c>
      <c r="W46" s="2">
        <v>144</v>
      </c>
      <c r="X46" s="35">
        <f>'Depreciacion equipos'!P45</f>
        <v>15.399543378995434</v>
      </c>
      <c r="Y46" s="35">
        <f>W46*X46</f>
        <v>2217.5342465753424</v>
      </c>
      <c r="Z46" s="44"/>
      <c r="AA46" s="44"/>
      <c r="AB46" s="44"/>
      <c r="AC46" s="44"/>
    </row>
    <row r="47" spans="2:29">
      <c r="B47" s="27" t="s">
        <v>31</v>
      </c>
      <c r="C47" s="2">
        <v>288</v>
      </c>
      <c r="D47" s="35">
        <f>'Depreciacion equipos'!P46</f>
        <v>125.57077625570776</v>
      </c>
      <c r="E47" s="35">
        <f t="shared" ref="E47:E57" si="27">C47*D47</f>
        <v>36164.38356164383</v>
      </c>
      <c r="F47" s="44"/>
      <c r="L47" s="27" t="s">
        <v>31</v>
      </c>
      <c r="M47" s="2">
        <v>288</v>
      </c>
      <c r="N47" s="35">
        <f>'Depreciacion equipos'!P46</f>
        <v>125.57077625570776</v>
      </c>
      <c r="O47" s="35">
        <f t="shared" ref="O47:O57" si="28">M47*N47</f>
        <v>36164.38356164383</v>
      </c>
      <c r="P47" s="44"/>
      <c r="V47" s="27" t="s">
        <v>31</v>
      </c>
      <c r="W47" s="2">
        <v>288</v>
      </c>
      <c r="X47" s="35">
        <f>'Depreciacion equipos'!P46</f>
        <v>125.57077625570776</v>
      </c>
      <c r="Y47" s="35">
        <f t="shared" ref="Y47:Y57" si="29">W47*X47</f>
        <v>36164.38356164383</v>
      </c>
      <c r="Z47" s="44"/>
      <c r="AA47" s="44"/>
      <c r="AB47" s="44"/>
      <c r="AC47" s="44"/>
    </row>
    <row r="48" spans="2:29">
      <c r="B48" s="26" t="s">
        <v>47</v>
      </c>
      <c r="C48" s="2">
        <v>96</v>
      </c>
      <c r="D48" s="35">
        <f>'Depreciacion equipos'!P47</f>
        <v>6.384703196347032</v>
      </c>
      <c r="E48" s="35">
        <f t="shared" si="27"/>
        <v>612.93150684931504</v>
      </c>
      <c r="F48" s="44"/>
      <c r="L48" s="26" t="s">
        <v>47</v>
      </c>
      <c r="M48" s="2">
        <v>96</v>
      </c>
      <c r="N48" s="35">
        <f>'Depreciacion equipos'!P47</f>
        <v>6.384703196347032</v>
      </c>
      <c r="O48" s="35">
        <f t="shared" si="28"/>
        <v>612.93150684931504</v>
      </c>
      <c r="P48" s="44"/>
      <c r="V48" s="26" t="s">
        <v>47</v>
      </c>
      <c r="W48" s="2">
        <v>96</v>
      </c>
      <c r="X48" s="35">
        <f>'Depreciacion equipos'!P47</f>
        <v>6.384703196347032</v>
      </c>
      <c r="Y48" s="35">
        <f t="shared" si="29"/>
        <v>612.93150684931504</v>
      </c>
      <c r="Z48" s="44"/>
      <c r="AA48" s="44"/>
      <c r="AB48" s="44"/>
      <c r="AC48" s="44"/>
    </row>
    <row r="49" spans="2:29">
      <c r="B49" s="26" t="s">
        <v>48</v>
      </c>
      <c r="C49" s="2">
        <v>96</v>
      </c>
      <c r="D49" s="35">
        <f>'Depreciacion equipos'!P48</f>
        <v>9.9166666666666661</v>
      </c>
      <c r="E49" s="35">
        <f t="shared" si="27"/>
        <v>952</v>
      </c>
      <c r="F49" s="44"/>
      <c r="L49" s="26" t="s">
        <v>48</v>
      </c>
      <c r="M49" s="2">
        <v>96</v>
      </c>
      <c r="N49" s="35">
        <f>'Depreciacion equipos'!P48</f>
        <v>9.9166666666666661</v>
      </c>
      <c r="O49" s="35">
        <f t="shared" si="28"/>
        <v>952</v>
      </c>
      <c r="P49" s="44"/>
      <c r="V49" s="26" t="s">
        <v>48</v>
      </c>
      <c r="W49" s="2">
        <v>96</v>
      </c>
      <c r="X49" s="35">
        <f>'Depreciacion equipos'!P48</f>
        <v>9.9166666666666661</v>
      </c>
      <c r="Y49" s="35">
        <f t="shared" si="29"/>
        <v>952</v>
      </c>
      <c r="Z49" s="44"/>
      <c r="AA49" s="44"/>
      <c r="AB49" s="44"/>
      <c r="AC49" s="44"/>
    </row>
    <row r="50" spans="2:29">
      <c r="B50" s="26" t="s">
        <v>49</v>
      </c>
      <c r="C50" s="2">
        <v>96</v>
      </c>
      <c r="D50" s="35">
        <f>'Depreciacion equipos'!P49</f>
        <v>2.7828424657534243</v>
      </c>
      <c r="E50" s="35">
        <f t="shared" si="27"/>
        <v>267.15287671232875</v>
      </c>
      <c r="F50" s="44"/>
      <c r="L50" s="26" t="s">
        <v>49</v>
      </c>
      <c r="M50" s="2">
        <v>96</v>
      </c>
      <c r="N50" s="35">
        <f>'Depreciacion equipos'!P49</f>
        <v>2.7828424657534243</v>
      </c>
      <c r="O50" s="35">
        <f t="shared" si="28"/>
        <v>267.15287671232875</v>
      </c>
      <c r="P50" s="44"/>
      <c r="V50" s="26" t="s">
        <v>49</v>
      </c>
      <c r="W50" s="2">
        <v>96</v>
      </c>
      <c r="X50" s="35">
        <f>'Depreciacion equipos'!P49</f>
        <v>2.7828424657534243</v>
      </c>
      <c r="Y50" s="35">
        <f t="shared" si="29"/>
        <v>267.15287671232875</v>
      </c>
      <c r="Z50" s="44"/>
      <c r="AA50" s="44"/>
      <c r="AB50" s="44"/>
      <c r="AC50" s="44"/>
    </row>
    <row r="51" spans="2:29">
      <c r="B51" s="27" t="s">
        <v>32</v>
      </c>
      <c r="C51" s="2">
        <v>4</v>
      </c>
      <c r="D51" s="35">
        <f>'Depreciacion equipos'!P50</f>
        <v>0.47640753424657528</v>
      </c>
      <c r="E51" s="35">
        <f t="shared" si="27"/>
        <v>1.9056301369863011</v>
      </c>
      <c r="F51" s="44"/>
      <c r="L51" s="27" t="s">
        <v>32</v>
      </c>
      <c r="M51" s="2">
        <v>4</v>
      </c>
      <c r="N51" s="35">
        <f>'Depreciacion equipos'!P50</f>
        <v>0.47640753424657528</v>
      </c>
      <c r="O51" s="35">
        <f t="shared" si="28"/>
        <v>1.9056301369863011</v>
      </c>
      <c r="P51" s="44"/>
      <c r="V51" s="27" t="s">
        <v>32</v>
      </c>
      <c r="W51" s="2">
        <v>4</v>
      </c>
      <c r="X51" s="35">
        <f>'Depreciacion equipos'!P50</f>
        <v>0.47640753424657528</v>
      </c>
      <c r="Y51" s="35">
        <f t="shared" si="29"/>
        <v>1.9056301369863011</v>
      </c>
      <c r="Z51" s="44"/>
      <c r="AA51" s="44"/>
      <c r="AB51" s="44"/>
      <c r="AC51" s="44"/>
    </row>
    <row r="52" spans="2:29">
      <c r="B52" s="26" t="s">
        <v>50</v>
      </c>
      <c r="C52" s="2">
        <v>16</v>
      </c>
      <c r="D52" s="35">
        <f>'Depreciacion equipos'!P51</f>
        <v>21.118721461187214</v>
      </c>
      <c r="E52" s="35">
        <f t="shared" si="27"/>
        <v>337.89954337899542</v>
      </c>
      <c r="F52" s="44"/>
      <c r="L52" s="26" t="s">
        <v>50</v>
      </c>
      <c r="M52" s="2">
        <v>16</v>
      </c>
      <c r="N52" s="35">
        <f>'Depreciacion equipos'!P51</f>
        <v>21.118721461187214</v>
      </c>
      <c r="O52" s="35">
        <f t="shared" si="28"/>
        <v>337.89954337899542</v>
      </c>
      <c r="P52" s="44"/>
      <c r="V52" s="26" t="s">
        <v>50</v>
      </c>
      <c r="W52" s="2">
        <v>16</v>
      </c>
      <c r="X52" s="35">
        <f>'Depreciacion equipos'!P51</f>
        <v>21.118721461187214</v>
      </c>
      <c r="Y52" s="35">
        <f t="shared" si="29"/>
        <v>337.89954337899542</v>
      </c>
      <c r="Z52" s="44"/>
      <c r="AA52" s="44"/>
      <c r="AB52" s="44"/>
      <c r="AC52" s="44"/>
    </row>
    <row r="53" spans="2:29">
      <c r="B53" s="26" t="s">
        <v>51</v>
      </c>
      <c r="C53" s="2">
        <v>4</v>
      </c>
      <c r="D53" s="35">
        <f>'Depreciacion equipos'!P52</f>
        <v>14.845268493150684</v>
      </c>
      <c r="E53" s="35">
        <f t="shared" si="27"/>
        <v>59.381073972602735</v>
      </c>
      <c r="F53" s="44"/>
      <c r="L53" s="26" t="s">
        <v>51</v>
      </c>
      <c r="M53" s="2">
        <v>4</v>
      </c>
      <c r="N53" s="35">
        <f>'Depreciacion equipos'!P52</f>
        <v>14.845268493150684</v>
      </c>
      <c r="O53" s="35">
        <f t="shared" si="28"/>
        <v>59.381073972602735</v>
      </c>
      <c r="P53" s="44"/>
      <c r="V53" s="26" t="s">
        <v>51</v>
      </c>
      <c r="W53" s="2">
        <v>4</v>
      </c>
      <c r="X53" s="35">
        <f>'Depreciacion equipos'!P52</f>
        <v>14.845268493150684</v>
      </c>
      <c r="Y53" s="35">
        <f t="shared" si="29"/>
        <v>59.381073972602735</v>
      </c>
      <c r="Z53" s="44"/>
      <c r="AA53" s="44"/>
      <c r="AB53" s="44"/>
      <c r="AC53" s="44"/>
    </row>
    <row r="54" spans="2:29">
      <c r="B54" s="27" t="s">
        <v>33</v>
      </c>
      <c r="C54" s="2">
        <v>8</v>
      </c>
      <c r="D54" s="35">
        <f>'Depreciacion equipos'!P53</f>
        <v>4.5650684931506849</v>
      </c>
      <c r="E54" s="35">
        <f t="shared" si="27"/>
        <v>36.520547945205479</v>
      </c>
      <c r="F54" s="44"/>
      <c r="L54" s="27" t="s">
        <v>33</v>
      </c>
      <c r="M54" s="2">
        <v>8</v>
      </c>
      <c r="N54" s="35">
        <f>'Depreciacion equipos'!P53</f>
        <v>4.5650684931506849</v>
      </c>
      <c r="O54" s="35">
        <f t="shared" si="28"/>
        <v>36.520547945205479</v>
      </c>
      <c r="P54" s="44"/>
      <c r="V54" s="27" t="s">
        <v>33</v>
      </c>
      <c r="W54" s="2">
        <v>8</v>
      </c>
      <c r="X54" s="35">
        <f>'Depreciacion equipos'!P53</f>
        <v>4.5650684931506849</v>
      </c>
      <c r="Y54" s="35">
        <f t="shared" si="29"/>
        <v>36.520547945205479</v>
      </c>
      <c r="Z54" s="44"/>
      <c r="AA54" s="44"/>
      <c r="AB54" s="44"/>
      <c r="AC54" s="44"/>
    </row>
    <row r="55" spans="2:29">
      <c r="B55" s="27" t="s">
        <v>34</v>
      </c>
      <c r="C55" s="2">
        <f>C47</f>
        <v>288</v>
      </c>
      <c r="D55" s="35">
        <f>'Depreciacion equipos'!P54</f>
        <v>0.45662100456621002</v>
      </c>
      <c r="E55" s="35">
        <f t="shared" si="27"/>
        <v>131.50684931506848</v>
      </c>
      <c r="F55" s="44"/>
      <c r="L55" s="27" t="s">
        <v>34</v>
      </c>
      <c r="M55" s="2">
        <f>M47</f>
        <v>288</v>
      </c>
      <c r="N55" s="35">
        <f>'Depreciacion equipos'!P54</f>
        <v>0.45662100456621002</v>
      </c>
      <c r="O55" s="35">
        <f t="shared" si="28"/>
        <v>131.50684931506848</v>
      </c>
      <c r="P55" s="44"/>
      <c r="V55" s="27" t="s">
        <v>34</v>
      </c>
      <c r="W55" s="2">
        <f>W47</f>
        <v>288</v>
      </c>
      <c r="X55" s="35">
        <f>'Depreciacion equipos'!P54</f>
        <v>0.45662100456621002</v>
      </c>
      <c r="Y55" s="35">
        <f t="shared" si="29"/>
        <v>131.50684931506848</v>
      </c>
      <c r="Z55" s="44"/>
      <c r="AA55" s="44"/>
      <c r="AB55" s="44"/>
      <c r="AC55" s="44"/>
    </row>
    <row r="56" spans="2:29">
      <c r="B56" s="26" t="s">
        <v>43</v>
      </c>
      <c r="C56" s="2">
        <f>C26</f>
        <v>36</v>
      </c>
      <c r="D56" s="35">
        <f>'Depreciacion equipos'!P55</f>
        <v>0.79794520547945202</v>
      </c>
      <c r="E56" s="35">
        <f t="shared" si="27"/>
        <v>28.726027397260275</v>
      </c>
      <c r="F56" s="44"/>
      <c r="L56" s="26" t="s">
        <v>43</v>
      </c>
      <c r="M56" s="2">
        <f>M26</f>
        <v>36</v>
      </c>
      <c r="N56" s="35">
        <f>'Depreciacion equipos'!P55</f>
        <v>0.79794520547945202</v>
      </c>
      <c r="O56" s="35">
        <f t="shared" si="28"/>
        <v>28.726027397260275</v>
      </c>
      <c r="P56" s="44"/>
      <c r="V56" s="26" t="s">
        <v>43</v>
      </c>
      <c r="W56" s="2">
        <f>W26</f>
        <v>36</v>
      </c>
      <c r="X56" s="35">
        <f>'Depreciacion equipos'!P55</f>
        <v>0.79794520547945202</v>
      </c>
      <c r="Y56" s="35">
        <f t="shared" si="29"/>
        <v>28.726027397260275</v>
      </c>
      <c r="Z56" s="44"/>
      <c r="AA56" s="44"/>
      <c r="AB56" s="44"/>
      <c r="AC56" s="44"/>
    </row>
    <row r="57" spans="2:29">
      <c r="B57" s="28" t="s">
        <v>52</v>
      </c>
      <c r="C57" s="2">
        <v>4</v>
      </c>
      <c r="D57" s="35">
        <f>'Depreciacion equipos'!P56</f>
        <v>1.7111872146118721</v>
      </c>
      <c r="E57" s="35">
        <f t="shared" si="27"/>
        <v>6.8447488584474883</v>
      </c>
      <c r="F57" s="44"/>
      <c r="L57" s="28" t="s">
        <v>69</v>
      </c>
      <c r="M57" s="2">
        <v>4</v>
      </c>
      <c r="N57" s="35">
        <f>'Depreciacion equipos'!P56</f>
        <v>1.7111872146118721</v>
      </c>
      <c r="O57" s="35">
        <f t="shared" si="28"/>
        <v>6.8447488584474883</v>
      </c>
      <c r="P57" s="44"/>
      <c r="V57" s="28" t="s">
        <v>69</v>
      </c>
      <c r="W57" s="2">
        <v>4</v>
      </c>
      <c r="X57" s="35">
        <f>'Depreciacion equipos'!P56</f>
        <v>1.7111872146118721</v>
      </c>
      <c r="Y57" s="35">
        <f t="shared" si="29"/>
        <v>6.8447488584474883</v>
      </c>
      <c r="Z57" s="44"/>
      <c r="AA57" s="44"/>
      <c r="AB57" s="44"/>
      <c r="AC57" s="44"/>
    </row>
    <row r="58" spans="2:29">
      <c r="B58" s="48" t="s">
        <v>38</v>
      </c>
      <c r="C58" s="363"/>
      <c r="D58" s="351"/>
      <c r="E58" s="85">
        <f>SUM(E46:E56)</f>
        <v>40809.941863926935</v>
      </c>
      <c r="L58" s="48" t="s">
        <v>38</v>
      </c>
      <c r="M58" s="363"/>
      <c r="N58" s="351"/>
      <c r="O58" s="85">
        <f>SUM(O46:O56)</f>
        <v>40809.941863926935</v>
      </c>
      <c r="V58" s="48" t="s">
        <v>38</v>
      </c>
      <c r="W58" s="363"/>
      <c r="X58" s="351"/>
      <c r="Y58" s="85">
        <f>SUM(Y46:Y56)</f>
        <v>40809.941863926935</v>
      </c>
      <c r="AA58" s="44"/>
      <c r="AB58" s="44"/>
      <c r="AC58" s="44"/>
    </row>
    <row r="61" spans="2:29">
      <c r="B61" s="347" t="s">
        <v>262</v>
      </c>
      <c r="C61" s="347"/>
      <c r="L61" s="347" t="s">
        <v>264</v>
      </c>
      <c r="M61" s="347"/>
      <c r="V61" s="347" t="s">
        <v>262</v>
      </c>
      <c r="W61" s="347"/>
      <c r="X61" t="s">
        <v>403</v>
      </c>
    </row>
    <row r="62" spans="2:29">
      <c r="B62" s="77" t="s">
        <v>14</v>
      </c>
      <c r="C62" s="77" t="s">
        <v>94</v>
      </c>
      <c r="L62" s="77" t="s">
        <v>14</v>
      </c>
      <c r="M62" s="77" t="s">
        <v>94</v>
      </c>
      <c r="V62" s="77" t="s">
        <v>14</v>
      </c>
      <c r="W62" s="77" t="s">
        <v>94</v>
      </c>
    </row>
    <row r="63" spans="2:29">
      <c r="B63" s="4" t="s">
        <v>78</v>
      </c>
      <c r="C63" s="5" t="s">
        <v>79</v>
      </c>
      <c r="L63" s="4" t="s">
        <v>78</v>
      </c>
      <c r="M63" s="5" t="s">
        <v>95</v>
      </c>
      <c r="V63" s="4" t="s">
        <v>78</v>
      </c>
      <c r="W63" s="5" t="s">
        <v>24</v>
      </c>
    </row>
    <row r="64" spans="2:29">
      <c r="B64" s="6" t="s">
        <v>17</v>
      </c>
      <c r="C64" s="36" t="s">
        <v>93</v>
      </c>
      <c r="L64" s="6" t="s">
        <v>17</v>
      </c>
      <c r="M64" s="36" t="s">
        <v>93</v>
      </c>
      <c r="V64" s="6" t="s">
        <v>17</v>
      </c>
      <c r="W64" s="36" t="s">
        <v>93</v>
      </c>
    </row>
    <row r="65" spans="2:23">
      <c r="B65" s="6" t="s">
        <v>75</v>
      </c>
      <c r="C65" s="79">
        <f>$C$19</f>
        <v>3863734.396507991</v>
      </c>
      <c r="L65" s="6" t="s">
        <v>75</v>
      </c>
      <c r="M65" s="79">
        <f>$M$19</f>
        <v>4322762.3131746575</v>
      </c>
      <c r="V65" s="6" t="s">
        <v>75</v>
      </c>
      <c r="W65" s="79">
        <f>$W$19</f>
        <v>4675613.1465079915</v>
      </c>
    </row>
    <row r="66" spans="2:23">
      <c r="B66" s="6" t="s">
        <v>81</v>
      </c>
      <c r="C66" s="80">
        <v>20</v>
      </c>
      <c r="L66" s="6" t="s">
        <v>81</v>
      </c>
      <c r="M66" s="80">
        <f>$C$66</f>
        <v>20</v>
      </c>
      <c r="V66" s="6" t="s">
        <v>81</v>
      </c>
      <c r="W66" s="80">
        <f>C66</f>
        <v>20</v>
      </c>
    </row>
    <row r="67" spans="2:23">
      <c r="B67" s="6" t="s">
        <v>76</v>
      </c>
      <c r="C67" s="70">
        <v>16</v>
      </c>
      <c r="L67" s="6" t="s">
        <v>76</v>
      </c>
      <c r="M67" s="70">
        <f>(M65*M66)/100</f>
        <v>864552.46263493155</v>
      </c>
      <c r="V67" s="6" t="s">
        <v>76</v>
      </c>
      <c r="W67" s="70">
        <f>(W65*W66)/100</f>
        <v>935122.62930159841</v>
      </c>
    </row>
    <row r="68" spans="2:23">
      <c r="B68" s="6" t="s">
        <v>80</v>
      </c>
      <c r="C68" s="79">
        <f>(C65+C67)</f>
        <v>3863750.396507991</v>
      </c>
      <c r="L68" s="6" t="s">
        <v>80</v>
      </c>
      <c r="M68" s="79">
        <f>(M65+M67)</f>
        <v>5187314.7758095888</v>
      </c>
      <c r="V68" s="6" t="s">
        <v>80</v>
      </c>
      <c r="W68" s="79">
        <f>(W65+W67)</f>
        <v>5610735.7758095898</v>
      </c>
    </row>
    <row r="69" spans="2:23">
      <c r="B69" s="78" t="s">
        <v>82</v>
      </c>
      <c r="C69" s="81">
        <f>C68</f>
        <v>3863750.396507991</v>
      </c>
      <c r="L69" s="78" t="s">
        <v>82</v>
      </c>
      <c r="M69" s="81">
        <f>M68</f>
        <v>5187314.7758095888</v>
      </c>
      <c r="V69" s="78" t="s">
        <v>82</v>
      </c>
      <c r="W69" s="81">
        <f>W68</f>
        <v>5610735.7758095898</v>
      </c>
    </row>
    <row r="70" spans="2:23">
      <c r="B70" s="8" t="s">
        <v>87</v>
      </c>
      <c r="C70" s="82">
        <v>0.02</v>
      </c>
      <c r="L70" s="8" t="s">
        <v>87</v>
      </c>
      <c r="M70" s="82">
        <v>0.02</v>
      </c>
      <c r="V70" s="8" t="s">
        <v>87</v>
      </c>
      <c r="W70" s="82">
        <v>0.02</v>
      </c>
    </row>
    <row r="75" spans="2:23">
      <c r="B75" s="347" t="s">
        <v>263</v>
      </c>
      <c r="C75" s="347"/>
      <c r="L75" s="347" t="s">
        <v>263</v>
      </c>
      <c r="M75" s="347"/>
      <c r="V75" s="347" t="s">
        <v>263</v>
      </c>
      <c r="W75" s="347"/>
    </row>
    <row r="76" spans="2:23">
      <c r="B76" s="77" t="s">
        <v>14</v>
      </c>
      <c r="C76" s="77" t="s">
        <v>94</v>
      </c>
      <c r="L76" s="77" t="s">
        <v>14</v>
      </c>
      <c r="M76" s="77" t="s">
        <v>94</v>
      </c>
      <c r="V76" s="77" t="s">
        <v>14</v>
      </c>
      <c r="W76" s="77" t="s">
        <v>94</v>
      </c>
    </row>
    <row r="77" spans="2:23">
      <c r="B77" s="90" t="s">
        <v>78</v>
      </c>
      <c r="C77" s="5" t="s">
        <v>79</v>
      </c>
      <c r="L77" s="90" t="s">
        <v>78</v>
      </c>
      <c r="M77" s="5" t="s">
        <v>95</v>
      </c>
      <c r="V77" s="90" t="s">
        <v>78</v>
      </c>
      <c r="W77" s="5" t="s">
        <v>24</v>
      </c>
    </row>
    <row r="78" spans="2:23">
      <c r="B78" s="6" t="s">
        <v>17</v>
      </c>
      <c r="C78" s="36" t="s">
        <v>93</v>
      </c>
      <c r="L78" s="6" t="s">
        <v>17</v>
      </c>
      <c r="M78" s="36" t="s">
        <v>93</v>
      </c>
      <c r="V78" s="6" t="s">
        <v>17</v>
      </c>
      <c r="W78" s="36" t="s">
        <v>93</v>
      </c>
    </row>
    <row r="79" spans="2:23">
      <c r="B79" s="6" t="s">
        <v>75</v>
      </c>
      <c r="C79" s="79">
        <f>$C$19</f>
        <v>3863734.396507991</v>
      </c>
      <c r="L79" s="6" t="s">
        <v>75</v>
      </c>
      <c r="M79" s="79">
        <f>$M$19</f>
        <v>4322762.3131746575</v>
      </c>
      <c r="V79" s="6" t="s">
        <v>75</v>
      </c>
      <c r="W79" s="79">
        <f>$W$19</f>
        <v>4675613.1465079915</v>
      </c>
    </row>
    <row r="80" spans="2:23">
      <c r="B80" s="6" t="s">
        <v>81</v>
      </c>
      <c r="C80" s="80">
        <v>50</v>
      </c>
      <c r="L80" s="6" t="s">
        <v>81</v>
      </c>
      <c r="M80" s="80">
        <f>$C$80</f>
        <v>50</v>
      </c>
      <c r="V80" s="6" t="s">
        <v>81</v>
      </c>
      <c r="W80" s="80">
        <f>$C$80</f>
        <v>50</v>
      </c>
    </row>
    <row r="81" spans="2:23">
      <c r="B81" s="6" t="s">
        <v>76</v>
      </c>
      <c r="C81" s="70">
        <f>(C79*C80)/100</f>
        <v>1931867.1982539955</v>
      </c>
      <c r="L81" s="6" t="s">
        <v>76</v>
      </c>
      <c r="M81" s="70">
        <f>(M79*M80)/100</f>
        <v>2161381.1565873288</v>
      </c>
      <c r="V81" s="6" t="s">
        <v>76</v>
      </c>
      <c r="W81" s="70">
        <f>(W79*W80)/100</f>
        <v>2337806.5732539957</v>
      </c>
    </row>
    <row r="82" spans="2:23">
      <c r="B82" s="6" t="s">
        <v>80</v>
      </c>
      <c r="C82" s="79">
        <f>(C79+C81)</f>
        <v>5795601.5947619863</v>
      </c>
      <c r="L82" s="6" t="s">
        <v>80</v>
      </c>
      <c r="M82" s="79">
        <f>(M79+M81)</f>
        <v>6484143.4697619863</v>
      </c>
      <c r="V82" s="6" t="s">
        <v>80</v>
      </c>
      <c r="W82" s="79">
        <f>(W79+W81)</f>
        <v>7013419.7197619872</v>
      </c>
    </row>
    <row r="83" spans="2:23">
      <c r="B83" s="78" t="s">
        <v>82</v>
      </c>
      <c r="C83" s="81"/>
      <c r="L83" s="78" t="s">
        <v>82</v>
      </c>
      <c r="M83" s="81"/>
      <c r="V83" s="78" t="s">
        <v>82</v>
      </c>
      <c r="W83" s="81">
        <v>1</v>
      </c>
    </row>
    <row r="84" spans="2:23">
      <c r="B84" s="8" t="s">
        <v>87</v>
      </c>
      <c r="C84" s="82">
        <v>0.02</v>
      </c>
      <c r="L84" s="8" t="s">
        <v>87</v>
      </c>
      <c r="M84" s="82">
        <v>0.02</v>
      </c>
      <c r="V84" s="8" t="s">
        <v>87</v>
      </c>
      <c r="W84" s="82">
        <v>0.02</v>
      </c>
    </row>
    <row r="89" spans="2:23">
      <c r="B89" s="347" t="s">
        <v>266</v>
      </c>
      <c r="C89" s="347"/>
      <c r="L89" s="347" t="s">
        <v>266</v>
      </c>
      <c r="M89" s="347"/>
      <c r="V89" s="347" t="s">
        <v>266</v>
      </c>
      <c r="W89" s="347"/>
    </row>
    <row r="90" spans="2:23">
      <c r="B90" s="77" t="s">
        <v>14</v>
      </c>
      <c r="C90" s="77" t="s">
        <v>94</v>
      </c>
      <c r="L90" s="77" t="s">
        <v>14</v>
      </c>
      <c r="M90" s="77" t="s">
        <v>94</v>
      </c>
      <c r="V90" s="77" t="s">
        <v>14</v>
      </c>
      <c r="W90" s="77" t="s">
        <v>94</v>
      </c>
    </row>
    <row r="91" spans="2:23">
      <c r="B91" s="90" t="s">
        <v>78</v>
      </c>
      <c r="C91" s="5" t="s">
        <v>79</v>
      </c>
      <c r="L91" s="90" t="s">
        <v>78</v>
      </c>
      <c r="M91" s="5" t="s">
        <v>95</v>
      </c>
      <c r="V91" s="90" t="s">
        <v>78</v>
      </c>
      <c r="W91" s="5" t="s">
        <v>24</v>
      </c>
    </row>
    <row r="92" spans="2:23">
      <c r="B92" s="6" t="s">
        <v>17</v>
      </c>
      <c r="C92" s="36" t="s">
        <v>93</v>
      </c>
      <c r="L92" s="6" t="s">
        <v>17</v>
      </c>
      <c r="M92" s="36" t="s">
        <v>93</v>
      </c>
      <c r="V92" s="6" t="s">
        <v>17</v>
      </c>
      <c r="W92" s="36" t="s">
        <v>93</v>
      </c>
    </row>
    <row r="93" spans="2:23">
      <c r="B93" s="6" t="s">
        <v>75</v>
      </c>
      <c r="C93" s="79">
        <f>$C$19</f>
        <v>3863734.396507991</v>
      </c>
      <c r="L93" s="6" t="s">
        <v>75</v>
      </c>
      <c r="M93" s="79">
        <f>$M$19</f>
        <v>4322762.3131746575</v>
      </c>
      <c r="V93" s="6" t="s">
        <v>75</v>
      </c>
      <c r="W93" s="79">
        <f>$W$19</f>
        <v>4675613.1465079915</v>
      </c>
    </row>
    <row r="94" spans="2:23">
      <c r="B94" s="6" t="s">
        <v>81</v>
      </c>
      <c r="C94" s="80">
        <v>40</v>
      </c>
      <c r="L94" s="6" t="s">
        <v>81</v>
      </c>
      <c r="M94" s="80">
        <f>$C$94</f>
        <v>40</v>
      </c>
      <c r="V94" s="6" t="s">
        <v>81</v>
      </c>
      <c r="W94" s="80">
        <f>$C$94</f>
        <v>40</v>
      </c>
    </row>
    <row r="95" spans="2:23">
      <c r="B95" s="6" t="s">
        <v>76</v>
      </c>
      <c r="C95" s="70">
        <f>(C93*C94)/100</f>
        <v>1545493.7586031964</v>
      </c>
      <c r="L95" s="6" t="s">
        <v>76</v>
      </c>
      <c r="M95" s="70">
        <f>(M93*M94)/100</f>
        <v>1729104.9252698631</v>
      </c>
      <c r="V95" s="6" t="s">
        <v>76</v>
      </c>
      <c r="W95" s="70">
        <f>(W93*W94)/100</f>
        <v>1870245.2586031968</v>
      </c>
    </row>
    <row r="96" spans="2:23">
      <c r="B96" s="6" t="s">
        <v>80</v>
      </c>
      <c r="C96" s="79">
        <f>(C93+C95)</f>
        <v>5409228.1551111871</v>
      </c>
      <c r="L96" s="6" t="s">
        <v>80</v>
      </c>
      <c r="M96" s="79">
        <f>(M93+M95)</f>
        <v>6051867.2384445202</v>
      </c>
      <c r="V96" s="6" t="s">
        <v>80</v>
      </c>
      <c r="W96" s="79">
        <f>(W93+W95)</f>
        <v>6545858.4051111881</v>
      </c>
    </row>
    <row r="97" spans="2:23">
      <c r="B97" s="78" t="s">
        <v>82</v>
      </c>
      <c r="C97" s="81"/>
      <c r="L97" s="78" t="s">
        <v>82</v>
      </c>
      <c r="M97" s="81"/>
      <c r="V97" s="78" t="s">
        <v>82</v>
      </c>
      <c r="W97" s="81">
        <v>1</v>
      </c>
    </row>
    <row r="98" spans="2:23">
      <c r="B98" s="8" t="s">
        <v>87</v>
      </c>
      <c r="C98" s="82">
        <v>0.02</v>
      </c>
      <c r="L98" s="8" t="s">
        <v>87</v>
      </c>
      <c r="M98" s="82">
        <v>0.02</v>
      </c>
      <c r="V98" s="8" t="s">
        <v>87</v>
      </c>
      <c r="W98" s="82">
        <v>0.02</v>
      </c>
    </row>
  </sheetData>
  <mergeCells count="35">
    <mergeCell ref="B89:C89"/>
    <mergeCell ref="L89:M89"/>
    <mergeCell ref="V89:W89"/>
    <mergeCell ref="B61:C61"/>
    <mergeCell ref="L61:M61"/>
    <mergeCell ref="V61:W61"/>
    <mergeCell ref="B75:C75"/>
    <mergeCell ref="L75:M75"/>
    <mergeCell ref="V75:W75"/>
    <mergeCell ref="D16:H18"/>
    <mergeCell ref="I17:J18"/>
    <mergeCell ref="S4:T4"/>
    <mergeCell ref="Z4:AB4"/>
    <mergeCell ref="AC4:AD4"/>
    <mergeCell ref="P4:R4"/>
    <mergeCell ref="C4:D4"/>
    <mergeCell ref="M4:N4"/>
    <mergeCell ref="F4:H4"/>
    <mergeCell ref="I4:J4"/>
    <mergeCell ref="E23:E24"/>
    <mergeCell ref="C38:D38"/>
    <mergeCell ref="C58:D58"/>
    <mergeCell ref="Y2:AD3"/>
    <mergeCell ref="O2:T3"/>
    <mergeCell ref="W38:X38"/>
    <mergeCell ref="W58:X58"/>
    <mergeCell ref="M58:N58"/>
    <mergeCell ref="M38:N38"/>
    <mergeCell ref="O23:O24"/>
    <mergeCell ref="N16:R18"/>
    <mergeCell ref="S17:T18"/>
    <mergeCell ref="X16:AB18"/>
    <mergeCell ref="AC17:AD18"/>
    <mergeCell ref="Y23:Y24"/>
    <mergeCell ref="E2:J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3:Q29"/>
  <sheetViews>
    <sheetView zoomScale="85" zoomScaleNormal="85" workbookViewId="0">
      <selection activeCell="H20" sqref="H20"/>
    </sheetView>
  </sheetViews>
  <sheetFormatPr baseColWidth="10" defaultColWidth="9.140625" defaultRowHeight="15"/>
  <cols>
    <col min="1" max="1" width="36.5703125" bestFit="1" customWidth="1"/>
    <col min="2" max="2" width="15.28515625" bestFit="1" customWidth="1"/>
    <col min="3" max="3" width="16.28515625" bestFit="1" customWidth="1"/>
    <col min="6" max="6" width="44.42578125" bestFit="1" customWidth="1"/>
    <col min="8" max="17" width="23.85546875" bestFit="1" customWidth="1"/>
  </cols>
  <sheetData>
    <row r="3" spans="1:17">
      <c r="A3" s="321" t="s">
        <v>184</v>
      </c>
      <c r="B3" s="321"/>
      <c r="C3" s="321"/>
    </row>
    <row r="4" spans="1:17">
      <c r="A4" s="121" t="s">
        <v>185</v>
      </c>
      <c r="B4" s="121" t="s">
        <v>186</v>
      </c>
      <c r="C4" s="121" t="s">
        <v>187</v>
      </c>
    </row>
    <row r="5" spans="1:17">
      <c r="A5" s="5" t="s">
        <v>271</v>
      </c>
      <c r="B5" s="35">
        <v>300000</v>
      </c>
      <c r="C5" s="35">
        <f>B5*(12)</f>
        <v>3600000</v>
      </c>
    </row>
    <row r="6" spans="1:17">
      <c r="A6" s="6" t="s">
        <v>189</v>
      </c>
      <c r="B6" s="35">
        <v>1000000</v>
      </c>
      <c r="C6" s="35">
        <f t="shared" ref="C6:C7" si="0">B6*(12)</f>
        <v>12000000</v>
      </c>
    </row>
    <row r="7" spans="1:17">
      <c r="A7" s="6" t="s">
        <v>188</v>
      </c>
      <c r="B7" s="35">
        <f>Nomina!D8</f>
        <v>9800000</v>
      </c>
      <c r="C7" s="35">
        <f t="shared" si="0"/>
        <v>117600000</v>
      </c>
      <c r="F7" s="378" t="s">
        <v>404</v>
      </c>
      <c r="G7" s="378"/>
      <c r="H7" s="378"/>
      <c r="I7" s="378"/>
      <c r="J7" s="378"/>
      <c r="K7" s="378"/>
      <c r="L7" s="378"/>
      <c r="M7" s="378"/>
      <c r="N7" s="378"/>
      <c r="O7" s="378"/>
      <c r="P7" s="378"/>
      <c r="Q7" s="378"/>
    </row>
    <row r="8" spans="1:17">
      <c r="A8" s="9" t="s">
        <v>38</v>
      </c>
      <c r="B8" s="51">
        <f>SUM(B5:B7)</f>
        <v>11100000</v>
      </c>
      <c r="C8" s="51">
        <f>SUM(C5:C7)</f>
        <v>133200000</v>
      </c>
      <c r="F8" s="2"/>
      <c r="G8" s="377" t="s">
        <v>120</v>
      </c>
      <c r="H8" s="377"/>
      <c r="I8" s="377"/>
      <c r="J8" s="377"/>
      <c r="K8" s="377"/>
      <c r="L8" s="377"/>
      <c r="M8" s="377"/>
      <c r="N8" s="377"/>
      <c r="O8" s="377"/>
      <c r="P8" s="377"/>
      <c r="Q8" s="377"/>
    </row>
    <row r="9" spans="1:17">
      <c r="A9" t="s">
        <v>400</v>
      </c>
      <c r="F9" s="2"/>
      <c r="G9" s="186">
        <v>0</v>
      </c>
      <c r="H9" s="186">
        <v>1</v>
      </c>
      <c r="I9" s="186">
        <v>2</v>
      </c>
      <c r="J9" s="186">
        <v>3</v>
      </c>
      <c r="K9" s="186">
        <v>4</v>
      </c>
      <c r="L9" s="186">
        <v>5</v>
      </c>
      <c r="M9" s="186">
        <v>6</v>
      </c>
      <c r="N9" s="186">
        <v>7</v>
      </c>
      <c r="O9" s="186">
        <v>8</v>
      </c>
      <c r="P9" s="186">
        <v>9</v>
      </c>
      <c r="Q9" s="186">
        <v>10</v>
      </c>
    </row>
    <row r="10" spans="1:17">
      <c r="F10" s="228" t="s">
        <v>272</v>
      </c>
      <c r="G10" s="220">
        <f>SUM(G11:G14)</f>
        <v>0</v>
      </c>
      <c r="H10" s="220">
        <f t="shared" ref="H10:Q10" si="1">SUM(H11:H14)</f>
        <v>159172800</v>
      </c>
      <c r="I10" s="220">
        <f t="shared" si="1"/>
        <v>165539712</v>
      </c>
      <c r="J10" s="220">
        <f>SUM(J11:J14)</f>
        <v>172161300.48000002</v>
      </c>
      <c r="K10" s="220">
        <f t="shared" si="1"/>
        <v>179047752.49920002</v>
      </c>
      <c r="L10" s="220">
        <f t="shared" si="1"/>
        <v>186209662.59916803</v>
      </c>
      <c r="M10" s="220">
        <f t="shared" si="1"/>
        <v>193658049.10313475</v>
      </c>
      <c r="N10" s="220">
        <f t="shared" si="1"/>
        <v>201404371.06726015</v>
      </c>
      <c r="O10" s="220">
        <f t="shared" si="1"/>
        <v>209460545.90995058</v>
      </c>
      <c r="P10" s="220">
        <f t="shared" si="1"/>
        <v>217838967.74634859</v>
      </c>
      <c r="Q10" s="220">
        <f t="shared" si="1"/>
        <v>226552526.45620254</v>
      </c>
    </row>
    <row r="11" spans="1:17">
      <c r="F11" s="6" t="s">
        <v>273</v>
      </c>
      <c r="G11" s="35">
        <v>0</v>
      </c>
      <c r="H11" s="50">
        <f>Nomina!D10*12</f>
        <v>96000000</v>
      </c>
      <c r="I11" s="50">
        <f>H11*1.04</f>
        <v>99840000</v>
      </c>
      <c r="J11" s="50">
        <f t="shared" ref="J11:Q11" si="2">I11*1.04</f>
        <v>103833600</v>
      </c>
      <c r="K11" s="50">
        <f t="shared" si="2"/>
        <v>107986944</v>
      </c>
      <c r="L11" s="50">
        <f t="shared" si="2"/>
        <v>112306421.76000001</v>
      </c>
      <c r="M11" s="50">
        <f t="shared" si="2"/>
        <v>116798678.63040002</v>
      </c>
      <c r="N11" s="50">
        <f t="shared" si="2"/>
        <v>121470625.77561602</v>
      </c>
      <c r="O11" s="50">
        <f t="shared" si="2"/>
        <v>126329450.80664067</v>
      </c>
      <c r="P11" s="50">
        <f t="shared" si="2"/>
        <v>131382628.8389063</v>
      </c>
      <c r="Q11" s="50">
        <f t="shared" si="2"/>
        <v>136637933.99246255</v>
      </c>
    </row>
    <row r="12" spans="1:17">
      <c r="F12" s="6" t="s">
        <v>275</v>
      </c>
      <c r="G12" s="35">
        <v>0</v>
      </c>
      <c r="H12" s="50">
        <f>Nomina!F10*12</f>
        <v>51052800</v>
      </c>
      <c r="I12" s="50">
        <f>H12*1.04</f>
        <v>53094912</v>
      </c>
      <c r="J12" s="50">
        <f t="shared" ref="J12:Q12" si="3">I12*1.04</f>
        <v>55218708.480000004</v>
      </c>
      <c r="K12" s="50">
        <f t="shared" si="3"/>
        <v>57427456.819200009</v>
      </c>
      <c r="L12" s="50">
        <f t="shared" si="3"/>
        <v>59724555.091968015</v>
      </c>
      <c r="M12" s="50">
        <f t="shared" si="3"/>
        <v>62113537.295646735</v>
      </c>
      <c r="N12" s="50">
        <f t="shared" si="3"/>
        <v>64598078.787472606</v>
      </c>
      <c r="O12" s="50">
        <f t="shared" si="3"/>
        <v>67182001.938971519</v>
      </c>
      <c r="P12" s="50">
        <f t="shared" si="3"/>
        <v>69869282.01653038</v>
      </c>
      <c r="Q12" s="50">
        <f t="shared" si="3"/>
        <v>72664053.29719159</v>
      </c>
    </row>
    <row r="13" spans="1:17">
      <c r="F13" s="6" t="s">
        <v>276</v>
      </c>
      <c r="G13" s="35">
        <v>0</v>
      </c>
      <c r="H13" s="50">
        <f>B6*12</f>
        <v>12000000</v>
      </c>
      <c r="I13" s="50">
        <f>H13*1.04</f>
        <v>12480000</v>
      </c>
      <c r="J13" s="50">
        <f t="shared" ref="J13:Q13" si="4">I13*1.04</f>
        <v>12979200</v>
      </c>
      <c r="K13" s="50">
        <f t="shared" si="4"/>
        <v>13498368</v>
      </c>
      <c r="L13" s="50">
        <f t="shared" si="4"/>
        <v>14038302.720000001</v>
      </c>
      <c r="M13" s="50">
        <f t="shared" si="4"/>
        <v>14599834.828800002</v>
      </c>
      <c r="N13" s="50">
        <f t="shared" si="4"/>
        <v>15183828.221952002</v>
      </c>
      <c r="O13" s="50">
        <f t="shared" si="4"/>
        <v>15791181.350830084</v>
      </c>
      <c r="P13" s="50">
        <f t="shared" si="4"/>
        <v>16422828.604863288</v>
      </c>
      <c r="Q13" s="50">
        <f t="shared" si="4"/>
        <v>17079741.749057818</v>
      </c>
    </row>
    <row r="14" spans="1:17">
      <c r="F14" s="6" t="s">
        <v>304</v>
      </c>
      <c r="G14" s="35">
        <v>0</v>
      </c>
      <c r="H14" s="50">
        <v>120000</v>
      </c>
      <c r="I14" s="50">
        <f>H14*1.04</f>
        <v>124800</v>
      </c>
      <c r="J14" s="50">
        <f t="shared" ref="J14:Q14" si="5">I14*1.04</f>
        <v>129792</v>
      </c>
      <c r="K14" s="50">
        <f t="shared" si="5"/>
        <v>134983.67999999999</v>
      </c>
      <c r="L14" s="50">
        <f t="shared" si="5"/>
        <v>140383.02720000001</v>
      </c>
      <c r="M14" s="50">
        <f t="shared" si="5"/>
        <v>145998.34828800001</v>
      </c>
      <c r="N14" s="50">
        <f t="shared" si="5"/>
        <v>151838.28221952001</v>
      </c>
      <c r="O14" s="50">
        <f t="shared" si="5"/>
        <v>157911.81350830081</v>
      </c>
      <c r="P14" s="50">
        <f t="shared" si="5"/>
        <v>164228.28604863284</v>
      </c>
      <c r="Q14" s="50">
        <f t="shared" si="5"/>
        <v>170797.41749057817</v>
      </c>
    </row>
    <row r="15" spans="1:17">
      <c r="F15" s="228" t="s">
        <v>277</v>
      </c>
      <c r="G15" s="220">
        <f>G16+G17</f>
        <v>0</v>
      </c>
      <c r="H15" s="220">
        <f t="shared" ref="H15:Q15" si="6">H16+H17</f>
        <v>5825814.5820000004</v>
      </c>
      <c r="I15" s="220">
        <f t="shared" si="6"/>
        <v>5825814.5820000004</v>
      </c>
      <c r="J15" s="220">
        <f t="shared" si="6"/>
        <v>5825814.5820000004</v>
      </c>
      <c r="K15" s="220">
        <f t="shared" si="6"/>
        <v>5825814.5820000004</v>
      </c>
      <c r="L15" s="220">
        <f t="shared" si="6"/>
        <v>5825814.5820000004</v>
      </c>
      <c r="M15" s="220">
        <f t="shared" si="6"/>
        <v>5825814.5820000004</v>
      </c>
      <c r="N15" s="220">
        <f t="shared" si="6"/>
        <v>8025814.5820000004</v>
      </c>
      <c r="O15" s="220">
        <f t="shared" si="6"/>
        <v>8025814.5820000004</v>
      </c>
      <c r="P15" s="220">
        <f t="shared" si="6"/>
        <v>8025814.5820000004</v>
      </c>
      <c r="Q15" s="220">
        <f t="shared" si="6"/>
        <v>8025814.5820000004</v>
      </c>
    </row>
    <row r="16" spans="1:17">
      <c r="F16" s="6" t="s">
        <v>279</v>
      </c>
      <c r="G16" s="35">
        <v>0</v>
      </c>
      <c r="H16" s="50">
        <f>B5*12</f>
        <v>3600000</v>
      </c>
      <c r="I16" s="50">
        <f>H16</f>
        <v>3600000</v>
      </c>
      <c r="J16" s="50">
        <f t="shared" ref="J16:Q16" si="7">I16</f>
        <v>3600000</v>
      </c>
      <c r="K16" s="50">
        <f t="shared" si="7"/>
        <v>3600000</v>
      </c>
      <c r="L16" s="50">
        <f t="shared" si="7"/>
        <v>3600000</v>
      </c>
      <c r="M16" s="50">
        <f t="shared" si="7"/>
        <v>3600000</v>
      </c>
      <c r="N16" s="50">
        <f t="shared" si="7"/>
        <v>3600000</v>
      </c>
      <c r="O16" s="50">
        <f t="shared" si="7"/>
        <v>3600000</v>
      </c>
      <c r="P16" s="50">
        <f t="shared" si="7"/>
        <v>3600000</v>
      </c>
      <c r="Q16" s="50">
        <f t="shared" si="7"/>
        <v>3600000</v>
      </c>
    </row>
    <row r="17" spans="6:17">
      <c r="F17" s="6" t="s">
        <v>278</v>
      </c>
      <c r="G17" s="35">
        <v>0</v>
      </c>
      <c r="H17" s="50">
        <f>'Depreciacion equipos'!C27</f>
        <v>2225814.5820000004</v>
      </c>
      <c r="I17" s="50">
        <f>'Depreciacion equipos'!D27</f>
        <v>2225814.5820000004</v>
      </c>
      <c r="J17" s="50">
        <f>'Depreciacion equipos'!E27</f>
        <v>2225814.5820000004</v>
      </c>
      <c r="K17" s="50">
        <f>'Depreciacion equipos'!F27</f>
        <v>2225814.5820000004</v>
      </c>
      <c r="L17" s="50">
        <f>'Depreciacion equipos'!G27</f>
        <v>2225814.5820000004</v>
      </c>
      <c r="M17" s="50">
        <f>'Depreciacion equipos'!H27</f>
        <v>2225814.5820000004</v>
      </c>
      <c r="N17" s="50">
        <f>'Depreciacion equipos'!I27</f>
        <v>4425814.5820000004</v>
      </c>
      <c r="O17" s="50">
        <f>'Depreciacion equipos'!J27</f>
        <v>4425814.5820000004</v>
      </c>
      <c r="P17" s="50">
        <f>'Depreciacion equipos'!K27</f>
        <v>4425814.5820000004</v>
      </c>
      <c r="Q17" s="50">
        <f>'Depreciacion equipos'!L27</f>
        <v>4425814.5820000004</v>
      </c>
    </row>
    <row r="18" spans="6:17">
      <c r="F18" s="228" t="s">
        <v>371</v>
      </c>
      <c r="G18" s="220">
        <f>SUM(G19:G21)</f>
        <v>0</v>
      </c>
      <c r="H18" s="229">
        <f>SUM(H19:H21)</f>
        <v>33582220</v>
      </c>
      <c r="I18" s="229">
        <f t="shared" ref="I18:Q18" si="8">SUM(I19:I21)</f>
        <v>34905695.200000003</v>
      </c>
      <c r="J18" s="229">
        <f t="shared" si="8"/>
        <v>36282109.408</v>
      </c>
      <c r="K18" s="229">
        <f t="shared" si="8"/>
        <v>37713580.184320003</v>
      </c>
      <c r="L18" s="229">
        <f t="shared" si="8"/>
        <v>39202309.791692808</v>
      </c>
      <c r="M18" s="229">
        <f t="shared" si="8"/>
        <v>40503448.583360523</v>
      </c>
      <c r="N18" s="229">
        <f t="shared" si="8"/>
        <v>42113658.526694939</v>
      </c>
      <c r="O18" s="229">
        <f t="shared" si="8"/>
        <v>43788276.867762744</v>
      </c>
      <c r="P18" s="229">
        <f t="shared" si="8"/>
        <v>45529879.942473255</v>
      </c>
      <c r="Q18" s="229">
        <f t="shared" si="8"/>
        <v>47341147.140172184</v>
      </c>
    </row>
    <row r="19" spans="6:17">
      <c r="F19" s="6" t="s">
        <v>280</v>
      </c>
      <c r="G19" s="35">
        <v>0</v>
      </c>
      <c r="H19" s="50">
        <f>Nomina!D9*12</f>
        <v>21600000</v>
      </c>
      <c r="I19" s="50">
        <f>H19*1.04</f>
        <v>22464000</v>
      </c>
      <c r="J19" s="50">
        <f t="shared" ref="J19:Q19" si="9">I19*1.04</f>
        <v>23362560</v>
      </c>
      <c r="K19" s="50">
        <f t="shared" si="9"/>
        <v>24297062.400000002</v>
      </c>
      <c r="L19" s="50">
        <f t="shared" si="9"/>
        <v>25268944.896000002</v>
      </c>
      <c r="M19" s="50">
        <f t="shared" si="9"/>
        <v>26279702.691840004</v>
      </c>
      <c r="N19" s="50">
        <f t="shared" si="9"/>
        <v>27330890.799513604</v>
      </c>
      <c r="O19" s="50">
        <f t="shared" si="9"/>
        <v>28424126.43149415</v>
      </c>
      <c r="P19" s="50">
        <f t="shared" si="9"/>
        <v>29561091.488753919</v>
      </c>
      <c r="Q19" s="50">
        <f t="shared" si="9"/>
        <v>30743535.148304075</v>
      </c>
    </row>
    <row r="20" spans="6:17">
      <c r="F20" s="29" t="s">
        <v>289</v>
      </c>
      <c r="G20" s="35">
        <v>0</v>
      </c>
      <c r="H20" s="50">
        <f>'Depreciacion equipos'!C28</f>
        <v>495340</v>
      </c>
      <c r="I20" s="50">
        <f>'Depreciacion equipos'!D28</f>
        <v>495340</v>
      </c>
      <c r="J20" s="50">
        <f>'Depreciacion equipos'!E28</f>
        <v>495340</v>
      </c>
      <c r="K20" s="50">
        <f>'Depreciacion equipos'!F28</f>
        <v>495340</v>
      </c>
      <c r="L20" s="50">
        <f>'Depreciacion equipos'!G28</f>
        <v>495340</v>
      </c>
      <c r="M20" s="50">
        <f>'Depreciacion equipos'!H28</f>
        <v>248200</v>
      </c>
      <c r="N20" s="50">
        <f>'Depreciacion equipos'!I28</f>
        <v>248200</v>
      </c>
      <c r="O20" s="50">
        <f>'Depreciacion equipos'!J28</f>
        <v>248200</v>
      </c>
      <c r="P20" s="50">
        <f>'Depreciacion equipos'!K28</f>
        <v>248200</v>
      </c>
      <c r="Q20" s="50">
        <f>'Depreciacion equipos'!L28</f>
        <v>248200</v>
      </c>
    </row>
    <row r="21" spans="6:17">
      <c r="F21" s="6" t="s">
        <v>116</v>
      </c>
      <c r="G21" s="227">
        <v>0</v>
      </c>
      <c r="H21" s="50">
        <f>Nomina!F9*12</f>
        <v>11486880</v>
      </c>
      <c r="I21" s="50">
        <f>H21*1.04</f>
        <v>11946355.200000001</v>
      </c>
      <c r="J21" s="50">
        <f t="shared" ref="J21:Q21" si="10">I21*1.04</f>
        <v>12424209.408000002</v>
      </c>
      <c r="K21" s="50">
        <f t="shared" si="10"/>
        <v>12921177.784320002</v>
      </c>
      <c r="L21" s="50">
        <f t="shared" si="10"/>
        <v>13438024.895692803</v>
      </c>
      <c r="M21" s="50">
        <f t="shared" si="10"/>
        <v>13975545.891520515</v>
      </c>
      <c r="N21" s="50">
        <f t="shared" si="10"/>
        <v>14534567.727181336</v>
      </c>
      <c r="O21" s="50">
        <f t="shared" si="10"/>
        <v>15115950.43626859</v>
      </c>
      <c r="P21" s="50">
        <f t="shared" si="10"/>
        <v>15720588.453719335</v>
      </c>
      <c r="Q21" s="50">
        <f t="shared" si="10"/>
        <v>16349411.991868109</v>
      </c>
    </row>
    <row r="22" spans="6:17">
      <c r="F22" s="228" t="s">
        <v>281</v>
      </c>
      <c r="G22" s="220">
        <v>0</v>
      </c>
      <c r="H22" s="220">
        <f>H23</f>
        <v>500000</v>
      </c>
      <c r="I22" s="220">
        <f t="shared" ref="I22:Q22" si="11">I23</f>
        <v>500000</v>
      </c>
      <c r="J22" s="220">
        <f t="shared" si="11"/>
        <v>500000</v>
      </c>
      <c r="K22" s="220">
        <f t="shared" si="11"/>
        <v>500000</v>
      </c>
      <c r="L22" s="220">
        <f t="shared" si="11"/>
        <v>500000</v>
      </c>
      <c r="M22" s="220">
        <f t="shared" si="11"/>
        <v>500000</v>
      </c>
      <c r="N22" s="220">
        <f t="shared" si="11"/>
        <v>500000</v>
      </c>
      <c r="O22" s="220">
        <f t="shared" si="11"/>
        <v>500000</v>
      </c>
      <c r="P22" s="220">
        <f t="shared" si="11"/>
        <v>500000</v>
      </c>
      <c r="Q22" s="220">
        <f t="shared" si="11"/>
        <v>500000</v>
      </c>
    </row>
    <row r="23" spans="6:17">
      <c r="F23" s="6" t="s">
        <v>282</v>
      </c>
      <c r="G23" s="35">
        <v>0</v>
      </c>
      <c r="H23" s="35">
        <v>500000</v>
      </c>
      <c r="I23" s="35">
        <f>H23</f>
        <v>500000</v>
      </c>
      <c r="J23" s="35">
        <f t="shared" ref="J23:Q23" si="12">I23</f>
        <v>500000</v>
      </c>
      <c r="K23" s="35">
        <f t="shared" si="12"/>
        <v>500000</v>
      </c>
      <c r="L23" s="35">
        <f t="shared" si="12"/>
        <v>500000</v>
      </c>
      <c r="M23" s="35">
        <f t="shared" si="12"/>
        <v>500000</v>
      </c>
      <c r="N23" s="35">
        <f t="shared" si="12"/>
        <v>500000</v>
      </c>
      <c r="O23" s="35">
        <f t="shared" si="12"/>
        <v>500000</v>
      </c>
      <c r="P23" s="35">
        <f t="shared" si="12"/>
        <v>500000</v>
      </c>
      <c r="Q23" s="35">
        <f t="shared" si="12"/>
        <v>500000</v>
      </c>
    </row>
    <row r="24" spans="6:17">
      <c r="F24" s="9" t="s">
        <v>182</v>
      </c>
      <c r="G24" s="51">
        <v>0</v>
      </c>
      <c r="H24" s="51">
        <f>SUM(H10,H15,H18,H22)</f>
        <v>199080834.58199999</v>
      </c>
      <c r="I24" s="51">
        <f t="shared" ref="I24:Q24" si="13">SUM(I10,I15,I18,I22)</f>
        <v>206771221.78200001</v>
      </c>
      <c r="J24" s="51">
        <f t="shared" si="13"/>
        <v>214769224.47</v>
      </c>
      <c r="K24" s="51">
        <f t="shared" si="13"/>
        <v>223087147.26552001</v>
      </c>
      <c r="L24" s="51">
        <f t="shared" si="13"/>
        <v>231737786.97286081</v>
      </c>
      <c r="M24" s="51">
        <f t="shared" si="13"/>
        <v>240487312.26849526</v>
      </c>
      <c r="N24" s="51">
        <f t="shared" si="13"/>
        <v>252043844.17595506</v>
      </c>
      <c r="O24" s="51">
        <f t="shared" si="13"/>
        <v>261774637.35971332</v>
      </c>
      <c r="P24" s="51">
        <f t="shared" si="13"/>
        <v>271894662.27082181</v>
      </c>
      <c r="Q24" s="51">
        <f t="shared" si="13"/>
        <v>282419488.17837471</v>
      </c>
    </row>
    <row r="29" spans="6:17">
      <c r="F29" t="s">
        <v>398</v>
      </c>
      <c r="H29" s="189">
        <f>H17+H20</f>
        <v>2721154.5820000004</v>
      </c>
    </row>
  </sheetData>
  <mergeCells count="3">
    <mergeCell ref="A3:C3"/>
    <mergeCell ref="G8:Q8"/>
    <mergeCell ref="F7:Q7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X28"/>
  <sheetViews>
    <sheetView topLeftCell="A10" zoomScale="115" zoomScaleNormal="115" workbookViewId="0">
      <selection activeCell="M26" sqref="M26"/>
    </sheetView>
  </sheetViews>
  <sheetFormatPr baseColWidth="10" defaultColWidth="9.140625" defaultRowHeight="15"/>
  <cols>
    <col min="1" max="1" width="14.5703125" bestFit="1" customWidth="1"/>
    <col min="2" max="2" width="9.28515625" bestFit="1" customWidth="1"/>
    <col min="3" max="3" width="18.85546875" customWidth="1"/>
    <col min="4" max="6" width="17.28515625" bestFit="1" customWidth="1"/>
    <col min="7" max="7" width="18.85546875" bestFit="1" customWidth="1"/>
    <col min="8" max="13" width="17.28515625" bestFit="1" customWidth="1"/>
    <col min="16" max="16" width="11.42578125" bestFit="1" customWidth="1"/>
    <col min="17" max="17" width="35.28515625" bestFit="1" customWidth="1"/>
    <col min="18" max="18" width="10.28515625" bestFit="1" customWidth="1"/>
    <col min="19" max="20" width="20.140625" bestFit="1" customWidth="1"/>
    <col min="21" max="21" width="19.28515625" bestFit="1" customWidth="1"/>
    <col min="22" max="28" width="16.28515625" bestFit="1" customWidth="1"/>
    <col min="31" max="31" width="11.42578125" bestFit="1" customWidth="1"/>
    <col min="35" max="36" width="14.28515625" bestFit="1" customWidth="1"/>
    <col min="37" max="37" width="15.28515625" bestFit="1" customWidth="1"/>
    <col min="41" max="41" width="15.42578125" bestFit="1" customWidth="1"/>
  </cols>
  <sheetData>
    <row r="2" spans="1:18">
      <c r="A2" s="383" t="s">
        <v>402</v>
      </c>
      <c r="B2" s="384"/>
      <c r="C2" s="384"/>
      <c r="D2" s="384"/>
      <c r="E2" s="384"/>
      <c r="F2" s="384"/>
      <c r="G2" s="384"/>
      <c r="H2" s="384"/>
      <c r="I2" s="384"/>
      <c r="J2" s="384"/>
      <c r="K2" s="385"/>
    </row>
    <row r="3" spans="1:18">
      <c r="A3" s="164"/>
      <c r="B3" s="180" t="s">
        <v>261</v>
      </c>
      <c r="C3" s="180"/>
      <c r="D3" s="180"/>
      <c r="E3" s="379" t="s">
        <v>247</v>
      </c>
      <c r="F3" s="379"/>
      <c r="G3" s="379"/>
      <c r="H3" s="380" t="s">
        <v>248</v>
      </c>
      <c r="I3" s="381"/>
      <c r="J3" s="382"/>
      <c r="K3" s="165"/>
    </row>
    <row r="4" spans="1:18">
      <c r="A4" s="170" t="s">
        <v>245</v>
      </c>
      <c r="B4" s="19" t="s">
        <v>0</v>
      </c>
      <c r="C4" s="19" t="s">
        <v>25</v>
      </c>
      <c r="D4" s="19" t="s">
        <v>58</v>
      </c>
      <c r="E4" s="168" t="s">
        <v>0</v>
      </c>
      <c r="F4" s="168" t="s">
        <v>25</v>
      </c>
      <c r="G4" s="168" t="s">
        <v>58</v>
      </c>
      <c r="H4" s="21" t="s">
        <v>0</v>
      </c>
      <c r="I4" s="21" t="s">
        <v>25</v>
      </c>
      <c r="J4" s="21" t="s">
        <v>58</v>
      </c>
      <c r="K4" s="20" t="s">
        <v>246</v>
      </c>
      <c r="L4" s="183"/>
    </row>
    <row r="5" spans="1:18">
      <c r="A5" s="2" t="s">
        <v>249</v>
      </c>
      <c r="B5" s="2">
        <v>30</v>
      </c>
      <c r="C5" s="2">
        <v>0</v>
      </c>
      <c r="D5" s="2">
        <v>0</v>
      </c>
      <c r="E5" s="35">
        <f>('Auditoria nivel 1'!$Q$24*'Estimacion de ingresos'!B5)</f>
        <v>17713450</v>
      </c>
      <c r="F5" s="35">
        <f>'Auditoria nivel 2'!$AB$50*'Estimacion de ingresos'!C5</f>
        <v>0</v>
      </c>
      <c r="G5" s="35">
        <f>'Auditoria nivel 3'!$W$65*D5</f>
        <v>0</v>
      </c>
      <c r="H5" s="35">
        <f>('Auditoria nivel 1'!$Q$28*B5)</f>
        <v>21256140</v>
      </c>
      <c r="I5" s="35">
        <f>'Auditoria nivel 2'!$AB$54*C5</f>
        <v>0</v>
      </c>
      <c r="J5" s="35">
        <f>'Auditoria nivel 3'!$W$69*'Estimacion de ingresos'!D5</f>
        <v>0</v>
      </c>
      <c r="K5" s="2">
        <v>0</v>
      </c>
      <c r="L5" s="2"/>
    </row>
    <row r="6" spans="1:18">
      <c r="A6" s="2" t="s">
        <v>250</v>
      </c>
      <c r="B6" s="2">
        <v>0</v>
      </c>
      <c r="C6" s="2">
        <v>7</v>
      </c>
      <c r="D6" s="2">
        <v>0</v>
      </c>
      <c r="E6" s="35">
        <f>('Auditoria nivel 1'!$Q$24*'Estimacion de ingresos'!B6)</f>
        <v>0</v>
      </c>
      <c r="F6" s="35">
        <f>'Auditoria nivel 2'!$AB$50*'Estimacion de ingresos'!C6</f>
        <v>20461427.226112783</v>
      </c>
      <c r="G6" s="35">
        <f>'Auditoria nivel 3'!$W$65*D6</f>
        <v>0</v>
      </c>
      <c r="H6" s="35">
        <f>('Auditoria nivel 1'!$Q$28*B6)</f>
        <v>0</v>
      </c>
      <c r="I6" s="35">
        <f>'Auditoria nivel 2'!$AB$54*C6</f>
        <v>24553712.67133534</v>
      </c>
      <c r="J6" s="35">
        <f>'Auditoria nivel 3'!$W$69*'Estimacion de ingresos'!D6</f>
        <v>0</v>
      </c>
      <c r="K6" s="2">
        <v>400000</v>
      </c>
      <c r="L6" s="2"/>
    </row>
    <row r="7" spans="1:18">
      <c r="A7" s="2" t="s">
        <v>251</v>
      </c>
      <c r="B7" s="2">
        <v>0</v>
      </c>
      <c r="C7" s="2">
        <v>0</v>
      </c>
      <c r="D7" s="2">
        <v>1</v>
      </c>
      <c r="E7" s="35">
        <f>('Auditoria nivel 1'!$Q$24*'Estimacion de ingresos'!B7)</f>
        <v>0</v>
      </c>
      <c r="F7" s="35">
        <f>'Auditoria nivel 2'!$AB$50*'Estimacion de ingresos'!C7</f>
        <v>0</v>
      </c>
      <c r="G7" s="35">
        <f>'Auditoria nivel 3'!$W$65*D7</f>
        <v>4675613.1465079915</v>
      </c>
      <c r="H7" s="35">
        <f>('Auditoria nivel 1'!$Q$28*B7)</f>
        <v>0</v>
      </c>
      <c r="I7" s="35">
        <f>'Auditoria nivel 2'!$AB$54*C7</f>
        <v>0</v>
      </c>
      <c r="J7" s="35">
        <f>'Auditoria nivel 3'!$W$69*'Estimacion de ingresos'!D7</f>
        <v>5610735.7758095898</v>
      </c>
      <c r="K7" s="2">
        <v>400000</v>
      </c>
      <c r="L7" s="2"/>
    </row>
    <row r="8" spans="1:18">
      <c r="A8" s="2" t="s">
        <v>252</v>
      </c>
      <c r="B8" s="2">
        <v>30</v>
      </c>
      <c r="C8" s="2">
        <v>0</v>
      </c>
      <c r="D8" s="2">
        <v>0</v>
      </c>
      <c r="E8" s="35">
        <f>('Auditoria nivel 1'!$Q$24*'Estimacion de ingresos'!B8)</f>
        <v>17713450</v>
      </c>
      <c r="F8" s="35">
        <f>'Auditoria nivel 2'!$AB$50*'Estimacion de ingresos'!C8</f>
        <v>0</v>
      </c>
      <c r="G8" s="35">
        <f>'Auditoria nivel 3'!$W$65*D8</f>
        <v>0</v>
      </c>
      <c r="H8" s="35">
        <f>('Auditoria nivel 1'!$Q$28*B8)</f>
        <v>21256140</v>
      </c>
      <c r="I8" s="35">
        <f>'Auditoria nivel 2'!$AB$54*C8</f>
        <v>0</v>
      </c>
      <c r="J8" s="35">
        <f>'Auditoria nivel 3'!$W$69*'Estimacion de ingresos'!D8</f>
        <v>0</v>
      </c>
      <c r="K8" s="2"/>
      <c r="L8" s="2"/>
    </row>
    <row r="9" spans="1:18">
      <c r="A9" s="2" t="s">
        <v>253</v>
      </c>
      <c r="B9" s="2">
        <v>0</v>
      </c>
      <c r="C9" s="2">
        <v>7</v>
      </c>
      <c r="D9" s="2">
        <v>0</v>
      </c>
      <c r="E9" s="35">
        <f>('Auditoria nivel 1'!$Q$24*'Estimacion de ingresos'!B9)</f>
        <v>0</v>
      </c>
      <c r="F9" s="35">
        <f>'Auditoria nivel 2'!$AB$50*'Estimacion de ingresos'!C9</f>
        <v>20461427.226112783</v>
      </c>
      <c r="G9" s="35">
        <f>'Auditoria nivel 3'!$W$65*D9</f>
        <v>0</v>
      </c>
      <c r="H9" s="35">
        <f>('Auditoria nivel 1'!$Q$28*B9)</f>
        <v>0</v>
      </c>
      <c r="I9" s="35">
        <f>'Auditoria nivel 2'!$AB$54*C9</f>
        <v>24553712.67133534</v>
      </c>
      <c r="J9" s="35">
        <f>'Auditoria nivel 3'!$W$69*'Estimacion de ingresos'!D9</f>
        <v>0</v>
      </c>
      <c r="K9" s="2">
        <v>400000</v>
      </c>
      <c r="L9" s="2"/>
    </row>
    <row r="10" spans="1:18">
      <c r="A10" s="2" t="s">
        <v>254</v>
      </c>
      <c r="B10" s="2">
        <v>0</v>
      </c>
      <c r="C10" s="2">
        <v>0</v>
      </c>
      <c r="D10" s="2">
        <v>1</v>
      </c>
      <c r="E10" s="35">
        <f>('Auditoria nivel 1'!$Q$24*'Estimacion de ingresos'!B10)</f>
        <v>0</v>
      </c>
      <c r="F10" s="35">
        <f>'Auditoria nivel 2'!$AB$50*'Estimacion de ingresos'!C10</f>
        <v>0</v>
      </c>
      <c r="G10" s="35">
        <f>'Auditoria nivel 3'!$W$65*D10</f>
        <v>4675613.1465079915</v>
      </c>
      <c r="H10" s="35">
        <f>('Auditoria nivel 1'!$Q$28*B10)</f>
        <v>0</v>
      </c>
      <c r="I10" s="35">
        <f>'Auditoria nivel 2'!$AB$54*C10</f>
        <v>0</v>
      </c>
      <c r="J10" s="35">
        <f>'Auditoria nivel 3'!$W$69*'Estimacion de ingresos'!D10</f>
        <v>5610735.7758095898</v>
      </c>
      <c r="K10" s="2">
        <v>400000</v>
      </c>
      <c r="L10" s="2"/>
    </row>
    <row r="11" spans="1:18">
      <c r="A11" s="2" t="s">
        <v>255</v>
      </c>
      <c r="B11" s="2">
        <v>30</v>
      </c>
      <c r="C11" s="2">
        <v>0</v>
      </c>
      <c r="D11" s="2">
        <v>0</v>
      </c>
      <c r="E11" s="35">
        <f>('Auditoria nivel 1'!$Q$24*'Estimacion de ingresos'!B11)</f>
        <v>17713450</v>
      </c>
      <c r="F11" s="35">
        <f>'Auditoria nivel 2'!$AB$50*'Estimacion de ingresos'!C11</f>
        <v>0</v>
      </c>
      <c r="G11" s="35">
        <f>'Auditoria nivel 3'!$W$65*D11</f>
        <v>0</v>
      </c>
      <c r="H11" s="35">
        <f>('Auditoria nivel 1'!$Q$28*B11)</f>
        <v>21256140</v>
      </c>
      <c r="I11" s="35">
        <f>'Auditoria nivel 2'!$AB$54*C11</f>
        <v>0</v>
      </c>
      <c r="J11" s="35">
        <f>'Auditoria nivel 3'!$W$69*'Estimacion de ingresos'!D11</f>
        <v>0</v>
      </c>
      <c r="K11" s="2"/>
      <c r="L11" s="2"/>
    </row>
    <row r="12" spans="1:18">
      <c r="A12" s="2" t="s">
        <v>256</v>
      </c>
      <c r="B12" s="2">
        <v>0</v>
      </c>
      <c r="C12" s="2">
        <v>7</v>
      </c>
      <c r="D12" s="2">
        <v>0</v>
      </c>
      <c r="E12" s="35">
        <f>('Auditoria nivel 1'!$Q$24*'Estimacion de ingresos'!B12)</f>
        <v>0</v>
      </c>
      <c r="F12" s="35">
        <f>'Auditoria nivel 2'!$AB$50*'Estimacion de ingresos'!C12</f>
        <v>20461427.226112783</v>
      </c>
      <c r="G12" s="35">
        <f>'Auditoria nivel 3'!$W$65*D12</f>
        <v>0</v>
      </c>
      <c r="H12" s="35">
        <f>('Auditoria nivel 1'!$Q$28*B12)</f>
        <v>0</v>
      </c>
      <c r="I12" s="35">
        <f>'Auditoria nivel 2'!$AB$54*C12</f>
        <v>24553712.67133534</v>
      </c>
      <c r="J12" s="35">
        <f>'Auditoria nivel 3'!$W$69*'Estimacion de ingresos'!D12</f>
        <v>0</v>
      </c>
      <c r="K12" s="2">
        <v>400000</v>
      </c>
      <c r="L12" s="2"/>
    </row>
    <row r="13" spans="1:18">
      <c r="A13" s="2" t="s">
        <v>257</v>
      </c>
      <c r="B13" s="2">
        <v>0</v>
      </c>
      <c r="C13" s="2">
        <v>0</v>
      </c>
      <c r="D13" s="2">
        <v>1</v>
      </c>
      <c r="E13" s="35">
        <f>('Auditoria nivel 1'!$Q$24*'Estimacion de ingresos'!B13)</f>
        <v>0</v>
      </c>
      <c r="F13" s="35">
        <f>'Auditoria nivel 2'!$AB$50*'Estimacion de ingresos'!C13</f>
        <v>0</v>
      </c>
      <c r="G13" s="35">
        <f>'Auditoria nivel 3'!$W$65*D13</f>
        <v>4675613.1465079915</v>
      </c>
      <c r="H13" s="35">
        <f>('Auditoria nivel 1'!$Q$28*B13)</f>
        <v>0</v>
      </c>
      <c r="I13" s="35">
        <f>'Auditoria nivel 2'!$AB$54*C13</f>
        <v>0</v>
      </c>
      <c r="J13" s="35">
        <f>'Auditoria nivel 3'!$W$69*'Estimacion de ingresos'!D13</f>
        <v>5610735.7758095898</v>
      </c>
      <c r="K13" s="2">
        <v>400000</v>
      </c>
      <c r="L13" s="2"/>
    </row>
    <row r="14" spans="1:18">
      <c r="A14" s="2" t="s">
        <v>258</v>
      </c>
      <c r="B14" s="2">
        <v>30</v>
      </c>
      <c r="C14" s="2">
        <v>0</v>
      </c>
      <c r="D14" s="2">
        <v>0</v>
      </c>
      <c r="E14" s="35">
        <f>('Auditoria nivel 1'!$Q$24*'Estimacion de ingresos'!B14)</f>
        <v>17713450</v>
      </c>
      <c r="F14" s="35">
        <f>'Auditoria nivel 2'!$AB$50*'Estimacion de ingresos'!C14</f>
        <v>0</v>
      </c>
      <c r="G14" s="35">
        <f>'Auditoria nivel 3'!$W$65*D14</f>
        <v>0</v>
      </c>
      <c r="H14" s="35">
        <f>('Auditoria nivel 1'!$Q$28*B14)</f>
        <v>21256140</v>
      </c>
      <c r="I14" s="35">
        <f>'Auditoria nivel 2'!$AB$54*C14</f>
        <v>0</v>
      </c>
      <c r="J14" s="35">
        <f>'Auditoria nivel 3'!$W$69*'Estimacion de ingresos'!D14</f>
        <v>0</v>
      </c>
      <c r="K14" s="2">
        <v>0</v>
      </c>
      <c r="L14" s="2"/>
    </row>
    <row r="15" spans="1:18">
      <c r="A15" s="2" t="s">
        <v>259</v>
      </c>
      <c r="B15" s="2">
        <v>0</v>
      </c>
      <c r="C15" s="2">
        <v>7</v>
      </c>
      <c r="D15" s="2">
        <v>0</v>
      </c>
      <c r="E15" s="35">
        <f>('Auditoria nivel 1'!$Q$24*'Estimacion de ingresos'!B15)</f>
        <v>0</v>
      </c>
      <c r="F15" s="35">
        <f>'Auditoria nivel 2'!$AB$50*'Estimacion de ingresos'!C15</f>
        <v>20461427.226112783</v>
      </c>
      <c r="G15" s="35">
        <f>'Auditoria nivel 3'!$W$65*D15</f>
        <v>0</v>
      </c>
      <c r="H15" s="35">
        <f>('Auditoria nivel 1'!$Q$28*B15)</f>
        <v>0</v>
      </c>
      <c r="I15" s="35">
        <f>'Auditoria nivel 2'!$AB$54*C15</f>
        <v>24553712.67133534</v>
      </c>
      <c r="J15" s="35">
        <f>'Auditoria nivel 3'!$W$69*'Estimacion de ingresos'!D15</f>
        <v>0</v>
      </c>
      <c r="K15" s="2">
        <v>400000</v>
      </c>
      <c r="L15" s="2"/>
      <c r="Q15" s="387" t="s">
        <v>270</v>
      </c>
      <c r="R15" s="387"/>
    </row>
    <row r="16" spans="1:18">
      <c r="A16" s="2" t="s">
        <v>260</v>
      </c>
      <c r="B16" s="2">
        <v>0</v>
      </c>
      <c r="C16" s="2">
        <v>0</v>
      </c>
      <c r="D16" s="2">
        <v>1</v>
      </c>
      <c r="E16" s="35">
        <f>('Auditoria nivel 1'!$Q$24*'Estimacion de ingresos'!B16)</f>
        <v>0</v>
      </c>
      <c r="F16" s="35">
        <f>'Auditoria nivel 2'!$AB$50*'Estimacion de ingresos'!C16</f>
        <v>0</v>
      </c>
      <c r="G16" s="35">
        <f>'Auditoria nivel 3'!$W$65*D16</f>
        <v>4675613.1465079915</v>
      </c>
      <c r="H16" s="35">
        <f>('Auditoria nivel 1'!$Q$28*B16)</f>
        <v>0</v>
      </c>
      <c r="I16" s="35">
        <f>'Auditoria nivel 2'!$AB$54*C16</f>
        <v>0</v>
      </c>
      <c r="J16" s="35">
        <f>'Auditoria nivel 3'!$W$69*'Estimacion de ingresos'!D16</f>
        <v>5610735.7758095898</v>
      </c>
      <c r="K16" s="2">
        <v>400000</v>
      </c>
      <c r="L16" s="2"/>
      <c r="Q16" s="2" t="s">
        <v>274</v>
      </c>
      <c r="R16" s="6">
        <v>4</v>
      </c>
    </row>
    <row r="17" spans="1:24">
      <c r="A17" s="172" t="s">
        <v>267</v>
      </c>
      <c r="B17" s="173">
        <f>SUM(B5:B16)</f>
        <v>120</v>
      </c>
      <c r="C17" s="173">
        <f t="shared" ref="C17:E17" si="0">SUM(C5:C16)</f>
        <v>28</v>
      </c>
      <c r="D17" s="173">
        <f t="shared" si="0"/>
        <v>4</v>
      </c>
      <c r="E17" s="174">
        <f t="shared" si="0"/>
        <v>70853800</v>
      </c>
      <c r="F17" s="174">
        <f t="shared" ref="F17" si="1">SUM(F5:F16)</f>
        <v>81845708.904451132</v>
      </c>
      <c r="G17" s="174">
        <f t="shared" ref="G17:H17" si="2">SUM(G5:G16)</f>
        <v>18702452.586031966</v>
      </c>
      <c r="H17" s="174">
        <f t="shared" si="2"/>
        <v>85024560</v>
      </c>
      <c r="I17" s="174">
        <f t="shared" ref="I17" si="3">SUM(I5:I16)</f>
        <v>98214850.685341358</v>
      </c>
      <c r="J17" s="174">
        <f t="shared" ref="J17:K17" si="4">SUM(J5:J16)</f>
        <v>22442943.103238359</v>
      </c>
      <c r="K17" s="174">
        <f t="shared" si="4"/>
        <v>3200000</v>
      </c>
      <c r="L17" s="2"/>
    </row>
    <row r="18" spans="1:24">
      <c r="A18" s="171" t="s">
        <v>38</v>
      </c>
      <c r="B18" s="179"/>
      <c r="C18" s="179"/>
      <c r="D18" s="175">
        <f>SUM(B17:D17)</f>
        <v>152</v>
      </c>
      <c r="E18" s="179"/>
      <c r="F18" s="179"/>
      <c r="G18" s="176">
        <f>SUM(E17:G17)</f>
        <v>171401961.49048311</v>
      </c>
      <c r="H18" s="179"/>
      <c r="I18" s="179"/>
      <c r="J18" s="177">
        <f>SUM(H17:J17)</f>
        <v>205682353.7885797</v>
      </c>
      <c r="K18" s="178">
        <f>K17</f>
        <v>3200000</v>
      </c>
      <c r="L18" s="169"/>
    </row>
    <row r="22" spans="1:24">
      <c r="A22" s="377" t="s">
        <v>516</v>
      </c>
      <c r="B22" s="377"/>
      <c r="C22" s="377"/>
      <c r="D22" s="377"/>
      <c r="E22" s="377"/>
      <c r="F22" s="377"/>
      <c r="G22" s="377"/>
      <c r="H22" s="377"/>
      <c r="I22" s="377"/>
      <c r="J22" s="377"/>
      <c r="K22" s="377"/>
      <c r="L22" s="377"/>
    </row>
    <row r="23" spans="1:24">
      <c r="A23" s="6"/>
      <c r="B23" s="386" t="s">
        <v>120</v>
      </c>
      <c r="C23" s="386"/>
      <c r="D23" s="386"/>
      <c r="E23" s="386"/>
      <c r="F23" s="386"/>
      <c r="G23" s="386"/>
      <c r="H23" s="386"/>
      <c r="I23" s="386"/>
      <c r="J23" s="386"/>
      <c r="K23" s="386"/>
      <c r="L23" s="386"/>
      <c r="X23" t="s">
        <v>515</v>
      </c>
    </row>
    <row r="24" spans="1:24">
      <c r="A24" s="166" t="s">
        <v>268</v>
      </c>
      <c r="B24" s="167">
        <v>0</v>
      </c>
      <c r="C24" s="167">
        <v>1</v>
      </c>
      <c r="D24" s="167">
        <v>2</v>
      </c>
      <c r="E24" s="167">
        <v>3</v>
      </c>
      <c r="F24" s="167">
        <v>4</v>
      </c>
      <c r="G24" s="167">
        <v>5</v>
      </c>
      <c r="H24" s="167">
        <v>6</v>
      </c>
      <c r="I24" s="167">
        <v>7</v>
      </c>
      <c r="J24" s="167">
        <v>8</v>
      </c>
      <c r="K24" s="167">
        <v>9</v>
      </c>
      <c r="L24" s="167">
        <v>10</v>
      </c>
    </row>
    <row r="25" spans="1:24">
      <c r="A25" s="6" t="s">
        <v>269</v>
      </c>
      <c r="B25" s="35">
        <v>0</v>
      </c>
      <c r="C25" s="35">
        <f>J18</f>
        <v>205682353.7885797</v>
      </c>
      <c r="D25" s="35">
        <f>+C25*(1+($R$16/100))</f>
        <v>213909647.9401229</v>
      </c>
      <c r="E25" s="35">
        <f t="shared" ref="E25:M25" si="5">+D25*(1+($R$16/100))</f>
        <v>222466033.85772783</v>
      </c>
      <c r="F25" s="35">
        <f t="shared" si="5"/>
        <v>231364675.21203694</v>
      </c>
      <c r="G25" s="35">
        <f t="shared" si="5"/>
        <v>240619262.22051841</v>
      </c>
      <c r="H25" s="35">
        <f t="shared" si="5"/>
        <v>250244032.70933914</v>
      </c>
      <c r="I25" s="35">
        <f t="shared" si="5"/>
        <v>260253794.01771271</v>
      </c>
      <c r="J25" s="35">
        <f t="shared" si="5"/>
        <v>270663945.77842122</v>
      </c>
      <c r="K25" s="35">
        <f t="shared" si="5"/>
        <v>281490503.60955811</v>
      </c>
      <c r="L25" s="35">
        <f t="shared" si="5"/>
        <v>292750123.75394046</v>
      </c>
      <c r="M25" s="35">
        <f t="shared" si="5"/>
        <v>304460128.70409811</v>
      </c>
    </row>
    <row r="26" spans="1:24">
      <c r="A26" s="6" t="s">
        <v>246</v>
      </c>
      <c r="B26" s="35">
        <f>$B$25</f>
        <v>0</v>
      </c>
      <c r="C26" s="35">
        <f>K18</f>
        <v>3200000</v>
      </c>
      <c r="D26" s="35">
        <f>+C26*(1+($R$16/100))</f>
        <v>3328000</v>
      </c>
      <c r="E26" s="35">
        <f t="shared" ref="E26:L27" si="6">+D26*(1+($R$16/100))</f>
        <v>3461120</v>
      </c>
      <c r="F26" s="35">
        <f t="shared" si="6"/>
        <v>3599564.8000000003</v>
      </c>
      <c r="G26" s="35">
        <f t="shared" si="6"/>
        <v>3743547.3920000005</v>
      </c>
      <c r="H26" s="35">
        <f t="shared" si="6"/>
        <v>3893289.2876800005</v>
      </c>
      <c r="I26" s="35">
        <f t="shared" si="6"/>
        <v>4049020.8591872007</v>
      </c>
      <c r="J26" s="35">
        <f t="shared" si="6"/>
        <v>4210981.6935546892</v>
      </c>
      <c r="K26" s="35">
        <f t="shared" si="6"/>
        <v>4379420.9612968769</v>
      </c>
      <c r="L26" s="35">
        <f t="shared" si="6"/>
        <v>4554597.7997487523</v>
      </c>
      <c r="M26" s="35" t="e">
        <f>+#REF!*(1+($R$16/100))</f>
        <v>#REF!</v>
      </c>
    </row>
    <row r="27" spans="1:24">
      <c r="A27" s="182" t="s">
        <v>182</v>
      </c>
      <c r="B27" s="174">
        <f>SUM(B25:B26)</f>
        <v>0</v>
      </c>
      <c r="C27" s="174">
        <f>SUM(C25:C26)</f>
        <v>208882353.7885797</v>
      </c>
      <c r="D27" s="174">
        <f>+C27*(1+($R$16/100))</f>
        <v>217237647.9401229</v>
      </c>
      <c r="E27" s="174">
        <f t="shared" si="6"/>
        <v>225927153.85772783</v>
      </c>
      <c r="F27" s="174">
        <f t="shared" si="6"/>
        <v>234964240.01203695</v>
      </c>
      <c r="G27" s="174">
        <f t="shared" si="6"/>
        <v>244362809.61251843</v>
      </c>
      <c r="H27" s="174">
        <f t="shared" si="6"/>
        <v>254137321.99701917</v>
      </c>
      <c r="I27" s="174">
        <f t="shared" si="6"/>
        <v>264302814.87689996</v>
      </c>
      <c r="J27" s="174">
        <f t="shared" si="6"/>
        <v>274874927.47197598</v>
      </c>
      <c r="K27" s="174">
        <f t="shared" si="6"/>
        <v>285869924.57085502</v>
      </c>
      <c r="L27" s="174">
        <f t="shared" si="6"/>
        <v>297304721.55368924</v>
      </c>
      <c r="M27" s="35">
        <f>+L26*(1+($R$16/100))</f>
        <v>4736781.7117387028</v>
      </c>
    </row>
    <row r="28" spans="1:24">
      <c r="M28" s="35">
        <f>+L27*(1+($R$16/100))</f>
        <v>309196910.41583681</v>
      </c>
    </row>
  </sheetData>
  <mergeCells count="6">
    <mergeCell ref="B23:L23"/>
    <mergeCell ref="A22:L22"/>
    <mergeCell ref="Q15:R15"/>
    <mergeCell ref="E3:G3"/>
    <mergeCell ref="H3:J3"/>
    <mergeCell ref="A2: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Inversion</vt:lpstr>
      <vt:lpstr>Equipos</vt:lpstr>
      <vt:lpstr>Depreciacion equipos</vt:lpstr>
      <vt:lpstr>Nomina</vt:lpstr>
      <vt:lpstr>Auditoria nivel 1</vt:lpstr>
      <vt:lpstr>Auditoria nivel 2</vt:lpstr>
      <vt:lpstr>Auditoria nivel 3</vt:lpstr>
      <vt:lpstr>Costo operacion</vt:lpstr>
      <vt:lpstr>Estimacion de ingresos</vt:lpstr>
      <vt:lpstr>Apalancamiento financiero</vt:lpstr>
      <vt:lpstr>Flujo de caja (recursos)</vt:lpstr>
      <vt:lpstr>Flujo de caja (Financiado)</vt:lpstr>
      <vt:lpstr>Optimista vpn y tir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 Nicolas</dc:creator>
  <cp:lastModifiedBy>maicol perez</cp:lastModifiedBy>
  <dcterms:created xsi:type="dcterms:W3CDTF">2017-10-24T11:48:29Z</dcterms:created>
  <dcterms:modified xsi:type="dcterms:W3CDTF">2017-11-02T08:32:22Z</dcterms:modified>
</cp:coreProperties>
</file>