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d26693e6cd8cd0a6/Documentos/"/>
    </mc:Choice>
  </mc:AlternateContent>
  <xr:revisionPtr revIDLastSave="0" documentId="8_{3A1A3580-818F-424C-9C3C-63CBAA7606F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Flujo de caja" sheetId="35" r:id="rId1"/>
    <sheet name="Gastos Generales" sheetId="6" r:id="rId2"/>
    <sheet name="Nomina" sheetId="1" r:id="rId3"/>
    <sheet name="Activos Fijos" sheetId="7" r:id="rId4"/>
    <sheet name="Costos Fijos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7" i="6" l="1"/>
  <c r="E16" i="6"/>
  <c r="E22" i="6"/>
  <c r="F7" i="35" l="1"/>
  <c r="E8" i="35"/>
  <c r="F8" i="35" s="1"/>
  <c r="G8" i="35" s="1"/>
  <c r="H8" i="35" s="1"/>
  <c r="I8" i="35" s="1"/>
  <c r="E7" i="35"/>
  <c r="G7" i="35"/>
  <c r="H7" i="35"/>
  <c r="I7" i="35"/>
  <c r="E6" i="35"/>
  <c r="F6" i="35" s="1"/>
  <c r="G6" i="35" s="1"/>
  <c r="H6" i="35" s="1"/>
  <c r="I6" i="35" s="1"/>
  <c r="D5" i="35" l="1"/>
  <c r="D7" i="35" l="1"/>
  <c r="E5" i="35"/>
  <c r="F5" i="35"/>
  <c r="G5" i="35"/>
  <c r="H5" i="35"/>
  <c r="I5" i="35"/>
  <c r="G22" i="6"/>
  <c r="G23" i="6" s="1"/>
  <c r="F3" i="6" s="1"/>
  <c r="H27" i="6" l="1"/>
  <c r="H28" i="6" l="1"/>
  <c r="F6" i="6" s="1"/>
  <c r="G17" i="6" l="1"/>
  <c r="G16" i="6"/>
  <c r="F32" i="6"/>
  <c r="G32" i="6" s="1"/>
  <c r="H32" i="6" s="1"/>
  <c r="I32" i="6" s="1"/>
  <c r="J32" i="6" s="1"/>
  <c r="K32" i="6" s="1"/>
  <c r="L32" i="6" s="1"/>
  <c r="M32" i="6" s="1"/>
  <c r="N32" i="6" s="1"/>
  <c r="O32" i="6" s="1"/>
  <c r="G18" i="6" l="1"/>
  <c r="E13" i="35" l="1"/>
  <c r="F13" i="35"/>
  <c r="G13" i="35"/>
  <c r="H13" i="35"/>
  <c r="I13" i="35"/>
  <c r="E4" i="35"/>
  <c r="E12" i="35" s="1"/>
  <c r="E19" i="35" l="1"/>
  <c r="E15" i="35"/>
  <c r="E17" i="35"/>
  <c r="F4" i="35"/>
  <c r="F19" i="35" l="1"/>
  <c r="F15" i="35"/>
  <c r="F17" i="35"/>
  <c r="G4" i="35"/>
  <c r="F12" i="35"/>
  <c r="G19" i="35" l="1"/>
  <c r="G15" i="35"/>
  <c r="G17" i="35"/>
  <c r="H4" i="35"/>
  <c r="G12" i="35"/>
  <c r="E14" i="7"/>
  <c r="E6" i="7"/>
  <c r="E7" i="7"/>
  <c r="E8" i="7"/>
  <c r="E9" i="7"/>
  <c r="E10" i="7"/>
  <c r="E11" i="7"/>
  <c r="E12" i="7"/>
  <c r="E13" i="7"/>
  <c r="E5" i="7"/>
  <c r="E4" i="7" s="1"/>
  <c r="H19" i="35" l="1"/>
  <c r="H15" i="35"/>
  <c r="H17" i="35"/>
  <c r="I4" i="35"/>
  <c r="H12" i="35"/>
  <c r="G11" i="1"/>
  <c r="C11" i="1"/>
  <c r="E9" i="1"/>
  <c r="F9" i="1" s="1"/>
  <c r="E8" i="1"/>
  <c r="F8" i="1" s="1"/>
  <c r="E6" i="1"/>
  <c r="F6" i="1" s="1"/>
  <c r="E7" i="1"/>
  <c r="F7" i="1" s="1"/>
  <c r="I15" i="35" l="1"/>
  <c r="I19" i="35"/>
  <c r="I12" i="35"/>
  <c r="I17" i="35"/>
  <c r="J7" i="1"/>
  <c r="F26" i="1" s="1"/>
  <c r="F34" i="1"/>
  <c r="F27" i="1"/>
  <c r="F18" i="1"/>
  <c r="F33" i="1"/>
  <c r="F19" i="1"/>
  <c r="F32" i="1"/>
  <c r="F25" i="1"/>
  <c r="F17" i="1"/>
  <c r="J8" i="1"/>
  <c r="G26" i="1" s="1"/>
  <c r="G16" i="1"/>
  <c r="G33" i="1"/>
  <c r="G32" i="1"/>
  <c r="G34" i="1"/>
  <c r="G19" i="1"/>
  <c r="G25" i="1"/>
  <c r="G18" i="1"/>
  <c r="G27" i="1"/>
  <c r="G17" i="1"/>
  <c r="E33" i="1"/>
  <c r="E25" i="1"/>
  <c r="E16" i="1"/>
  <c r="E34" i="1"/>
  <c r="E17" i="1"/>
  <c r="E32" i="1"/>
  <c r="E27" i="1"/>
  <c r="E19" i="1"/>
  <c r="E18" i="1"/>
  <c r="J9" i="1"/>
  <c r="H26" i="1" s="1"/>
  <c r="H32" i="1"/>
  <c r="H17" i="1"/>
  <c r="H27" i="1"/>
  <c r="H19" i="1"/>
  <c r="H18" i="1"/>
  <c r="H25" i="1"/>
  <c r="H34" i="1"/>
  <c r="H33" i="1"/>
  <c r="J6" i="1"/>
  <c r="E26" i="1" s="1"/>
  <c r="I9" i="1"/>
  <c r="I8" i="1"/>
  <c r="I7" i="1"/>
  <c r="I6" i="1"/>
  <c r="H9" i="1"/>
  <c r="H8" i="1"/>
  <c r="H7" i="1"/>
  <c r="H6" i="1"/>
  <c r="L8" i="1" l="1"/>
  <c r="K8" i="1"/>
  <c r="K9" i="1"/>
  <c r="L9" i="1" s="1"/>
  <c r="F16" i="1"/>
  <c r="H16" i="1"/>
  <c r="K6" i="1"/>
  <c r="L6" i="1" s="1"/>
  <c r="K7" i="1"/>
  <c r="L7" i="1" s="1"/>
  <c r="O4" i="3" l="1"/>
  <c r="F4" i="6" s="1"/>
  <c r="E16" i="35" l="1"/>
  <c r="F16" i="35"/>
  <c r="G16" i="35"/>
  <c r="H16" i="35"/>
  <c r="I16" i="35"/>
  <c r="E22" i="7"/>
  <c r="E21" i="7"/>
  <c r="E20" i="7"/>
  <c r="E18" i="7"/>
  <c r="E16" i="7"/>
  <c r="C17" i="7"/>
  <c r="E17" i="7" s="1"/>
  <c r="E15" i="7" l="1"/>
  <c r="E19" i="7"/>
  <c r="D20" i="35" l="1"/>
  <c r="E5" i="1"/>
  <c r="F5" i="1" l="1"/>
  <c r="H5" i="1" s="1"/>
  <c r="E11" i="1"/>
  <c r="D32" i="1" l="1"/>
  <c r="D16" i="1"/>
  <c r="D33" i="1"/>
  <c r="D25" i="1"/>
  <c r="D19" i="1"/>
  <c r="D34" i="1"/>
  <c r="D27" i="1"/>
  <c r="D18" i="1"/>
  <c r="D17" i="1"/>
  <c r="I5" i="1"/>
  <c r="J5" i="1"/>
  <c r="D26" i="1" s="1"/>
  <c r="H11" i="1"/>
  <c r="F11" i="1"/>
  <c r="D35" i="1" l="1"/>
  <c r="K5" i="1"/>
  <c r="D28" i="1"/>
  <c r="E35" i="1"/>
  <c r="E28" i="1"/>
  <c r="J11" i="1"/>
  <c r="I11" i="1"/>
  <c r="E20" i="1"/>
  <c r="D20" i="1"/>
  <c r="K11" i="1" l="1"/>
  <c r="L11" i="1" s="1"/>
  <c r="F7" i="6" s="1"/>
  <c r="L5" i="1"/>
  <c r="F35" i="1"/>
  <c r="F28" i="1"/>
  <c r="F20" i="1"/>
  <c r="H20" i="1"/>
  <c r="G20" i="1"/>
  <c r="E18" i="35" l="1"/>
  <c r="E22" i="35" s="1"/>
  <c r="F18" i="35"/>
  <c r="F22" i="35" s="1"/>
  <c r="G18" i="35"/>
  <c r="G22" i="35" s="1"/>
  <c r="H18" i="35"/>
  <c r="H22" i="35" s="1"/>
  <c r="I18" i="35"/>
  <c r="I22" i="35" s="1"/>
  <c r="H28" i="1"/>
  <c r="G28" i="1"/>
  <c r="H35" i="1"/>
  <c r="G35" i="1"/>
  <c r="E38" i="1" l="1"/>
  <c r="F41" i="1" l="1"/>
  <c r="J6" i="3" l="1"/>
  <c r="E6" i="3"/>
  <c r="F6" i="3"/>
  <c r="D6" i="3"/>
  <c r="G6" i="3"/>
  <c r="L6" i="3"/>
  <c r="K6" i="3"/>
  <c r="N6" i="3"/>
  <c r="C6" i="3"/>
  <c r="M6" i="3"/>
  <c r="I6" i="3"/>
  <c r="H6" i="3"/>
  <c r="O6" i="3" l="1"/>
  <c r="E23" i="7" l="1"/>
  <c r="D26" i="35" l="1"/>
  <c r="D28" i="35" s="1"/>
  <c r="E33" i="6"/>
  <c r="E34" i="6" s="1"/>
  <c r="I7" i="3"/>
  <c r="L7" i="3"/>
  <c r="F7" i="3"/>
  <c r="G7" i="3"/>
  <c r="K7" i="3"/>
  <c r="J7" i="3"/>
  <c r="H7" i="3"/>
  <c r="N7" i="3"/>
  <c r="M7" i="3"/>
  <c r="E7" i="3"/>
  <c r="D7" i="3"/>
  <c r="F35" i="6" l="1"/>
  <c r="F34" i="6"/>
  <c r="O7" i="3"/>
  <c r="C7" i="3"/>
  <c r="E23" i="35" l="1"/>
  <c r="E24" i="35" s="1"/>
  <c r="F8" i="6"/>
  <c r="F9" i="6" s="1"/>
  <c r="F12" i="6" s="1"/>
  <c r="G35" i="6"/>
  <c r="E25" i="35" l="1"/>
  <c r="E26" i="35"/>
  <c r="E28" i="35" s="1"/>
  <c r="H35" i="6"/>
  <c r="F23" i="35"/>
  <c r="F24" i="35" s="1"/>
  <c r="F25" i="35" s="1"/>
  <c r="G34" i="6"/>
  <c r="H34" i="6" l="1"/>
  <c r="G23" i="35"/>
  <c r="G24" i="35" s="1"/>
  <c r="G25" i="35" s="1"/>
  <c r="I35" i="6"/>
  <c r="I34" i="6" s="1"/>
  <c r="H23" i="35" l="1"/>
  <c r="H24" i="35" s="1"/>
  <c r="H25" i="35" s="1"/>
  <c r="J35" i="6"/>
  <c r="K35" i="6" l="1"/>
  <c r="L35" i="6" s="1"/>
  <c r="M35" i="6" s="1"/>
  <c r="N35" i="6" s="1"/>
  <c r="O35" i="6" s="1"/>
  <c r="I23" i="35"/>
  <c r="I24" i="35" s="1"/>
  <c r="I25" i="35" s="1"/>
  <c r="J34" i="6"/>
  <c r="K34" i="6" s="1"/>
  <c r="L34" i="6" s="1"/>
  <c r="M34" i="6" s="1"/>
  <c r="N34" i="6" s="1"/>
  <c r="O34" i="6" s="1"/>
  <c r="F26" i="35"/>
  <c r="F28" i="35" s="1"/>
  <c r="G26" i="35"/>
  <c r="G28" i="35" s="1"/>
  <c r="I26" i="35" l="1"/>
  <c r="I28" i="35" s="1"/>
  <c r="H26" i="35"/>
  <c r="H28" i="35" s="1"/>
  <c r="D30" i="35" s="1"/>
  <c r="G32" i="35"/>
  <c r="D31" i="35" l="1"/>
  <c r="F32" i="35"/>
  <c r="D32" i="35" s="1"/>
</calcChain>
</file>

<file path=xl/sharedStrings.xml><?xml version="1.0" encoding="utf-8"?>
<sst xmlns="http://schemas.openxmlformats.org/spreadsheetml/2006/main" count="171" uniqueCount="136">
  <si>
    <t>Nombre</t>
  </si>
  <si>
    <t>Sueldo liquidado</t>
  </si>
  <si>
    <t>Auxilio de Transporte</t>
  </si>
  <si>
    <t>TOTAL DEVENGADO</t>
  </si>
  <si>
    <t>Salud</t>
  </si>
  <si>
    <t xml:space="preserve">Pensión </t>
  </si>
  <si>
    <t>NETO PAGADO</t>
  </si>
  <si>
    <t>TOTAL</t>
  </si>
  <si>
    <t>Valor Día</t>
  </si>
  <si>
    <t>Días Trabajados</t>
  </si>
  <si>
    <t>%</t>
  </si>
  <si>
    <t xml:space="preserve">Cesantias </t>
  </si>
  <si>
    <t xml:space="preserve">% Cesantias </t>
  </si>
  <si>
    <t>Prima de servicios</t>
  </si>
  <si>
    <t xml:space="preserve">Vacaciones </t>
  </si>
  <si>
    <t xml:space="preserve">Pension </t>
  </si>
  <si>
    <t>Caja de Compensación</t>
  </si>
  <si>
    <t>ICBF</t>
  </si>
  <si>
    <t>Sena</t>
  </si>
  <si>
    <t>Total Neto Pagado + Provisión Gastos Prestacionales + Parafiscales</t>
  </si>
  <si>
    <t>Concepto</t>
  </si>
  <si>
    <t>Gastos Operacionales</t>
  </si>
  <si>
    <t>Total Año 1</t>
  </si>
  <si>
    <t>Agua</t>
  </si>
  <si>
    <t>Energía electrica</t>
  </si>
  <si>
    <t>Total Gastos Operacionales</t>
  </si>
  <si>
    <t xml:space="preserve">Nomina </t>
  </si>
  <si>
    <t>Cantidad</t>
  </si>
  <si>
    <t>Costo</t>
  </si>
  <si>
    <t>ACTIVOS FIJOS</t>
  </si>
  <si>
    <t>DESCRIPCION</t>
  </si>
  <si>
    <t>Valor unitario</t>
  </si>
  <si>
    <t>Valor Total</t>
  </si>
  <si>
    <t>Maquinaria y equipo</t>
  </si>
  <si>
    <t>Muebles y Enseres</t>
  </si>
  <si>
    <t>Escritorio</t>
  </si>
  <si>
    <t xml:space="preserve">Sillas </t>
  </si>
  <si>
    <t>Archivador</t>
  </si>
  <si>
    <t>Equipo de computo y comunicación</t>
  </si>
  <si>
    <t>Impresora Multifuncional Canon</t>
  </si>
  <si>
    <t>Telefono</t>
  </si>
  <si>
    <t xml:space="preserve">Computador </t>
  </si>
  <si>
    <r>
      <rPr>
        <b/>
        <sz val="11"/>
        <color theme="1"/>
        <rFont val="Times New Roman"/>
        <family val="1"/>
      </rPr>
      <t>MATERIA PRIMA</t>
    </r>
    <r>
      <rPr>
        <sz val="11"/>
        <color theme="1"/>
        <rFont val="Times New Roman"/>
        <family val="1"/>
      </rPr>
      <t xml:space="preserve"> </t>
    </r>
  </si>
  <si>
    <t>Febrero</t>
  </si>
  <si>
    <t>Mayo</t>
  </si>
  <si>
    <t>Junio</t>
  </si>
  <si>
    <t>Julio</t>
  </si>
  <si>
    <t>Septiembre</t>
  </si>
  <si>
    <t>Octubre</t>
  </si>
  <si>
    <t>Noviembre</t>
  </si>
  <si>
    <t>Diciembre</t>
  </si>
  <si>
    <t xml:space="preserve">Depreciación </t>
  </si>
  <si>
    <t>Marzo</t>
  </si>
  <si>
    <t>Agosto</t>
  </si>
  <si>
    <t>=</t>
  </si>
  <si>
    <t>Enero</t>
  </si>
  <si>
    <t>Transporte</t>
  </si>
  <si>
    <t>Prestaciones Sociales</t>
  </si>
  <si>
    <t>Seguridad Social</t>
  </si>
  <si>
    <t xml:space="preserve">Parafiscales </t>
  </si>
  <si>
    <t>G. Administracion</t>
  </si>
  <si>
    <t>G.Administracion</t>
  </si>
  <si>
    <t>Abril</t>
  </si>
  <si>
    <t>TIR</t>
  </si>
  <si>
    <t>PAYBACK</t>
  </si>
  <si>
    <t>Supervisor Operativo</t>
  </si>
  <si>
    <t>Empleado 1</t>
  </si>
  <si>
    <t>Empleado 2</t>
  </si>
  <si>
    <t>Empleado 3</t>
  </si>
  <si>
    <t>Empleado 4</t>
  </si>
  <si>
    <t>IBC</t>
  </si>
  <si>
    <t>TOTAL DEDUCIDO EMPLEADOR</t>
  </si>
  <si>
    <t>ARL  (Nivel III)</t>
  </si>
  <si>
    <t>Total Provisión gastos Prestacionales + Parafiscales</t>
  </si>
  <si>
    <t>Aglutinadora</t>
  </si>
  <si>
    <t>Lavadora industrial</t>
  </si>
  <si>
    <t>Banda transportadora</t>
  </si>
  <si>
    <t>Balanza de piso</t>
  </si>
  <si>
    <t>Molino para plastico</t>
  </si>
  <si>
    <t>Secadora de plastico</t>
  </si>
  <si>
    <t>Tolva de cargue</t>
  </si>
  <si>
    <t>Tolva de descargue</t>
  </si>
  <si>
    <t>(Inyectora, extrusora, Termoformadora)</t>
  </si>
  <si>
    <t>Vehiculo</t>
  </si>
  <si>
    <t xml:space="preserve">(-) Costos de comercialización </t>
  </si>
  <si>
    <r>
      <rPr>
        <b/>
        <sz val="10"/>
        <rFont val="Times New Roman"/>
        <family val="1"/>
      </rPr>
      <t xml:space="preserve">(=) </t>
    </r>
    <r>
      <rPr>
        <sz val="10"/>
        <rFont val="Times New Roman"/>
        <family val="1"/>
      </rPr>
      <t xml:space="preserve">EBITDA </t>
    </r>
  </si>
  <si>
    <r>
      <t xml:space="preserve">(-) </t>
    </r>
    <r>
      <rPr>
        <sz val="10"/>
        <rFont val="Times New Roman"/>
        <family val="1"/>
      </rPr>
      <t xml:space="preserve">Depreciación </t>
    </r>
  </si>
  <si>
    <t xml:space="preserve"> =Beneficio antes de impuestos</t>
  </si>
  <si>
    <t xml:space="preserve"> (-) Impuesto de renta</t>
  </si>
  <si>
    <t xml:space="preserve"> =Beneficio neto</t>
  </si>
  <si>
    <t>(+) Ventas material transformado</t>
  </si>
  <si>
    <t>(+) Ventas material semi procesado</t>
  </si>
  <si>
    <t>(-) Mano de obra</t>
  </si>
  <si>
    <t>Deflactor Inflacionario</t>
  </si>
  <si>
    <t>Impuesto de renta</t>
  </si>
  <si>
    <t>Unidades Vendidas (kg)</t>
  </si>
  <si>
    <t>(-) Maquinaria y equipo</t>
  </si>
  <si>
    <t>VPN</t>
  </si>
  <si>
    <t>RCB</t>
  </si>
  <si>
    <t>Inflación Interna (IPC 2019)</t>
  </si>
  <si>
    <t>Precio Material Tranformado ($/kg)</t>
  </si>
  <si>
    <t>Precio Material Semi procesado ($/kg)</t>
  </si>
  <si>
    <t>Material semiprocesado</t>
  </si>
  <si>
    <t>Material transformado</t>
  </si>
  <si>
    <t>Venta de productos</t>
  </si>
  <si>
    <t>Venta dia</t>
  </si>
  <si>
    <t>CV</t>
  </si>
  <si>
    <t xml:space="preserve">Costo Materias Primas </t>
  </si>
  <si>
    <t>Costo Servicios publicos</t>
  </si>
  <si>
    <t>Costo Mantenimiento</t>
  </si>
  <si>
    <t>CF</t>
  </si>
  <si>
    <t>Costo Mano de Obra</t>
  </si>
  <si>
    <t xml:space="preserve">Costo de Producción </t>
  </si>
  <si>
    <t>Gastos de ventas</t>
  </si>
  <si>
    <t xml:space="preserve">Gastos de Administracion </t>
  </si>
  <si>
    <t>Costos de Operación</t>
  </si>
  <si>
    <t>Compra de Materia Prima</t>
  </si>
  <si>
    <t>Material reciclado</t>
  </si>
  <si>
    <t>Compra día</t>
  </si>
  <si>
    <t>(-) Servicios públicos</t>
  </si>
  <si>
    <t>(-) Combustible</t>
  </si>
  <si>
    <t>Activo fijo (Valor en libros)</t>
  </si>
  <si>
    <t xml:space="preserve">Depreciación acumulada </t>
  </si>
  <si>
    <t>Maquinaria</t>
  </si>
  <si>
    <t>Tabla de Costos Fijos y Variables</t>
  </si>
  <si>
    <t>Total ventas</t>
  </si>
  <si>
    <t>Total MP</t>
  </si>
  <si>
    <t>Camión</t>
  </si>
  <si>
    <t>Cantidad Kg/año</t>
  </si>
  <si>
    <t>Costo Gal</t>
  </si>
  <si>
    <t>Recorrido Km/año</t>
  </si>
  <si>
    <t>Consumo GL</t>
  </si>
  <si>
    <t>Tasa interna de oportunidad</t>
  </si>
  <si>
    <t>(-) Gastos Administrativos</t>
  </si>
  <si>
    <t xml:space="preserve"> =FLUJO DE CAJA </t>
  </si>
  <si>
    <t>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</si>
</sst>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&quot;$&quot;* #,##0_-;\-&quot;$&quot;* #,##0_-;_-&quot;$&quot;* &quot;-&quot;_-;_-@_-"/>
    <numFmt numFmtId="166" formatCode="_-&quot;$&quot;* #,##0.00_-;\-&quot;$&quot;* #,##0.00_-;_-&quot;$&quot;* &quot;-&quot;??_-;_-@_-"/>
    <numFmt numFmtId="167" formatCode="0.000%"/>
    <numFmt numFmtId="168" formatCode="0.0%"/>
    <numFmt numFmtId="169" formatCode="_-* #,##0.00\ _€_-;\-* #,##0.00\ _€_-;_-* &quot;-&quot;??\ _€_-;_-@_-"/>
    <numFmt numFmtId="170" formatCode="_-* #,##0.00\ &quot;€&quot;_-;\-* #,##0.00\ &quot;€&quot;_-;_-* &quot;-&quot;??\ &quot;€&quot;_-;_-@_-"/>
    <numFmt numFmtId="171" formatCode="_ &quot;$&quot;\ * #,##0.00_ ;_ &quot;$&quot;\ * \-#,##0.00_ ;_ &quot;$&quot;\ * &quot;-&quot;??_ ;_ @_ "/>
    <numFmt numFmtId="172" formatCode="_ * #,##0.00_ ;_ * \-#,##0.00_ ;_ * &quot;-&quot;??_ ;_ @_ "/>
    <numFmt numFmtId="173" formatCode="_ [$€]\ * #,##0.00_ ;_ [$€]\ * \-#,##0.00_ ;_ [$€]\ * &quot;-&quot;??_ ;_ @_ "/>
    <numFmt numFmtId="174" formatCode="_ &quot;$&quot;\ * #,##0_ ;_ &quot;$&quot;\ * \-#,##0_ ;_ &quot;$&quot;\ * &quot;-&quot;??_ ;_ @_ "/>
    <numFmt numFmtId="175" formatCode="&quot;$&quot;\ #,##0.00"/>
    <numFmt numFmtId="176" formatCode="[$$-45C]#,##0.00"/>
    <numFmt numFmtId="177" formatCode="0.000"/>
    <numFmt numFmtId="178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0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scheme val="minor"/>
    </font>
    <font>
      <sz val="1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5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5" fillId="0" borderId="0"/>
    <xf numFmtId="170" fontId="1" fillId="0" borderId="0" applyFont="0" applyFill="0" applyBorder="0" applyAlignment="0" applyProtection="0"/>
    <xf numFmtId="0" fontId="7" fillId="0" borderId="0"/>
    <xf numFmtId="0" fontId="7" fillId="0" borderId="0"/>
    <xf numFmtId="164" fontId="6" fillId="0" borderId="0" applyFont="0" applyFill="0" applyBorder="0" applyAlignment="0" applyProtection="0"/>
    <xf numFmtId="41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" fillId="0" borderId="0"/>
    <xf numFmtId="17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2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60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/>
    <xf numFmtId="0" fontId="3" fillId="0" borderId="0" xfId="0" applyFont="1"/>
    <xf numFmtId="0" fontId="8" fillId="0" borderId="1" xfId="0" applyFont="1" applyFill="1" applyBorder="1" applyAlignment="1">
      <alignment horizontal="left"/>
    </xf>
    <xf numFmtId="4" fontId="9" fillId="0" borderId="1" xfId="30" applyNumberFormat="1" applyFont="1" applyFill="1" applyBorder="1" applyAlignment="1">
      <alignment horizontal="center"/>
    </xf>
    <xf numFmtId="4" fontId="9" fillId="0" borderId="1" xfId="2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0" fillId="0" borderId="0" xfId="0"/>
    <xf numFmtId="174" fontId="8" fillId="8" borderId="1" xfId="20" applyNumberFormat="1" applyFont="1" applyFill="1" applyBorder="1" applyAlignment="1">
      <alignment horizontal="center"/>
    </xf>
    <xf numFmtId="4" fontId="8" fillId="8" borderId="1" xfId="20" applyNumberFormat="1" applyFont="1" applyFill="1" applyBorder="1"/>
    <xf numFmtId="0" fontId="3" fillId="8" borderId="1" xfId="0" applyFont="1" applyFill="1" applyBorder="1" applyAlignment="1">
      <alignment horizontal="center" vertical="center"/>
    </xf>
    <xf numFmtId="4" fontId="3" fillId="8" borderId="1" xfId="0" applyNumberFormat="1" applyFont="1" applyFill="1" applyBorder="1" applyAlignment="1">
      <alignment horizontal="center" vertical="center"/>
    </xf>
    <xf numFmtId="4" fontId="4" fillId="8" borderId="1" xfId="0" applyNumberFormat="1" applyFont="1" applyFill="1" applyBorder="1" applyAlignment="1">
      <alignment horizontal="center" vertical="center"/>
    </xf>
    <xf numFmtId="4" fontId="4" fillId="8" borderId="1" xfId="0" applyNumberFormat="1" applyFont="1" applyFill="1" applyBorder="1" applyAlignment="1">
      <alignment vertical="center"/>
    </xf>
    <xf numFmtId="4" fontId="4" fillId="8" borderId="1" xfId="0" applyNumberFormat="1" applyFont="1" applyFill="1" applyBorder="1"/>
    <xf numFmtId="0" fontId="3" fillId="7" borderId="1" xfId="0" applyFont="1" applyFill="1" applyBorder="1"/>
    <xf numFmtId="168" fontId="4" fillId="7" borderId="1" xfId="1" applyNumberFormat="1" applyFont="1" applyFill="1" applyBorder="1"/>
    <xf numFmtId="9" fontId="4" fillId="7" borderId="1" xfId="1" applyNumberFormat="1" applyFont="1" applyFill="1" applyBorder="1"/>
    <xf numFmtId="167" fontId="4" fillId="7" borderId="1" xfId="1" applyNumberFormat="1" applyFont="1" applyFill="1" applyBorder="1"/>
    <xf numFmtId="10" fontId="4" fillId="7" borderId="1" xfId="0" applyNumberFormat="1" applyFont="1" applyFill="1" applyBorder="1" applyAlignment="1"/>
    <xf numFmtId="10" fontId="4" fillId="7" borderId="1" xfId="1" applyNumberFormat="1" applyFont="1" applyFill="1" applyBorder="1"/>
    <xf numFmtId="0" fontId="3" fillId="0" borderId="1" xfId="0" applyFont="1" applyFill="1" applyBorder="1" applyAlignment="1">
      <alignment horizontal="left"/>
    </xf>
    <xf numFmtId="176" fontId="3" fillId="0" borderId="1" xfId="0" applyNumberFormat="1" applyFont="1" applyFill="1" applyBorder="1" applyAlignment="1">
      <alignment horizontal="center"/>
    </xf>
    <xf numFmtId="176" fontId="3" fillId="0" borderId="1" xfId="1" applyNumberFormat="1" applyFont="1" applyFill="1" applyBorder="1" applyAlignment="1">
      <alignment horizontal="center"/>
    </xf>
    <xf numFmtId="176" fontId="4" fillId="5" borderId="1" xfId="0" applyNumberFormat="1" applyFont="1" applyFill="1" applyBorder="1" applyAlignment="1">
      <alignment horizontal="center"/>
    </xf>
    <xf numFmtId="176" fontId="4" fillId="4" borderId="1" xfId="0" applyNumberFormat="1" applyFont="1" applyFill="1" applyBorder="1" applyAlignment="1">
      <alignment horizontal="center"/>
    </xf>
    <xf numFmtId="176" fontId="4" fillId="8" borderId="1" xfId="0" applyNumberFormat="1" applyFont="1" applyFill="1" applyBorder="1" applyAlignment="1">
      <alignment vertical="center"/>
    </xf>
    <xf numFmtId="176" fontId="4" fillId="10" borderId="1" xfId="0" applyNumberFormat="1" applyFont="1" applyFill="1" applyBorder="1" applyAlignment="1">
      <alignment horizontal="left"/>
    </xf>
    <xf numFmtId="0" fontId="4" fillId="8" borderId="6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3" fillId="0" borderId="1" xfId="1" applyNumberFormat="1" applyFont="1" applyFill="1" applyBorder="1" applyAlignment="1">
      <alignment horizontal="center"/>
    </xf>
    <xf numFmtId="42" fontId="3" fillId="0" borderId="1" xfId="29" applyFont="1" applyBorder="1" applyAlignment="1">
      <alignment horizontal="center" vertical="center"/>
    </xf>
    <xf numFmtId="175" fontId="3" fillId="0" borderId="1" xfId="29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42" fontId="4" fillId="8" borderId="1" xfId="29" applyFont="1" applyFill="1" applyBorder="1" applyAlignment="1">
      <alignment horizontal="center" vertical="center"/>
    </xf>
    <xf numFmtId="0" fontId="3" fillId="0" borderId="1" xfId="0" applyFont="1" applyBorder="1"/>
    <xf numFmtId="0" fontId="4" fillId="11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/>
    </xf>
    <xf numFmtId="4" fontId="3" fillId="0" borderId="0" xfId="0" applyNumberFormat="1" applyFont="1"/>
    <xf numFmtId="0" fontId="3" fillId="0" borderId="0" xfId="0" applyFont="1" applyBorder="1"/>
    <xf numFmtId="0" fontId="4" fillId="0" borderId="1" xfId="0" applyFont="1" applyFill="1" applyBorder="1" applyAlignment="1">
      <alignment horizontal="center" vertical="center"/>
    </xf>
    <xf numFmtId="3" fontId="3" fillId="0" borderId="1" xfId="0" applyNumberFormat="1" applyFont="1" applyBorder="1"/>
    <xf numFmtId="0" fontId="8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8" borderId="4" xfId="0" applyFont="1" applyFill="1" applyBorder="1" applyAlignment="1">
      <alignment vertical="center"/>
    </xf>
    <xf numFmtId="44" fontId="3" fillId="0" borderId="1" xfId="32" applyFont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right" vertical="center" wrapText="1"/>
    </xf>
    <xf numFmtId="9" fontId="4" fillId="2" borderId="1" xfId="0" applyNumberFormat="1" applyFont="1" applyFill="1" applyBorder="1" applyAlignment="1">
      <alignment horizontal="right" vertical="center" wrapText="1"/>
    </xf>
    <xf numFmtId="3" fontId="3" fillId="6" borderId="1" xfId="0" applyNumberFormat="1" applyFont="1" applyFill="1" applyBorder="1"/>
    <xf numFmtId="0" fontId="13" fillId="0" borderId="0" xfId="0" applyFont="1" applyFill="1" applyBorder="1" applyAlignment="1">
      <alignment horizontal="left"/>
    </xf>
    <xf numFmtId="41" fontId="3" fillId="3" borderId="1" xfId="33" applyNumberFormat="1" applyFont="1" applyFill="1" applyBorder="1"/>
    <xf numFmtId="0" fontId="3" fillId="14" borderId="1" xfId="0" applyFont="1" applyFill="1" applyBorder="1"/>
    <xf numFmtId="41" fontId="3" fillId="14" borderId="1" xfId="0" applyNumberFormat="1" applyFont="1" applyFill="1" applyBorder="1"/>
    <xf numFmtId="0" fontId="3" fillId="3" borderId="1" xfId="0" applyFont="1" applyFill="1" applyBorder="1"/>
    <xf numFmtId="3" fontId="3" fillId="3" borderId="1" xfId="0" applyNumberFormat="1" applyFont="1" applyFill="1" applyBorder="1"/>
    <xf numFmtId="3" fontId="3" fillId="14" borderId="1" xfId="0" applyNumberFormat="1" applyFont="1" applyFill="1" applyBorder="1"/>
    <xf numFmtId="41" fontId="3" fillId="3" borderId="1" xfId="0" applyNumberFormat="1" applyFont="1" applyFill="1" applyBorder="1"/>
    <xf numFmtId="0" fontId="3" fillId="0" borderId="2" xfId="0" applyFont="1" applyBorder="1"/>
    <xf numFmtId="9" fontId="3" fillId="0" borderId="1" xfId="0" applyNumberFormat="1" applyFont="1" applyBorder="1"/>
    <xf numFmtId="42" fontId="3" fillId="0" borderId="1" xfId="0" applyNumberFormat="1" applyFont="1" applyBorder="1"/>
    <xf numFmtId="0" fontId="13" fillId="0" borderId="0" xfId="0" applyFont="1" applyFill="1" applyBorder="1" applyAlignment="1">
      <alignment horizontal="center"/>
    </xf>
    <xf numFmtId="9" fontId="3" fillId="0" borderId="0" xfId="0" applyNumberFormat="1" applyFont="1" applyBorder="1"/>
    <xf numFmtId="3" fontId="3" fillId="0" borderId="1" xfId="8" applyNumberFormat="1" applyFont="1" applyBorder="1"/>
    <xf numFmtId="3" fontId="3" fillId="0" borderId="0" xfId="8" applyNumberFormat="1" applyFont="1" applyBorder="1"/>
    <xf numFmtId="0" fontId="13" fillId="0" borderId="0" xfId="0" applyFont="1" applyBorder="1" applyAlignment="1">
      <alignment horizontal="left"/>
    </xf>
    <xf numFmtId="3" fontId="4" fillId="12" borderId="1" xfId="8" applyNumberFormat="1" applyFont="1" applyFill="1" applyBorder="1"/>
    <xf numFmtId="3" fontId="3" fillId="0" borderId="0" xfId="8" applyNumberFormat="1" applyFont="1"/>
    <xf numFmtId="4" fontId="4" fillId="12" borderId="1" xfId="8" applyNumberFormat="1" applyFont="1" applyFill="1" applyBorder="1"/>
    <xf numFmtId="168" fontId="3" fillId="0" borderId="1" xfId="0" applyNumberFormat="1" applyFont="1" applyBorder="1"/>
    <xf numFmtId="0" fontId="3" fillId="0" borderId="0" xfId="8" applyFont="1" applyBorder="1"/>
    <xf numFmtId="3" fontId="3" fillId="0" borderId="1" xfId="8" applyNumberFormat="1" applyFont="1" applyFill="1" applyBorder="1"/>
    <xf numFmtId="3" fontId="8" fillId="0" borderId="3" xfId="8" applyNumberFormat="1" applyFont="1" applyFill="1" applyBorder="1"/>
    <xf numFmtId="3" fontId="3" fillId="0" borderId="0" xfId="8" applyNumberFormat="1" applyFont="1" applyFill="1" applyBorder="1"/>
    <xf numFmtId="3" fontId="4" fillId="0" borderId="1" xfId="8" applyNumberFormat="1" applyFont="1" applyBorder="1"/>
    <xf numFmtId="0" fontId="0" fillId="9" borderId="1" xfId="0" applyFill="1" applyBorder="1" applyAlignment="1">
      <alignment horizontal="center" vertical="center"/>
    </xf>
    <xf numFmtId="0" fontId="0" fillId="13" borderId="1" xfId="0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 vertical="center"/>
    </xf>
    <xf numFmtId="42" fontId="3" fillId="0" borderId="0" xfId="33" applyFont="1"/>
    <xf numFmtId="175" fontId="4" fillId="8" borderId="1" xfId="0" applyNumberFormat="1" applyFont="1" applyFill="1" applyBorder="1" applyAlignment="1">
      <alignment vertical="center"/>
    </xf>
    <xf numFmtId="42" fontId="3" fillId="0" borderId="1" xfId="33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42" fontId="0" fillId="9" borderId="1" xfId="33" applyFont="1" applyFill="1" applyBorder="1"/>
    <xf numFmtId="42" fontId="0" fillId="13" borderId="1" xfId="33" applyFont="1" applyFill="1" applyBorder="1"/>
    <xf numFmtId="42" fontId="2" fillId="15" borderId="1" xfId="33" applyFont="1" applyFill="1" applyBorder="1" applyAlignment="1">
      <alignment vertical="center"/>
    </xf>
    <xf numFmtId="42" fontId="2" fillId="15" borderId="1" xfId="33" applyFont="1" applyFill="1" applyBorder="1"/>
    <xf numFmtId="177" fontId="3" fillId="0" borderId="6" xfId="0" applyNumberFormat="1" applyFont="1" applyBorder="1"/>
    <xf numFmtId="3" fontId="0" fillId="0" borderId="0" xfId="0" applyNumberFormat="1"/>
    <xf numFmtId="9" fontId="0" fillId="0" borderId="0" xfId="0" applyNumberFormat="1"/>
    <xf numFmtId="178" fontId="4" fillId="12" borderId="1" xfId="8" applyNumberFormat="1" applyFont="1" applyFill="1" applyBorder="1"/>
    <xf numFmtId="3" fontId="8" fillId="12" borderId="2" xfId="8" applyNumberFormat="1" applyFont="1" applyFill="1" applyBorder="1"/>
    <xf numFmtId="3" fontId="3" fillId="0" borderId="10" xfId="8" applyNumberFormat="1" applyFont="1" applyBorder="1"/>
    <xf numFmtId="10" fontId="11" fillId="12" borderId="1" xfId="34" applyNumberFormat="1" applyFont="1" applyFill="1" applyBorder="1"/>
    <xf numFmtId="0" fontId="4" fillId="12" borderId="1" xfId="8" applyFont="1" applyFill="1" applyBorder="1" applyAlignment="1">
      <alignment horizontal="center"/>
    </xf>
    <xf numFmtId="0" fontId="11" fillId="12" borderId="1" xfId="8" applyFont="1" applyFill="1" applyBorder="1" applyAlignment="1">
      <alignment horizontal="center"/>
    </xf>
    <xf numFmtId="0" fontId="13" fillId="6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center"/>
    </xf>
    <xf numFmtId="41" fontId="13" fillId="3" borderId="1" xfId="33" applyNumberFormat="1" applyFont="1" applyFill="1" applyBorder="1" applyAlignment="1">
      <alignment horizontal="left"/>
    </xf>
    <xf numFmtId="0" fontId="3" fillId="14" borderId="1" xfId="8" applyFont="1" applyFill="1" applyBorder="1" applyAlignment="1">
      <alignment horizontal="left"/>
    </xf>
    <xf numFmtId="0" fontId="13" fillId="14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left"/>
    </xf>
    <xf numFmtId="0" fontId="3" fillId="3" borderId="1" xfId="8" applyFont="1" applyFill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/>
    </xf>
    <xf numFmtId="0" fontId="4" fillId="8" borderId="5" xfId="0" applyFont="1" applyFill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 wrapText="1"/>
    </xf>
    <xf numFmtId="0" fontId="3" fillId="11" borderId="4" xfId="0" applyFont="1" applyFill="1" applyBorder="1" applyAlignment="1">
      <alignment horizontal="center"/>
    </xf>
    <xf numFmtId="0" fontId="3" fillId="11" borderId="6" xfId="0" applyFont="1" applyFill="1" applyBorder="1" applyAlignment="1">
      <alignment horizontal="center"/>
    </xf>
    <xf numFmtId="0" fontId="4" fillId="0" borderId="1" xfId="8" applyFont="1" applyBorder="1" applyAlignment="1">
      <alignment horizontal="center"/>
    </xf>
    <xf numFmtId="0" fontId="4" fillId="11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0" fillId="9" borderId="1" xfId="0" applyFill="1" applyBorder="1" applyAlignment="1">
      <alignment horizontal="center"/>
    </xf>
    <xf numFmtId="0" fontId="2" fillId="15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wrapText="1"/>
    </xf>
    <xf numFmtId="0" fontId="4" fillId="8" borderId="5" xfId="0" applyFont="1" applyFill="1" applyBorder="1" applyAlignment="1">
      <alignment horizontal="center" wrapText="1"/>
    </xf>
    <xf numFmtId="0" fontId="4" fillId="8" borderId="6" xfId="0" applyFont="1" applyFill="1" applyBorder="1" applyAlignment="1">
      <alignment horizontal="center" wrapText="1"/>
    </xf>
    <xf numFmtId="0" fontId="4" fillId="8" borderId="1" xfId="0" applyFont="1" applyFill="1" applyBorder="1" applyAlignment="1">
      <alignment horizontal="center" wrapText="1"/>
    </xf>
    <xf numFmtId="0" fontId="3" fillId="8" borderId="1" xfId="0" applyFont="1" applyFill="1" applyBorder="1" applyAlignment="1">
      <alignment horizontal="center" wrapText="1"/>
    </xf>
    <xf numFmtId="0" fontId="4" fillId="8" borderId="8" xfId="0" applyFont="1" applyFill="1" applyBorder="1" applyAlignment="1">
      <alignment horizontal="center"/>
    </xf>
    <xf numFmtId="0" fontId="4" fillId="8" borderId="7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/>
    </xf>
    <xf numFmtId="0" fontId="4" fillId="10" borderId="5" xfId="0" applyFont="1" applyFill="1" applyBorder="1" applyAlignment="1">
      <alignment horizontal="center"/>
    </xf>
    <xf numFmtId="0" fontId="4" fillId="10" borderId="6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</cellXfs>
  <cellStyles count="35">
    <cellStyle name="Euro" xfId="18" xr:uid="{00000000-0005-0000-0000-000000000000}"/>
    <cellStyle name="Millares [0] 2" xfId="10" xr:uid="{00000000-0005-0000-0000-000001000000}"/>
    <cellStyle name="Millares 2" xfId="9" xr:uid="{00000000-0005-0000-0000-000002000000}"/>
    <cellStyle name="Millares 2 2" xfId="19" xr:uid="{00000000-0005-0000-0000-000003000000}"/>
    <cellStyle name="Millares 3" xfId="2" xr:uid="{00000000-0005-0000-0000-000004000000}"/>
    <cellStyle name="Millares 3 2" xfId="24" xr:uid="{00000000-0005-0000-0000-000005000000}"/>
    <cellStyle name="Millares 4" xfId="15" xr:uid="{00000000-0005-0000-0000-000006000000}"/>
    <cellStyle name="Millares 5" xfId="12" xr:uid="{00000000-0005-0000-0000-000007000000}"/>
    <cellStyle name="Millares 6" xfId="13" xr:uid="{00000000-0005-0000-0000-000008000000}"/>
    <cellStyle name="Millares 7" xfId="27" xr:uid="{00000000-0005-0000-0000-000009000000}"/>
    <cellStyle name="Millares 8" xfId="31" xr:uid="{00000000-0005-0000-0000-00000A000000}"/>
    <cellStyle name="Moneda" xfId="32" builtinId="4"/>
    <cellStyle name="Moneda [0]" xfId="33" builtinId="7"/>
    <cellStyle name="Moneda [0] 2" xfId="11" xr:uid="{00000000-0005-0000-0000-00000D000000}"/>
    <cellStyle name="Moneda [0] 3" xfId="29" xr:uid="{00000000-0005-0000-0000-00000E000000}"/>
    <cellStyle name="Moneda 2" xfId="6" xr:uid="{00000000-0005-0000-0000-00000F000000}"/>
    <cellStyle name="Moneda 2 2" xfId="4" xr:uid="{00000000-0005-0000-0000-000010000000}"/>
    <cellStyle name="Moneda 2 3" xfId="20" xr:uid="{00000000-0005-0000-0000-000011000000}"/>
    <cellStyle name="Moneda 3" xfId="3" xr:uid="{00000000-0005-0000-0000-000012000000}"/>
    <cellStyle name="Moneda 3 2" xfId="25" xr:uid="{00000000-0005-0000-0000-000013000000}"/>
    <cellStyle name="Moneda 4" xfId="16" xr:uid="{00000000-0005-0000-0000-000014000000}"/>
    <cellStyle name="Moneda 5" xfId="26" xr:uid="{00000000-0005-0000-0000-000015000000}"/>
    <cellStyle name="Moneda 6" xfId="30" xr:uid="{00000000-0005-0000-0000-000016000000}"/>
    <cellStyle name="Normal" xfId="0" builtinId="0"/>
    <cellStyle name="Normal 2" xfId="7" xr:uid="{00000000-0005-0000-0000-000018000000}"/>
    <cellStyle name="Normal 2 2" xfId="5" xr:uid="{00000000-0005-0000-0000-000019000000}"/>
    <cellStyle name="Normal 2 3" xfId="14" xr:uid="{00000000-0005-0000-0000-00001A000000}"/>
    <cellStyle name="Normal 2 4" xfId="21" xr:uid="{00000000-0005-0000-0000-00001B000000}"/>
    <cellStyle name="Normal 3" xfId="8" xr:uid="{00000000-0005-0000-0000-00001C000000}"/>
    <cellStyle name="Normal 3 2" xfId="22" xr:uid="{00000000-0005-0000-0000-00001D000000}"/>
    <cellStyle name="Normal 4" xfId="17" xr:uid="{00000000-0005-0000-0000-00001E000000}"/>
    <cellStyle name="Normal 5" xfId="28" xr:uid="{00000000-0005-0000-0000-00001F000000}"/>
    <cellStyle name="Porcentaje" xfId="1" builtinId="5"/>
    <cellStyle name="Porcentaje 2" xfId="23" xr:uid="{00000000-0005-0000-0000-000021000000}"/>
    <cellStyle name="Porcentaje 3" xfId="34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35"/>
  <sheetViews>
    <sheetView showGridLines="0" tabSelected="1" zoomScaleNormal="100" workbookViewId="0">
      <selection activeCell="F29" sqref="F29"/>
    </sheetView>
  </sheetViews>
  <sheetFormatPr baseColWidth="10" defaultRowHeight="15" x14ac:dyDescent="0.25"/>
  <cols>
    <col min="2" max="2" width="17.7109375" customWidth="1"/>
    <col min="3" max="3" width="16.42578125" customWidth="1"/>
    <col min="4" max="4" width="15.42578125" customWidth="1"/>
    <col min="5" max="5" width="14.42578125" bestFit="1" customWidth="1"/>
    <col min="6" max="6" width="14.5703125" customWidth="1"/>
    <col min="7" max="7" width="14.42578125" customWidth="1"/>
    <col min="8" max="8" width="16.28515625" customWidth="1"/>
    <col min="9" max="9" width="15.85546875" customWidth="1"/>
    <col min="10" max="10" width="13" customWidth="1"/>
    <col min="11" max="11" width="14" customWidth="1"/>
  </cols>
  <sheetData>
    <row r="1" spans="2:9" s="13" customFormat="1" x14ac:dyDescent="0.25"/>
    <row r="2" spans="2:9" x14ac:dyDescent="0.25">
      <c r="B2" s="111" t="s">
        <v>135</v>
      </c>
      <c r="C2" s="111"/>
      <c r="D2" s="66">
        <v>0</v>
      </c>
      <c r="E2" s="41">
        <v>1</v>
      </c>
      <c r="F2" s="41">
        <v>2</v>
      </c>
      <c r="G2" s="41">
        <v>3</v>
      </c>
      <c r="H2" s="41">
        <v>4</v>
      </c>
      <c r="I2" s="41">
        <v>5</v>
      </c>
    </row>
    <row r="3" spans="2:9" x14ac:dyDescent="0.25">
      <c r="B3" s="105" t="s">
        <v>99</v>
      </c>
      <c r="C3" s="105"/>
      <c r="D3" s="77">
        <v>3.7999999999999999E-2</v>
      </c>
      <c r="E3" s="77">
        <v>3.7999999999999999E-2</v>
      </c>
      <c r="F3" s="77">
        <v>3.7999999999999999E-2</v>
      </c>
      <c r="G3" s="77">
        <v>3.7999999999999999E-2</v>
      </c>
      <c r="H3" s="77">
        <v>3.7999999999999999E-2</v>
      </c>
      <c r="I3" s="77">
        <v>3.7999999999999999E-2</v>
      </c>
    </row>
    <row r="4" spans="2:9" x14ac:dyDescent="0.25">
      <c r="B4" s="105" t="s">
        <v>93</v>
      </c>
      <c r="C4" s="105"/>
      <c r="D4" s="41">
        <v>1</v>
      </c>
      <c r="E4" s="95">
        <f>+D4*(1+E3)</f>
        <v>1.038</v>
      </c>
      <c r="F4" s="95">
        <f t="shared" ref="F4:I4" si="0">+E4*(1+F3)</f>
        <v>1.0774440000000001</v>
      </c>
      <c r="G4" s="95">
        <f t="shared" si="0"/>
        <v>1.1183868720000001</v>
      </c>
      <c r="H4" s="95">
        <f t="shared" si="0"/>
        <v>1.1608855731360002</v>
      </c>
      <c r="I4" s="95">
        <f t="shared" si="0"/>
        <v>1.2049992249151682</v>
      </c>
    </row>
    <row r="5" spans="2:9" x14ac:dyDescent="0.25">
      <c r="B5" s="105" t="s">
        <v>100</v>
      </c>
      <c r="C5" s="105"/>
      <c r="D5" s="68">
        <f>+'Gastos Generales'!$F$16</f>
        <v>2300</v>
      </c>
      <c r="E5" s="68">
        <f>+'Gastos Generales'!$F$16</f>
        <v>2300</v>
      </c>
      <c r="F5" s="68">
        <f>+'Gastos Generales'!$F$16</f>
        <v>2300</v>
      </c>
      <c r="G5" s="68">
        <f>+'Gastos Generales'!$F$16</f>
        <v>2300</v>
      </c>
      <c r="H5" s="68">
        <f>+'Gastos Generales'!$F$16</f>
        <v>2300</v>
      </c>
      <c r="I5" s="68">
        <f>+'Gastos Generales'!$F$16</f>
        <v>2300</v>
      </c>
    </row>
    <row r="6" spans="2:9" x14ac:dyDescent="0.25">
      <c r="B6" s="105" t="s">
        <v>95</v>
      </c>
      <c r="C6" s="105"/>
      <c r="D6" s="49">
        <v>105000</v>
      </c>
      <c r="E6" s="49">
        <f>105000*(1.05)</f>
        <v>110250</v>
      </c>
      <c r="F6" s="49">
        <f>+E6*(1.05)</f>
        <v>115762.5</v>
      </c>
      <c r="G6" s="49">
        <f t="shared" ref="G6:I6" si="1">+F6*(1.05)</f>
        <v>121550.625</v>
      </c>
      <c r="H6" s="49">
        <f t="shared" si="1"/>
        <v>127628.15625</v>
      </c>
      <c r="I6" s="49">
        <f t="shared" si="1"/>
        <v>134009.56406249999</v>
      </c>
    </row>
    <row r="7" spans="2:9" s="13" customFormat="1" x14ac:dyDescent="0.25">
      <c r="B7" s="105" t="s">
        <v>101</v>
      </c>
      <c r="C7" s="105"/>
      <c r="D7" s="68">
        <f>+'Gastos Generales'!$F$17</f>
        <v>1200</v>
      </c>
      <c r="E7" s="68">
        <f>+'Gastos Generales'!$F$17</f>
        <v>1200</v>
      </c>
      <c r="F7" s="68">
        <f>+'Gastos Generales'!$F$17</f>
        <v>1200</v>
      </c>
      <c r="G7" s="68">
        <f>+'Gastos Generales'!$F$17</f>
        <v>1200</v>
      </c>
      <c r="H7" s="68">
        <f>+'Gastos Generales'!$F$17</f>
        <v>1200</v>
      </c>
      <c r="I7" s="68">
        <f>+'Gastos Generales'!$F$17</f>
        <v>1200</v>
      </c>
    </row>
    <row r="8" spans="2:9" s="13" customFormat="1" ht="15" customHeight="1" x14ac:dyDescent="0.25">
      <c r="B8" s="105" t="s">
        <v>95</v>
      </c>
      <c r="C8" s="105"/>
      <c r="D8" s="49">
        <v>49000</v>
      </c>
      <c r="E8" s="49">
        <f>+D8*(1.05)</f>
        <v>51450</v>
      </c>
      <c r="F8" s="49">
        <f t="shared" ref="F8:I8" si="2">+E8*(1.05)</f>
        <v>54022.5</v>
      </c>
      <c r="G8" s="49">
        <f t="shared" si="2"/>
        <v>56723.625</v>
      </c>
      <c r="H8" s="49">
        <f t="shared" si="2"/>
        <v>59559.806250000001</v>
      </c>
      <c r="I8" s="49">
        <f t="shared" si="2"/>
        <v>62537.796562500007</v>
      </c>
    </row>
    <row r="9" spans="2:9" x14ac:dyDescent="0.25">
      <c r="B9" s="105" t="s">
        <v>94</v>
      </c>
      <c r="C9" s="105"/>
      <c r="D9" s="67">
        <v>0.3</v>
      </c>
      <c r="E9" s="47"/>
      <c r="F9" s="47"/>
      <c r="G9" s="47"/>
      <c r="H9" s="47"/>
      <c r="I9" s="47"/>
    </row>
    <row r="10" spans="2:9" s="13" customFormat="1" x14ac:dyDescent="0.25">
      <c r="B10" s="105" t="s">
        <v>132</v>
      </c>
      <c r="C10" s="105"/>
      <c r="D10" s="67">
        <v>0.14000000000000001</v>
      </c>
      <c r="E10" s="47"/>
      <c r="F10" s="47"/>
      <c r="G10" s="47"/>
      <c r="H10" s="47"/>
      <c r="I10" s="47"/>
    </row>
    <row r="11" spans="2:9" s="13" customFormat="1" ht="8.25" customHeight="1" x14ac:dyDescent="0.25">
      <c r="B11" s="69"/>
      <c r="C11" s="69"/>
      <c r="D11" s="70"/>
      <c r="E11" s="47"/>
      <c r="F11" s="47"/>
      <c r="G11" s="47"/>
      <c r="H11" s="47"/>
      <c r="I11" s="47"/>
    </row>
    <row r="12" spans="2:9" s="13" customFormat="1" x14ac:dyDescent="0.25">
      <c r="B12" s="104" t="s">
        <v>90</v>
      </c>
      <c r="C12" s="104"/>
      <c r="D12" s="57"/>
      <c r="E12" s="57">
        <f>((E5*E6)*E4)</f>
        <v>263210850</v>
      </c>
      <c r="F12" s="57">
        <f t="shared" ref="F12:H12" si="3">((F5*F6)*F4)</f>
        <v>286873505.41500002</v>
      </c>
      <c r="G12" s="57">
        <f t="shared" si="3"/>
        <v>312663433.55180854</v>
      </c>
      <c r="H12" s="57">
        <f t="shared" si="3"/>
        <v>340771876.22811615</v>
      </c>
      <c r="I12" s="57">
        <f>((I5*I6)*I4)</f>
        <v>371407267.90102381</v>
      </c>
    </row>
    <row r="13" spans="2:9" s="13" customFormat="1" x14ac:dyDescent="0.25">
      <c r="B13" s="104" t="s">
        <v>91</v>
      </c>
      <c r="C13" s="104"/>
      <c r="D13" s="57"/>
      <c r="E13" s="57">
        <f>+E7*E8</f>
        <v>61740000</v>
      </c>
      <c r="F13" s="57">
        <f t="shared" ref="F13:I13" si="4">+F7*F8</f>
        <v>64827000</v>
      </c>
      <c r="G13" s="57">
        <f t="shared" si="4"/>
        <v>68068350</v>
      </c>
      <c r="H13" s="57">
        <f t="shared" si="4"/>
        <v>71471767.5</v>
      </c>
      <c r="I13" s="57">
        <f t="shared" si="4"/>
        <v>75045355.875000015</v>
      </c>
    </row>
    <row r="14" spans="2:9" ht="6" customHeight="1" x14ac:dyDescent="0.25">
      <c r="B14" s="58"/>
      <c r="C14" s="58"/>
      <c r="D14" s="47"/>
      <c r="E14" s="47"/>
      <c r="F14" s="47"/>
      <c r="G14" s="47"/>
      <c r="H14" s="47"/>
      <c r="I14" s="47"/>
    </row>
    <row r="15" spans="2:9" x14ac:dyDescent="0.25">
      <c r="B15" s="106" t="s">
        <v>133</v>
      </c>
      <c r="C15" s="106"/>
      <c r="D15" s="59"/>
      <c r="E15" s="59">
        <f>-'Gastos Generales'!$F$11*'Flujo de caja'!E4</f>
        <v>-3114000</v>
      </c>
      <c r="F15" s="59">
        <f>-'Gastos Generales'!$F$11*'Flujo de caja'!F4</f>
        <v>-3232332</v>
      </c>
      <c r="G15" s="59">
        <f>-'Gastos Generales'!$F$11*'Flujo de caja'!G4</f>
        <v>-3355160.6160000004</v>
      </c>
      <c r="H15" s="59">
        <f>-'Gastos Generales'!$F$11*'Flujo de caja'!H4</f>
        <v>-3482656.7194080004</v>
      </c>
      <c r="I15" s="59">
        <f>-'Gastos Generales'!$F$11*'Flujo de caja'!I4</f>
        <v>-3614997.6747455047</v>
      </c>
    </row>
    <row r="16" spans="2:9" x14ac:dyDescent="0.25">
      <c r="B16" s="106" t="s">
        <v>119</v>
      </c>
      <c r="C16" s="106"/>
      <c r="D16" s="59"/>
      <c r="E16" s="59">
        <f>-'Gastos Generales'!$F$4*E4</f>
        <v>-1687946.2950000002</v>
      </c>
      <c r="F16" s="59">
        <f>-'Gastos Generales'!$F$4*F4</f>
        <v>-1752088.2542100002</v>
      </c>
      <c r="G16" s="59">
        <f>-'Gastos Generales'!$F$4*G4</f>
        <v>-1818667.6078699802</v>
      </c>
      <c r="H16" s="59">
        <f>-'Gastos Generales'!$F$4*H4</f>
        <v>-1887776.9769690395</v>
      </c>
      <c r="I16" s="59">
        <f>-'Gastos Generales'!$F$4*I4</f>
        <v>-1959512.502093863</v>
      </c>
    </row>
    <row r="17" spans="2:11" s="13" customFormat="1" x14ac:dyDescent="0.25">
      <c r="B17" s="106" t="s">
        <v>120</v>
      </c>
      <c r="C17" s="106"/>
      <c r="D17" s="59"/>
      <c r="E17" s="59">
        <f>-'Gastos Generales'!$H$27*E4</f>
        <v>-5857420.1426999997</v>
      </c>
      <c r="F17" s="59">
        <f>-'Gastos Generales'!$H$27*F4</f>
        <v>-6080002.1081226002</v>
      </c>
      <c r="G17" s="59">
        <f>-'Gastos Generales'!$H$27*G4</f>
        <v>-6311042.1882312587</v>
      </c>
      <c r="H17" s="59">
        <f>-'Gastos Generales'!$H$27*H4</f>
        <v>-6550861.7913840469</v>
      </c>
      <c r="I17" s="59">
        <f>-'Gastos Generales'!$H$27*I4</f>
        <v>-6799794.5394566413</v>
      </c>
    </row>
    <row r="18" spans="2:11" s="13" customFormat="1" x14ac:dyDescent="0.25">
      <c r="B18" s="106" t="s">
        <v>92</v>
      </c>
      <c r="C18" s="106"/>
      <c r="D18" s="59"/>
      <c r="E18" s="59">
        <f>-'Gastos Generales'!$F$7*E4</f>
        <v>-77118527.129759997</v>
      </c>
      <c r="F18" s="59">
        <f>-'Gastos Generales'!$F$7*F4</f>
        <v>-80049031.160690874</v>
      </c>
      <c r="G18" s="59">
        <f>-'Gastos Generales'!$F$7*G4</f>
        <v>-83090894.344797134</v>
      </c>
      <c r="H18" s="59">
        <f>-'Gastos Generales'!$F$7*H4</f>
        <v>-86248348.32989943</v>
      </c>
      <c r="I18" s="59">
        <f>-'Gastos Generales'!$F$7*I4</f>
        <v>-89525785.566435605</v>
      </c>
    </row>
    <row r="19" spans="2:11" s="13" customFormat="1" x14ac:dyDescent="0.25">
      <c r="B19" s="106" t="s">
        <v>84</v>
      </c>
      <c r="C19" s="106"/>
      <c r="D19" s="59"/>
      <c r="E19" s="59">
        <f>-'Gastos Generales'!$G$23*E4</f>
        <v>-152586000</v>
      </c>
      <c r="F19" s="59">
        <f>-'Gastos Generales'!$G$23*F4</f>
        <v>-158384268</v>
      </c>
      <c r="G19" s="59">
        <f>-'Gastos Generales'!$G$23*G4</f>
        <v>-164402870.18400002</v>
      </c>
      <c r="H19" s="59">
        <f>-'Gastos Generales'!$G$23*H4</f>
        <v>-170650179.25099203</v>
      </c>
      <c r="I19" s="59">
        <f>-'Gastos Generales'!$G$23*I4</f>
        <v>-177134886.06252971</v>
      </c>
    </row>
    <row r="20" spans="2:11" s="13" customFormat="1" x14ac:dyDescent="0.25">
      <c r="B20" s="106" t="s">
        <v>96</v>
      </c>
      <c r="C20" s="106"/>
      <c r="D20" s="59">
        <f>-'Activos Fijos'!E14-'Activos Fijos'!E15-'Activos Fijos'!E19</f>
        <v>-161273000</v>
      </c>
      <c r="E20" s="59"/>
      <c r="F20" s="59"/>
      <c r="G20" s="59"/>
      <c r="H20" s="59"/>
      <c r="I20" s="59"/>
    </row>
    <row r="21" spans="2:11" ht="7.5" customHeight="1" x14ac:dyDescent="0.25">
      <c r="B21" s="58"/>
      <c r="C21" s="58"/>
      <c r="D21" s="47"/>
      <c r="E21" s="47"/>
      <c r="F21" s="47"/>
      <c r="G21" s="47"/>
      <c r="H21" s="47"/>
      <c r="I21" s="47"/>
    </row>
    <row r="22" spans="2:11" x14ac:dyDescent="0.25">
      <c r="B22" s="108" t="s">
        <v>85</v>
      </c>
      <c r="C22" s="108"/>
      <c r="D22" s="60"/>
      <c r="E22" s="61">
        <f>+E12+E13+E15+E16+E17+E18+E19+E20</f>
        <v>84586956.43253997</v>
      </c>
      <c r="F22" s="61">
        <f t="shared" ref="F22:I22" si="5">+F12+F13+F15+F16+F17+F18+F19+F20</f>
        <v>102202783.89197657</v>
      </c>
      <c r="G22" s="61">
        <f t="shared" si="5"/>
        <v>121753148.61091018</v>
      </c>
      <c r="H22" s="61">
        <f t="shared" si="5"/>
        <v>143423820.65946361</v>
      </c>
      <c r="I22" s="61">
        <f t="shared" si="5"/>
        <v>167417647.4307625</v>
      </c>
    </row>
    <row r="23" spans="2:11" x14ac:dyDescent="0.25">
      <c r="B23" s="109" t="s">
        <v>86</v>
      </c>
      <c r="C23" s="109"/>
      <c r="D23" s="62"/>
      <c r="E23" s="63">
        <f>+'Gastos Generales'!F35</f>
        <v>30007300</v>
      </c>
      <c r="F23" s="63">
        <f>+'Gastos Generales'!G35</f>
        <v>30007300</v>
      </c>
      <c r="G23" s="63">
        <f>+'Gastos Generales'!H35</f>
        <v>30007300</v>
      </c>
      <c r="H23" s="63">
        <f>+'Gastos Generales'!I35</f>
        <v>30007300</v>
      </c>
      <c r="I23" s="63">
        <f>+'Gastos Generales'!J35</f>
        <v>30007300</v>
      </c>
    </row>
    <row r="24" spans="2:11" x14ac:dyDescent="0.25">
      <c r="B24" s="107" t="s">
        <v>87</v>
      </c>
      <c r="C24" s="107"/>
      <c r="D24" s="60"/>
      <c r="E24" s="64">
        <f>+E22-E23</f>
        <v>54579656.43253997</v>
      </c>
      <c r="F24" s="64">
        <f t="shared" ref="F24:I24" si="6">+F22-F23</f>
        <v>72195483.891976565</v>
      </c>
      <c r="G24" s="64">
        <f t="shared" si="6"/>
        <v>91745848.610910177</v>
      </c>
      <c r="H24" s="64">
        <f t="shared" si="6"/>
        <v>113416520.65946361</v>
      </c>
      <c r="I24" s="64">
        <f t="shared" si="6"/>
        <v>137410347.4307625</v>
      </c>
    </row>
    <row r="25" spans="2:11" x14ac:dyDescent="0.25">
      <c r="B25" s="110" t="s">
        <v>88</v>
      </c>
      <c r="C25" s="110"/>
      <c r="D25" s="62"/>
      <c r="E25" s="65">
        <f>+E24*$D$9</f>
        <v>16373896.929761991</v>
      </c>
      <c r="F25" s="65">
        <f t="shared" ref="F25:I25" si="7">+F24*$D$9</f>
        <v>21658645.167592969</v>
      </c>
      <c r="G25" s="65">
        <f t="shared" si="7"/>
        <v>27523754.583273053</v>
      </c>
      <c r="H25" s="65">
        <f t="shared" si="7"/>
        <v>34024956.197839081</v>
      </c>
      <c r="I25" s="65">
        <f t="shared" si="7"/>
        <v>41223104.22922875</v>
      </c>
    </row>
    <row r="26" spans="2:11" x14ac:dyDescent="0.25">
      <c r="B26" s="107" t="s">
        <v>89</v>
      </c>
      <c r="C26" s="107"/>
      <c r="D26" s="61">
        <f>+D20</f>
        <v>-161273000</v>
      </c>
      <c r="E26" s="61">
        <f>+E24-E25</f>
        <v>38205759.502777979</v>
      </c>
      <c r="F26" s="61">
        <f t="shared" ref="F26:I26" si="8">+F24-F25</f>
        <v>50536838.724383593</v>
      </c>
      <c r="G26" s="61">
        <f t="shared" si="8"/>
        <v>64222094.027637124</v>
      </c>
      <c r="H26" s="61">
        <f t="shared" si="8"/>
        <v>79391564.461624533</v>
      </c>
      <c r="I26" s="61">
        <f t="shared" si="8"/>
        <v>96187243.20153375</v>
      </c>
      <c r="K26" s="97"/>
    </row>
    <row r="27" spans="2:11" ht="7.5" customHeight="1" x14ac:dyDescent="0.25"/>
    <row r="28" spans="2:11" x14ac:dyDescent="0.25">
      <c r="B28" s="103" t="s">
        <v>134</v>
      </c>
      <c r="C28" s="103"/>
      <c r="D28" s="99">
        <f>+D26</f>
        <v>-161273000</v>
      </c>
      <c r="E28" s="99">
        <f t="shared" ref="E28:I28" si="9">+E26</f>
        <v>38205759.502777979</v>
      </c>
      <c r="F28" s="99">
        <f t="shared" si="9"/>
        <v>50536838.724383593</v>
      </c>
      <c r="G28" s="99">
        <f t="shared" si="9"/>
        <v>64222094.027637124</v>
      </c>
      <c r="H28" s="99">
        <f t="shared" si="9"/>
        <v>79391564.461624533</v>
      </c>
      <c r="I28" s="99">
        <f t="shared" si="9"/>
        <v>96187243.20153375</v>
      </c>
    </row>
    <row r="29" spans="2:11" x14ac:dyDescent="0.25">
      <c r="B29" s="72"/>
      <c r="C29" s="73"/>
      <c r="D29" s="100"/>
      <c r="E29" s="100"/>
      <c r="F29" s="100"/>
      <c r="G29" s="100"/>
      <c r="H29" s="100"/>
      <c r="I29" s="100"/>
      <c r="K29" s="96"/>
    </row>
    <row r="30" spans="2:11" x14ac:dyDescent="0.25">
      <c r="B30" s="102" t="s">
        <v>97</v>
      </c>
      <c r="C30" s="102"/>
      <c r="D30" s="74">
        <f>NPV(D10,E28:I28)+D28</f>
        <v>51438184.232025266</v>
      </c>
      <c r="E30" s="75"/>
      <c r="F30" s="75"/>
      <c r="G30" s="75"/>
      <c r="H30" s="75"/>
      <c r="I30" s="75"/>
    </row>
    <row r="31" spans="2:11" x14ac:dyDescent="0.25">
      <c r="B31" s="102" t="s">
        <v>63</v>
      </c>
      <c r="C31" s="102"/>
      <c r="D31" s="101">
        <f>IRR(D28:I28)</f>
        <v>0.2462734962944737</v>
      </c>
      <c r="E31" s="75"/>
      <c r="F31" s="75"/>
      <c r="G31" s="75"/>
      <c r="H31" s="75"/>
      <c r="I31" s="75"/>
      <c r="J31" s="96"/>
      <c r="K31" s="96"/>
    </row>
    <row r="32" spans="2:11" x14ac:dyDescent="0.25">
      <c r="B32" s="102" t="s">
        <v>98</v>
      </c>
      <c r="C32" s="102"/>
      <c r="D32" s="76">
        <f>+F32/G32</f>
        <v>1.3189509975756963</v>
      </c>
      <c r="F32" s="71">
        <f>NPV(D10,E28:I28)</f>
        <v>212711184.23202527</v>
      </c>
      <c r="G32" s="71">
        <f>-D28</f>
        <v>161273000</v>
      </c>
      <c r="H32" s="75"/>
      <c r="I32" s="75"/>
    </row>
    <row r="33" spans="2:9" x14ac:dyDescent="0.25">
      <c r="B33" s="102" t="s">
        <v>64</v>
      </c>
      <c r="C33" s="102"/>
      <c r="D33" s="98">
        <v>3.3</v>
      </c>
      <c r="E33" s="72"/>
      <c r="F33" s="72"/>
      <c r="G33" s="75"/>
      <c r="H33" s="75"/>
      <c r="I33" s="75"/>
    </row>
    <row r="35" spans="2:9" x14ac:dyDescent="0.25">
      <c r="F35" s="96"/>
    </row>
  </sheetData>
  <mergeCells count="27">
    <mergeCell ref="B2:C2"/>
    <mergeCell ref="B3:C3"/>
    <mergeCell ref="B4:C4"/>
    <mergeCell ref="B5:C5"/>
    <mergeCell ref="B6:C6"/>
    <mergeCell ref="B9:C9"/>
    <mergeCell ref="B7:C7"/>
    <mergeCell ref="B8:C8"/>
    <mergeCell ref="B30:C30"/>
    <mergeCell ref="B17:C17"/>
    <mergeCell ref="B10:C10"/>
    <mergeCell ref="B26:C26"/>
    <mergeCell ref="B15:C15"/>
    <mergeCell ref="B16:C16"/>
    <mergeCell ref="B22:C22"/>
    <mergeCell ref="B23:C23"/>
    <mergeCell ref="B18:C18"/>
    <mergeCell ref="B19:C19"/>
    <mergeCell ref="B24:C24"/>
    <mergeCell ref="B25:C25"/>
    <mergeCell ref="B20:C20"/>
    <mergeCell ref="B31:C31"/>
    <mergeCell ref="B32:C32"/>
    <mergeCell ref="B33:C33"/>
    <mergeCell ref="B28:C28"/>
    <mergeCell ref="B12:C12"/>
    <mergeCell ref="B13:C13"/>
  </mergeCells>
  <pageMargins left="0.7" right="0.7" top="0.75" bottom="0.75" header="0.3" footer="0.3"/>
  <pageSetup paperSize="9" orientation="portrait" horizontalDpi="0" verticalDpi="0" r:id="rId1"/>
  <ignoredErrors>
    <ignoredError sqref="F7:I7 E25:I2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O38"/>
  <sheetViews>
    <sheetView topLeftCell="A10" workbookViewId="0">
      <selection activeCell="F22" sqref="F22"/>
    </sheetView>
  </sheetViews>
  <sheetFormatPr baseColWidth="10" defaultRowHeight="15" x14ac:dyDescent="0.25"/>
  <cols>
    <col min="1" max="1" width="11.42578125" style="8"/>
    <col min="2" max="2" width="4.7109375" style="8" customWidth="1"/>
    <col min="3" max="3" width="13.5703125" style="8" customWidth="1"/>
    <col min="4" max="4" width="14.85546875" style="8" customWidth="1"/>
    <col min="5" max="5" width="19.140625" style="8" customWidth="1"/>
    <col min="6" max="6" width="19.28515625" style="8" customWidth="1"/>
    <col min="7" max="7" width="17.5703125" style="8" customWidth="1"/>
    <col min="8" max="8" width="15" style="8" customWidth="1"/>
    <col min="9" max="10" width="13" style="8" bestFit="1" customWidth="1"/>
    <col min="11" max="11" width="13.140625" style="8" bestFit="1" customWidth="1"/>
    <col min="12" max="12" width="11.42578125" style="8"/>
    <col min="13" max="13" width="15.85546875" style="8" customWidth="1"/>
    <col min="14" max="16384" width="11.42578125" style="8"/>
  </cols>
  <sheetData>
    <row r="2" spans="2:7" x14ac:dyDescent="0.25">
      <c r="B2" s="128" t="s">
        <v>124</v>
      </c>
      <c r="C2" s="128"/>
      <c r="D2" s="128"/>
      <c r="E2" s="128"/>
      <c r="F2" s="128"/>
    </row>
    <row r="3" spans="2:7" x14ac:dyDescent="0.25">
      <c r="B3" s="83" t="s">
        <v>106</v>
      </c>
      <c r="C3" s="126" t="s">
        <v>107</v>
      </c>
      <c r="D3" s="126"/>
      <c r="E3" s="126"/>
      <c r="F3" s="91">
        <f>+G23</f>
        <v>147000000</v>
      </c>
    </row>
    <row r="4" spans="2:7" x14ac:dyDescent="0.25">
      <c r="B4" s="83" t="s">
        <v>106</v>
      </c>
      <c r="C4" s="126" t="s">
        <v>108</v>
      </c>
      <c r="D4" s="126"/>
      <c r="E4" s="126"/>
      <c r="F4" s="91">
        <f>+'Costos Fijos'!O4+'Costos Fijos'!O5</f>
        <v>1626152.5</v>
      </c>
    </row>
    <row r="5" spans="2:7" x14ac:dyDescent="0.25">
      <c r="B5" s="83" t="s">
        <v>106</v>
      </c>
      <c r="C5" s="126" t="s">
        <v>109</v>
      </c>
      <c r="D5" s="126"/>
      <c r="E5" s="126"/>
      <c r="F5" s="91">
        <v>4000000</v>
      </c>
    </row>
    <row r="6" spans="2:7" x14ac:dyDescent="0.25">
      <c r="B6" s="83" t="s">
        <v>106</v>
      </c>
      <c r="C6" s="126" t="s">
        <v>56</v>
      </c>
      <c r="D6" s="126"/>
      <c r="E6" s="126"/>
      <c r="F6" s="91">
        <f>+H28</f>
        <v>5642986.6499999994</v>
      </c>
    </row>
    <row r="7" spans="2:7" x14ac:dyDescent="0.25">
      <c r="B7" s="83" t="s">
        <v>106</v>
      </c>
      <c r="C7" s="126" t="s">
        <v>111</v>
      </c>
      <c r="D7" s="126"/>
      <c r="E7" s="126"/>
      <c r="F7" s="91">
        <f>+Nomina!L11*12</f>
        <v>74295305.519999996</v>
      </c>
    </row>
    <row r="8" spans="2:7" x14ac:dyDescent="0.25">
      <c r="B8" s="84" t="s">
        <v>110</v>
      </c>
      <c r="C8" s="117" t="s">
        <v>51</v>
      </c>
      <c r="D8" s="117"/>
      <c r="E8" s="117"/>
      <c r="F8" s="92">
        <f>+F35</f>
        <v>30007300</v>
      </c>
    </row>
    <row r="9" spans="2:7" x14ac:dyDescent="0.25">
      <c r="B9" s="86" t="s">
        <v>54</v>
      </c>
      <c r="C9" s="127" t="s">
        <v>112</v>
      </c>
      <c r="D9" s="127"/>
      <c r="E9" s="127"/>
      <c r="F9" s="93">
        <f>SUM(F3:F8)</f>
        <v>262571744.67000002</v>
      </c>
    </row>
    <row r="10" spans="2:7" x14ac:dyDescent="0.25">
      <c r="B10" s="84" t="s">
        <v>110</v>
      </c>
      <c r="C10" s="117" t="s">
        <v>113</v>
      </c>
      <c r="D10" s="117"/>
      <c r="E10" s="117"/>
      <c r="F10" s="92">
        <v>8500000</v>
      </c>
    </row>
    <row r="11" spans="2:7" x14ac:dyDescent="0.25">
      <c r="B11" s="84" t="s">
        <v>110</v>
      </c>
      <c r="C11" s="117" t="s">
        <v>114</v>
      </c>
      <c r="D11" s="117"/>
      <c r="E11" s="117"/>
      <c r="F11" s="92">
        <v>3000000</v>
      </c>
    </row>
    <row r="12" spans="2:7" x14ac:dyDescent="0.25">
      <c r="B12" s="85" t="s">
        <v>54</v>
      </c>
      <c r="C12" s="118" t="s">
        <v>115</v>
      </c>
      <c r="D12" s="118"/>
      <c r="E12" s="118"/>
      <c r="F12" s="94">
        <f>+F9+F10+F11</f>
        <v>274071744.67000002</v>
      </c>
    </row>
    <row r="14" spans="2:7" x14ac:dyDescent="0.25">
      <c r="C14" s="112" t="s">
        <v>104</v>
      </c>
      <c r="D14" s="113"/>
      <c r="E14" s="113"/>
      <c r="F14" s="113"/>
      <c r="G14" s="114"/>
    </row>
    <row r="15" spans="2:7" ht="18" customHeight="1" x14ac:dyDescent="0.25">
      <c r="C15" s="120" t="s">
        <v>42</v>
      </c>
      <c r="D15" s="120"/>
      <c r="E15" s="42" t="s">
        <v>128</v>
      </c>
      <c r="F15" s="42" t="s">
        <v>28</v>
      </c>
      <c r="G15" s="42" t="s">
        <v>105</v>
      </c>
    </row>
    <row r="16" spans="2:7" x14ac:dyDescent="0.25">
      <c r="C16" s="121" t="s">
        <v>103</v>
      </c>
      <c r="D16" s="122"/>
      <c r="E16" s="39">
        <f>300*350</f>
        <v>105000</v>
      </c>
      <c r="F16" s="37">
        <v>2300</v>
      </c>
      <c r="G16" s="38">
        <f>+E16*F16</f>
        <v>241500000</v>
      </c>
    </row>
    <row r="17" spans="3:15" x14ac:dyDescent="0.25">
      <c r="C17" s="121" t="s">
        <v>102</v>
      </c>
      <c r="D17" s="122"/>
      <c r="E17" s="39">
        <f>200*350</f>
        <v>70000</v>
      </c>
      <c r="F17" s="37">
        <v>1200</v>
      </c>
      <c r="G17" s="38">
        <f>+E17*F17</f>
        <v>84000000</v>
      </c>
    </row>
    <row r="18" spans="3:15" x14ac:dyDescent="0.25">
      <c r="C18" s="115" t="s">
        <v>125</v>
      </c>
      <c r="D18" s="116"/>
      <c r="E18" s="116"/>
      <c r="F18" s="116"/>
      <c r="G18" s="88">
        <f>+G16+G17</f>
        <v>325500000</v>
      </c>
    </row>
    <row r="20" spans="3:15" x14ac:dyDescent="0.25">
      <c r="C20" s="112" t="s">
        <v>116</v>
      </c>
      <c r="D20" s="113"/>
      <c r="E20" s="113"/>
      <c r="F20" s="113"/>
      <c r="G20" s="114"/>
    </row>
    <row r="21" spans="3:15" x14ac:dyDescent="0.25">
      <c r="C21" s="120" t="s">
        <v>42</v>
      </c>
      <c r="D21" s="120"/>
      <c r="E21" s="42" t="s">
        <v>128</v>
      </c>
      <c r="F21" s="42" t="s">
        <v>28</v>
      </c>
      <c r="G21" s="42" t="s">
        <v>118</v>
      </c>
    </row>
    <row r="22" spans="3:15" x14ac:dyDescent="0.25">
      <c r="C22" s="121" t="s">
        <v>117</v>
      </c>
      <c r="D22" s="122"/>
      <c r="E22" s="39">
        <f>600*350</f>
        <v>210000</v>
      </c>
      <c r="F22" s="89">
        <v>700</v>
      </c>
      <c r="G22" s="38">
        <f>+E22*F22</f>
        <v>147000000</v>
      </c>
    </row>
    <row r="23" spans="3:15" x14ac:dyDescent="0.25">
      <c r="C23" s="115" t="s">
        <v>126</v>
      </c>
      <c r="D23" s="116"/>
      <c r="E23" s="116"/>
      <c r="F23" s="119"/>
      <c r="G23" s="88">
        <f>+G22</f>
        <v>147000000</v>
      </c>
    </row>
    <row r="25" spans="3:15" x14ac:dyDescent="0.25">
      <c r="C25" s="112" t="s">
        <v>56</v>
      </c>
      <c r="D25" s="113"/>
      <c r="E25" s="113"/>
      <c r="F25" s="113"/>
      <c r="G25" s="113"/>
      <c r="H25" s="114"/>
    </row>
    <row r="26" spans="3:15" ht="20.25" customHeight="1" x14ac:dyDescent="0.25">
      <c r="C26" s="124" t="s">
        <v>127</v>
      </c>
      <c r="D26" s="120"/>
      <c r="E26" s="42" t="s">
        <v>130</v>
      </c>
      <c r="F26" s="42" t="s">
        <v>131</v>
      </c>
      <c r="G26" s="42" t="s">
        <v>129</v>
      </c>
      <c r="H26" s="42" t="s">
        <v>118</v>
      </c>
    </row>
    <row r="27" spans="3:15" x14ac:dyDescent="0.25">
      <c r="C27" s="121" t="s">
        <v>117</v>
      </c>
      <c r="D27" s="122"/>
      <c r="E27" s="39">
        <v>6370</v>
      </c>
      <c r="F27" s="90">
        <v>692.39099999999996</v>
      </c>
      <c r="G27" s="37">
        <v>8150</v>
      </c>
      <c r="H27" s="38">
        <f>+G27*F27</f>
        <v>5642986.6499999994</v>
      </c>
    </row>
    <row r="28" spans="3:15" x14ac:dyDescent="0.25">
      <c r="C28" s="125" t="s">
        <v>126</v>
      </c>
      <c r="D28" s="125"/>
      <c r="E28" s="125"/>
      <c r="F28" s="125"/>
      <c r="G28" s="125"/>
      <c r="H28" s="40">
        <f>SUM(H27:H27)</f>
        <v>5642986.6499999994</v>
      </c>
    </row>
    <row r="32" spans="3:15" x14ac:dyDescent="0.25">
      <c r="C32" s="78"/>
      <c r="D32" s="73"/>
      <c r="E32" s="79">
        <v>0</v>
      </c>
      <c r="F32" s="79">
        <f>+E32+1</f>
        <v>1</v>
      </c>
      <c r="G32" s="79">
        <f>+F32+1</f>
        <v>2</v>
      </c>
      <c r="H32" s="79">
        <f t="shared" ref="H32:J32" si="0">+G32+1</f>
        <v>3</v>
      </c>
      <c r="I32" s="79">
        <f t="shared" si="0"/>
        <v>4</v>
      </c>
      <c r="J32" s="79">
        <f t="shared" si="0"/>
        <v>5</v>
      </c>
      <c r="K32" s="79">
        <f t="shared" ref="K32" si="1">+J32+1</f>
        <v>6</v>
      </c>
      <c r="L32" s="79">
        <f t="shared" ref="L32" si="2">+K32+1</f>
        <v>7</v>
      </c>
      <c r="M32" s="79">
        <f t="shared" ref="M32" si="3">+L32+1</f>
        <v>8</v>
      </c>
      <c r="N32" s="79">
        <f t="shared" ref="N32" si="4">+M32+1</f>
        <v>9</v>
      </c>
      <c r="O32" s="79">
        <f t="shared" ref="O32" si="5">+N32+1</f>
        <v>10</v>
      </c>
    </row>
    <row r="33" spans="3:15" x14ac:dyDescent="0.25">
      <c r="C33" s="123" t="s">
        <v>123</v>
      </c>
      <c r="D33" s="123"/>
      <c r="E33" s="80">
        <f>+'Activos Fijos'!E23</f>
        <v>300073000</v>
      </c>
      <c r="F33" s="81"/>
      <c r="G33" s="81"/>
      <c r="H33" s="81"/>
      <c r="I33" s="81"/>
      <c r="J33" s="81"/>
    </row>
    <row r="34" spans="3:15" x14ac:dyDescent="0.25">
      <c r="C34" s="123" t="s">
        <v>121</v>
      </c>
      <c r="D34" s="123"/>
      <c r="E34" s="82">
        <f>+E33</f>
        <v>300073000</v>
      </c>
      <c r="F34" s="71">
        <f>+E34-F35</f>
        <v>270065700</v>
      </c>
      <c r="G34" s="71">
        <f t="shared" ref="G34:O34" si="6">+F34-G35</f>
        <v>240058400</v>
      </c>
      <c r="H34" s="71">
        <f t="shared" si="6"/>
        <v>210051100</v>
      </c>
      <c r="I34" s="71">
        <f t="shared" si="6"/>
        <v>180043800</v>
      </c>
      <c r="J34" s="71">
        <f t="shared" si="6"/>
        <v>150036500</v>
      </c>
      <c r="K34" s="71">
        <f t="shared" si="6"/>
        <v>120029200</v>
      </c>
      <c r="L34" s="71">
        <f t="shared" si="6"/>
        <v>90021900</v>
      </c>
      <c r="M34" s="71">
        <f t="shared" si="6"/>
        <v>60014600</v>
      </c>
      <c r="N34" s="71">
        <f t="shared" si="6"/>
        <v>30007300</v>
      </c>
      <c r="O34" s="71">
        <f t="shared" si="6"/>
        <v>0</v>
      </c>
    </row>
    <row r="35" spans="3:15" x14ac:dyDescent="0.25">
      <c r="C35" s="123" t="s">
        <v>122</v>
      </c>
      <c r="D35" s="123"/>
      <c r="E35" s="71"/>
      <c r="F35" s="71">
        <f>+E34/10</f>
        <v>30007300</v>
      </c>
      <c r="G35" s="71">
        <f>($D$50/20)+F35</f>
        <v>30007300</v>
      </c>
      <c r="H35" s="71">
        <f t="shared" ref="H35:J35" si="7">($D$50/20)+G35</f>
        <v>30007300</v>
      </c>
      <c r="I35" s="71">
        <f t="shared" si="7"/>
        <v>30007300</v>
      </c>
      <c r="J35" s="71">
        <f t="shared" si="7"/>
        <v>30007300</v>
      </c>
      <c r="K35" s="71">
        <f t="shared" ref="K35" si="8">($D$50/20)+J35</f>
        <v>30007300</v>
      </c>
      <c r="L35" s="71">
        <f t="shared" ref="L35" si="9">($D$50/20)+K35</f>
        <v>30007300</v>
      </c>
      <c r="M35" s="71">
        <f t="shared" ref="M35" si="10">($D$50/20)+L35</f>
        <v>30007300</v>
      </c>
      <c r="N35" s="71">
        <f t="shared" ref="N35" si="11">($D$50/20)+M35</f>
        <v>30007300</v>
      </c>
      <c r="O35" s="71">
        <f t="shared" ref="O35" si="12">($D$50/20)+N35</f>
        <v>30007300</v>
      </c>
    </row>
    <row r="38" spans="3:15" x14ac:dyDescent="0.25">
      <c r="K38" s="87"/>
    </row>
  </sheetData>
  <mergeCells count="27">
    <mergeCell ref="C5:E5"/>
    <mergeCell ref="C7:E7"/>
    <mergeCell ref="C8:E8"/>
    <mergeCell ref="C9:E9"/>
    <mergeCell ref="B2:F2"/>
    <mergeCell ref="C3:E3"/>
    <mergeCell ref="C4:E4"/>
    <mergeCell ref="C6:E6"/>
    <mergeCell ref="C33:D33"/>
    <mergeCell ref="C34:D34"/>
    <mergeCell ref="C35:D35"/>
    <mergeCell ref="C25:H25"/>
    <mergeCell ref="C26:D26"/>
    <mergeCell ref="C27:D27"/>
    <mergeCell ref="C28:G28"/>
    <mergeCell ref="C23:F23"/>
    <mergeCell ref="C20:G20"/>
    <mergeCell ref="C15:D15"/>
    <mergeCell ref="C16:D16"/>
    <mergeCell ref="C17:D17"/>
    <mergeCell ref="C21:D21"/>
    <mergeCell ref="C22:D22"/>
    <mergeCell ref="C14:G14"/>
    <mergeCell ref="C18:F18"/>
    <mergeCell ref="C10:E10"/>
    <mergeCell ref="C11:E11"/>
    <mergeCell ref="C12:E12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46"/>
  <sheetViews>
    <sheetView topLeftCell="A13" zoomScale="80" zoomScaleNormal="80" workbookViewId="0">
      <selection activeCell="L11" sqref="L11"/>
    </sheetView>
  </sheetViews>
  <sheetFormatPr baseColWidth="10" defaultRowHeight="15" x14ac:dyDescent="0.25"/>
  <cols>
    <col min="1" max="1" width="11.42578125" style="1"/>
    <col min="2" max="2" width="27.5703125" style="1" customWidth="1"/>
    <col min="3" max="3" width="15.7109375" style="1" customWidth="1"/>
    <col min="4" max="4" width="18.42578125" style="1" customWidth="1"/>
    <col min="5" max="6" width="14.85546875" style="1" customWidth="1"/>
    <col min="7" max="7" width="15.140625" style="1" customWidth="1"/>
    <col min="8" max="8" width="15.5703125" style="1" customWidth="1"/>
    <col min="9" max="9" width="15.42578125" style="1" customWidth="1"/>
    <col min="10" max="10" width="13" style="1" customWidth="1"/>
    <col min="11" max="11" width="22.28515625" style="1" customWidth="1"/>
    <col min="12" max="12" width="13.28515625" style="1" customWidth="1"/>
    <col min="13" max="13" width="13.5703125" style="1" customWidth="1"/>
    <col min="14" max="14" width="24.140625" style="1" customWidth="1"/>
    <col min="15" max="15" width="13" style="1" bestFit="1" customWidth="1"/>
    <col min="16" max="16384" width="11.42578125" style="1"/>
  </cols>
  <sheetData>
    <row r="2" spans="2:15" x14ac:dyDescent="0.25">
      <c r="I2" s="55">
        <v>8.5000000000000006E-2</v>
      </c>
      <c r="J2" s="56">
        <v>0.12</v>
      </c>
    </row>
    <row r="3" spans="2:15" x14ac:dyDescent="0.25">
      <c r="B3" s="129" t="s">
        <v>0</v>
      </c>
      <c r="C3" s="129" t="s">
        <v>70</v>
      </c>
      <c r="D3" s="129" t="s">
        <v>9</v>
      </c>
      <c r="E3" s="130" t="s">
        <v>8</v>
      </c>
      <c r="F3" s="129" t="s">
        <v>1</v>
      </c>
      <c r="G3" s="129" t="s">
        <v>2</v>
      </c>
      <c r="H3" s="129" t="s">
        <v>3</v>
      </c>
      <c r="I3" s="129" t="s">
        <v>4</v>
      </c>
      <c r="J3" s="129" t="s">
        <v>5</v>
      </c>
      <c r="K3" s="129" t="s">
        <v>71</v>
      </c>
      <c r="L3" s="129" t="s">
        <v>6</v>
      </c>
    </row>
    <row r="4" spans="2:15" x14ac:dyDescent="0.25">
      <c r="B4" s="129"/>
      <c r="C4" s="129"/>
      <c r="D4" s="129"/>
      <c r="E4" s="131"/>
      <c r="F4" s="129"/>
      <c r="G4" s="129"/>
      <c r="H4" s="129"/>
      <c r="I4" s="129"/>
      <c r="J4" s="129"/>
      <c r="K4" s="129"/>
      <c r="L4" s="129"/>
    </row>
    <row r="5" spans="2:15" x14ac:dyDescent="0.25">
      <c r="B5" s="2" t="s">
        <v>65</v>
      </c>
      <c r="C5" s="54">
        <v>1200000</v>
      </c>
      <c r="D5" s="4">
        <v>30</v>
      </c>
      <c r="E5" s="3">
        <f>+C5/30</f>
        <v>40000</v>
      </c>
      <c r="F5" s="6">
        <f>+E5*D5</f>
        <v>1200000</v>
      </c>
      <c r="G5" s="3">
        <v>102853</v>
      </c>
      <c r="H5" s="6">
        <f>+F5+G5</f>
        <v>1302853</v>
      </c>
      <c r="I5" s="3">
        <f>+F5*$I$2</f>
        <v>102000.00000000001</v>
      </c>
      <c r="J5" s="3">
        <f>+F5*$J$2</f>
        <v>144000</v>
      </c>
      <c r="K5" s="3">
        <f>+I5+J5</f>
        <v>246000</v>
      </c>
      <c r="L5" s="6">
        <f>+H5+K5</f>
        <v>1548853</v>
      </c>
    </row>
    <row r="6" spans="2:15" s="8" customFormat="1" x14ac:dyDescent="0.25">
      <c r="B6" s="2" t="s">
        <v>66</v>
      </c>
      <c r="C6" s="54">
        <v>877803</v>
      </c>
      <c r="D6" s="4">
        <v>30</v>
      </c>
      <c r="E6" s="3">
        <f t="shared" ref="E6:E7" si="0">+C6/30</f>
        <v>29260.1</v>
      </c>
      <c r="F6" s="6">
        <f t="shared" ref="F6:F7" si="1">+E6*D6</f>
        <v>877803</v>
      </c>
      <c r="G6" s="3">
        <v>102853</v>
      </c>
      <c r="H6" s="6">
        <f t="shared" ref="H6:H7" si="2">+F6+G6</f>
        <v>980656</v>
      </c>
      <c r="I6" s="3">
        <f t="shared" ref="I6:I11" si="3">+F6*$I$2</f>
        <v>74613.255000000005</v>
      </c>
      <c r="J6" s="3">
        <f t="shared" ref="J6:J9" si="4">+F6*$J$2</f>
        <v>105336.36</v>
      </c>
      <c r="K6" s="3">
        <f t="shared" ref="K6:K7" si="5">+I6+J6</f>
        <v>179949.61499999999</v>
      </c>
      <c r="L6" s="6">
        <f t="shared" ref="L6:L11" si="6">+H6+K6</f>
        <v>1160605.615</v>
      </c>
    </row>
    <row r="7" spans="2:15" s="8" customFormat="1" x14ac:dyDescent="0.25">
      <c r="B7" s="2" t="s">
        <v>67</v>
      </c>
      <c r="C7" s="54">
        <v>877803</v>
      </c>
      <c r="D7" s="4">
        <v>30</v>
      </c>
      <c r="E7" s="3">
        <f t="shared" si="0"/>
        <v>29260.1</v>
      </c>
      <c r="F7" s="6">
        <f t="shared" si="1"/>
        <v>877803</v>
      </c>
      <c r="G7" s="3">
        <v>102853</v>
      </c>
      <c r="H7" s="6">
        <f t="shared" si="2"/>
        <v>980656</v>
      </c>
      <c r="I7" s="3">
        <f t="shared" si="3"/>
        <v>74613.255000000005</v>
      </c>
      <c r="J7" s="3">
        <f t="shared" si="4"/>
        <v>105336.36</v>
      </c>
      <c r="K7" s="3">
        <f t="shared" si="5"/>
        <v>179949.61499999999</v>
      </c>
      <c r="L7" s="6">
        <f t="shared" si="6"/>
        <v>1160605.615</v>
      </c>
    </row>
    <row r="8" spans="2:15" s="8" customFormat="1" x14ac:dyDescent="0.25">
      <c r="B8" s="2" t="s">
        <v>68</v>
      </c>
      <c r="C8" s="54">
        <v>877803</v>
      </c>
      <c r="D8" s="4">
        <v>30</v>
      </c>
      <c r="E8" s="3">
        <f t="shared" ref="E8" si="7">+C8/30</f>
        <v>29260.1</v>
      </c>
      <c r="F8" s="6">
        <f t="shared" ref="F8" si="8">+E8*D8</f>
        <v>877803</v>
      </c>
      <c r="G8" s="3">
        <v>102853</v>
      </c>
      <c r="H8" s="6">
        <f t="shared" ref="H8" si="9">+F8+G8</f>
        <v>980656</v>
      </c>
      <c r="I8" s="3">
        <f t="shared" si="3"/>
        <v>74613.255000000005</v>
      </c>
      <c r="J8" s="3">
        <f t="shared" si="4"/>
        <v>105336.36</v>
      </c>
      <c r="K8" s="3">
        <f t="shared" ref="K8" si="10">+I8+J8</f>
        <v>179949.61499999999</v>
      </c>
      <c r="L8" s="6">
        <f t="shared" si="6"/>
        <v>1160605.615</v>
      </c>
    </row>
    <row r="9" spans="2:15" s="8" customFormat="1" x14ac:dyDescent="0.25">
      <c r="B9" s="2" t="s">
        <v>69</v>
      </c>
      <c r="C9" s="54">
        <v>877803</v>
      </c>
      <c r="D9" s="4">
        <v>30</v>
      </c>
      <c r="E9" s="3">
        <f t="shared" ref="E9" si="11">+C9/30</f>
        <v>29260.1</v>
      </c>
      <c r="F9" s="6">
        <f t="shared" ref="F9" si="12">+E9*D9</f>
        <v>877803</v>
      </c>
      <c r="G9" s="3">
        <v>102853</v>
      </c>
      <c r="H9" s="6">
        <f t="shared" ref="H9" si="13">+F9+G9</f>
        <v>980656</v>
      </c>
      <c r="I9" s="3">
        <f t="shared" si="3"/>
        <v>74613.255000000005</v>
      </c>
      <c r="J9" s="3">
        <f t="shared" si="4"/>
        <v>105336.36</v>
      </c>
      <c r="K9" s="3">
        <f t="shared" ref="K9" si="14">+I9+J9</f>
        <v>179949.61499999999</v>
      </c>
      <c r="L9" s="6">
        <f t="shared" si="6"/>
        <v>1160605.615</v>
      </c>
    </row>
    <row r="10" spans="2:15" x14ac:dyDescent="0.25">
      <c r="B10" s="5"/>
      <c r="C10" s="5"/>
      <c r="D10" s="5"/>
      <c r="E10" s="5"/>
      <c r="F10" s="5"/>
      <c r="G10" s="5"/>
      <c r="H10" s="5"/>
      <c r="I10" s="3"/>
      <c r="J10" s="3"/>
      <c r="K10" s="5"/>
      <c r="L10" s="6"/>
    </row>
    <row r="11" spans="2:15" x14ac:dyDescent="0.25">
      <c r="B11" s="53" t="s">
        <v>7</v>
      </c>
      <c r="C11" s="19">
        <f>SUM(C5:C9)</f>
        <v>4711212</v>
      </c>
      <c r="D11" s="16"/>
      <c r="E11" s="17">
        <f>SUM(E5:E9)</f>
        <v>157040.40000000002</v>
      </c>
      <c r="F11" s="17">
        <f>SUM(F5:F9)</f>
        <v>4711212</v>
      </c>
      <c r="G11" s="17">
        <f>SUM(G5:G9)</f>
        <v>514265</v>
      </c>
      <c r="H11" s="18">
        <f>SUM(H5:H9)</f>
        <v>5225477</v>
      </c>
      <c r="I11" s="18">
        <f t="shared" si="3"/>
        <v>400453.02</v>
      </c>
      <c r="J11" s="18">
        <f>+F11*$J$2</f>
        <v>565345.43999999994</v>
      </c>
      <c r="K11" s="17">
        <f>SUM(K5:K9)</f>
        <v>965798.46</v>
      </c>
      <c r="L11" s="18">
        <f t="shared" si="6"/>
        <v>6191275.46</v>
      </c>
    </row>
    <row r="14" spans="2:15" s="8" customFormat="1" x14ac:dyDescent="0.25">
      <c r="B14" s="132" t="s">
        <v>57</v>
      </c>
      <c r="C14" s="132"/>
      <c r="D14" s="132"/>
      <c r="E14" s="132"/>
      <c r="F14" s="132"/>
      <c r="G14" s="132"/>
      <c r="H14" s="132"/>
    </row>
    <row r="15" spans="2:15" s="8" customFormat="1" ht="30.75" customHeight="1" x14ac:dyDescent="0.25">
      <c r="B15" s="141" t="s">
        <v>10</v>
      </c>
      <c r="C15" s="142"/>
      <c r="D15" s="51" t="s">
        <v>65</v>
      </c>
      <c r="E15" s="51" t="s">
        <v>66</v>
      </c>
      <c r="F15" s="51" t="s">
        <v>67</v>
      </c>
      <c r="G15" s="51" t="s">
        <v>68</v>
      </c>
      <c r="H15" s="51" t="s">
        <v>69</v>
      </c>
      <c r="I15" s="1"/>
      <c r="J15" s="1"/>
      <c r="K15" s="1"/>
      <c r="L15" s="1"/>
      <c r="M15" s="1"/>
      <c r="N15" s="1"/>
      <c r="O15" s="1"/>
    </row>
    <row r="16" spans="2:15" s="8" customFormat="1" x14ac:dyDescent="0.25">
      <c r="B16" s="21" t="s">
        <v>11</v>
      </c>
      <c r="C16" s="25">
        <v>8.3299999999999999E-2</v>
      </c>
      <c r="D16" s="7">
        <f>+F5*$C$16</f>
        <v>99960</v>
      </c>
      <c r="E16" s="7">
        <f>+F6*$C$16</f>
        <v>73120.9899</v>
      </c>
      <c r="F16" s="7">
        <f>+H7*$C$16</f>
        <v>81688.644799999995</v>
      </c>
      <c r="G16" s="7">
        <f>+F8*$C$16</f>
        <v>73120.9899</v>
      </c>
      <c r="H16" s="7">
        <f>+H9*$C$16</f>
        <v>81688.644799999995</v>
      </c>
      <c r="I16" s="1"/>
      <c r="J16" s="1"/>
      <c r="K16" s="1"/>
      <c r="L16" s="1"/>
      <c r="M16" s="1"/>
      <c r="N16" s="1"/>
      <c r="O16" s="1"/>
    </row>
    <row r="17" spans="2:15" s="8" customFormat="1" x14ac:dyDescent="0.25">
      <c r="B17" s="21" t="s">
        <v>12</v>
      </c>
      <c r="C17" s="26">
        <v>0.01</v>
      </c>
      <c r="D17" s="7">
        <f>+F5*$C$17</f>
        <v>12000</v>
      </c>
      <c r="E17" s="7">
        <f>+F6*$C$17</f>
        <v>8778.0300000000007</v>
      </c>
      <c r="F17" s="7">
        <f>+F7*$C$17</f>
        <v>8778.0300000000007</v>
      </c>
      <c r="G17" s="7">
        <f>+F8*$C$17</f>
        <v>8778.0300000000007</v>
      </c>
      <c r="H17" s="7">
        <f>+F9*$C$17</f>
        <v>8778.0300000000007</v>
      </c>
      <c r="I17" s="1"/>
      <c r="J17" s="1"/>
      <c r="K17" s="1"/>
      <c r="L17" s="1"/>
      <c r="M17" s="1"/>
      <c r="N17" s="1"/>
      <c r="O17" s="1"/>
    </row>
    <row r="18" spans="2:15" s="8" customFormat="1" x14ac:dyDescent="0.25">
      <c r="B18" s="21" t="s">
        <v>13</v>
      </c>
      <c r="C18" s="26">
        <v>8.3299999999999999E-2</v>
      </c>
      <c r="D18" s="7">
        <f>+F5*$C$18</f>
        <v>99960</v>
      </c>
      <c r="E18" s="7">
        <f>+F6*$C$18</f>
        <v>73120.9899</v>
      </c>
      <c r="F18" s="7">
        <f>+F7*$C$18</f>
        <v>73120.9899</v>
      </c>
      <c r="G18" s="7">
        <f>+F8*$C$18</f>
        <v>73120.9899</v>
      </c>
      <c r="H18" s="7">
        <f>+F9*$C$18</f>
        <v>73120.9899</v>
      </c>
      <c r="I18" s="1"/>
      <c r="J18" s="1"/>
      <c r="K18" s="1"/>
      <c r="L18" s="1"/>
      <c r="M18" s="1"/>
      <c r="N18" s="1"/>
      <c r="O18" s="1"/>
    </row>
    <row r="19" spans="2:15" s="8" customFormat="1" x14ac:dyDescent="0.25">
      <c r="B19" s="21" t="s">
        <v>14</v>
      </c>
      <c r="C19" s="26">
        <v>4.1700000000000001E-2</v>
      </c>
      <c r="D19" s="7">
        <f>+F5*$C$19</f>
        <v>50040</v>
      </c>
      <c r="E19" s="7">
        <f>+F6*$C$19</f>
        <v>36604.3851</v>
      </c>
      <c r="F19" s="7">
        <f>+F7*$C$19</f>
        <v>36604.3851</v>
      </c>
      <c r="G19" s="7">
        <f>+F8*$C$19</f>
        <v>36604.3851</v>
      </c>
      <c r="H19" s="7">
        <f>+F9*$C$19</f>
        <v>36604.3851</v>
      </c>
      <c r="I19" s="1"/>
      <c r="J19" s="1"/>
      <c r="K19" s="1"/>
      <c r="L19" s="1"/>
      <c r="M19" s="1"/>
      <c r="N19" s="1"/>
      <c r="O19" s="1"/>
    </row>
    <row r="20" spans="2:15" x14ac:dyDescent="0.25">
      <c r="B20" s="139" t="s">
        <v>7</v>
      </c>
      <c r="C20" s="140"/>
      <c r="D20" s="20">
        <f>SUM(D16:D19)</f>
        <v>261960</v>
      </c>
      <c r="E20" s="20">
        <f t="shared" ref="E20:H20" si="15">SUM(E16:E19)</f>
        <v>191624.39490000001</v>
      </c>
      <c r="F20" s="20">
        <f t="shared" si="15"/>
        <v>200192.04979999998</v>
      </c>
      <c r="G20" s="20">
        <f t="shared" si="15"/>
        <v>191624.39490000001</v>
      </c>
      <c r="H20" s="20">
        <f t="shared" si="15"/>
        <v>200192.04979999998</v>
      </c>
    </row>
    <row r="23" spans="2:15" x14ac:dyDescent="0.25">
      <c r="B23" s="129" t="s">
        <v>58</v>
      </c>
      <c r="C23" s="129"/>
      <c r="D23" s="129"/>
      <c r="E23" s="129"/>
      <c r="F23" s="129"/>
      <c r="G23" s="129"/>
      <c r="H23" s="129"/>
    </row>
    <row r="24" spans="2:15" x14ac:dyDescent="0.25">
      <c r="B24" s="141" t="s">
        <v>10</v>
      </c>
      <c r="C24" s="142"/>
      <c r="D24" s="52" t="s">
        <v>60</v>
      </c>
      <c r="E24" s="51" t="s">
        <v>66</v>
      </c>
      <c r="F24" s="51" t="s">
        <v>67</v>
      </c>
      <c r="G24" s="51" t="s">
        <v>68</v>
      </c>
      <c r="H24" s="51" t="s">
        <v>69</v>
      </c>
    </row>
    <row r="25" spans="2:15" x14ac:dyDescent="0.25">
      <c r="B25" s="21" t="s">
        <v>4</v>
      </c>
      <c r="C25" s="22">
        <v>8.5000000000000006E-2</v>
      </c>
      <c r="D25" s="7">
        <f>+$F$5*$C$25</f>
        <v>102000.00000000001</v>
      </c>
      <c r="E25" s="7">
        <f>+$F$6*$C$25</f>
        <v>74613.255000000005</v>
      </c>
      <c r="F25" s="7">
        <f>+$F$7*$C$25</f>
        <v>74613.255000000005</v>
      </c>
      <c r="G25" s="7">
        <f>+$F$8*$C$25</f>
        <v>74613.255000000005</v>
      </c>
      <c r="H25" s="7">
        <f>+$F$9*$C$25</f>
        <v>74613.255000000005</v>
      </c>
    </row>
    <row r="26" spans="2:15" x14ac:dyDescent="0.25">
      <c r="B26" s="21" t="s">
        <v>15</v>
      </c>
      <c r="C26" s="23">
        <v>0.12</v>
      </c>
      <c r="D26" s="7">
        <f>+J5</f>
        <v>144000</v>
      </c>
      <c r="E26" s="7">
        <f>+J6</f>
        <v>105336.36</v>
      </c>
      <c r="F26" s="7">
        <f>+J7</f>
        <v>105336.36</v>
      </c>
      <c r="G26" s="7">
        <f>+J8</f>
        <v>105336.36</v>
      </c>
      <c r="H26" s="7">
        <f>+J9</f>
        <v>105336.36</v>
      </c>
    </row>
    <row r="27" spans="2:15" x14ac:dyDescent="0.25">
      <c r="B27" s="21" t="s">
        <v>72</v>
      </c>
      <c r="C27" s="24">
        <v>2.436E-2</v>
      </c>
      <c r="D27" s="7">
        <f>+$F$5*$C$27</f>
        <v>29232</v>
      </c>
      <c r="E27" s="7">
        <f>+$F$6*$C$27</f>
        <v>21383.281080000001</v>
      </c>
      <c r="F27" s="7">
        <f>+$F$7*$C$27</f>
        <v>21383.281080000001</v>
      </c>
      <c r="G27" s="7">
        <f>+$F$8*$C$27</f>
        <v>21383.281080000001</v>
      </c>
      <c r="H27" s="7">
        <f>+$F$9*$C$27</f>
        <v>21383.281080000001</v>
      </c>
    </row>
    <row r="28" spans="2:15" x14ac:dyDescent="0.25">
      <c r="B28" s="143" t="s">
        <v>7</v>
      </c>
      <c r="C28" s="144"/>
      <c r="D28" s="20">
        <f>SUM(D25:D27)</f>
        <v>275232</v>
      </c>
      <c r="E28" s="20">
        <f t="shared" ref="E28:H28" si="16">SUM(E25:E27)</f>
        <v>201332.89607999998</v>
      </c>
      <c r="F28" s="20">
        <f t="shared" si="16"/>
        <v>201332.89607999998</v>
      </c>
      <c r="G28" s="20">
        <f t="shared" si="16"/>
        <v>201332.89607999998</v>
      </c>
      <c r="H28" s="20">
        <f t="shared" si="16"/>
        <v>201332.89607999998</v>
      </c>
    </row>
    <row r="30" spans="2:15" x14ac:dyDescent="0.25">
      <c r="B30" s="133" t="s">
        <v>59</v>
      </c>
      <c r="C30" s="133"/>
      <c r="D30" s="133"/>
      <c r="E30" s="133"/>
      <c r="F30" s="133"/>
      <c r="G30" s="133"/>
      <c r="H30" s="133"/>
    </row>
    <row r="31" spans="2:15" x14ac:dyDescent="0.25">
      <c r="B31" s="145" t="s">
        <v>10</v>
      </c>
      <c r="C31" s="145"/>
      <c r="D31" s="48" t="s">
        <v>61</v>
      </c>
      <c r="E31" s="51" t="s">
        <v>66</v>
      </c>
      <c r="F31" s="51" t="s">
        <v>67</v>
      </c>
      <c r="G31" s="51" t="s">
        <v>68</v>
      </c>
      <c r="H31" s="51" t="s">
        <v>69</v>
      </c>
    </row>
    <row r="32" spans="2:15" x14ac:dyDescent="0.25">
      <c r="B32" s="21" t="s">
        <v>16</v>
      </c>
      <c r="C32" s="23">
        <v>0.04</v>
      </c>
      <c r="D32" s="7">
        <f>+$F$5*$C$32</f>
        <v>48000</v>
      </c>
      <c r="E32" s="7">
        <f>+$F$6*$C$32</f>
        <v>35112.120000000003</v>
      </c>
      <c r="F32" s="7">
        <f>+$F$7*$C$32</f>
        <v>35112.120000000003</v>
      </c>
      <c r="G32" s="7">
        <f>+$F$8*$C$32</f>
        <v>35112.120000000003</v>
      </c>
      <c r="H32" s="7">
        <f>+$F$9*$C$32</f>
        <v>35112.120000000003</v>
      </c>
    </row>
    <row r="33" spans="2:8" x14ac:dyDescent="0.25">
      <c r="B33" s="21" t="s">
        <v>17</v>
      </c>
      <c r="C33" s="23">
        <v>0.03</v>
      </c>
      <c r="D33" s="7">
        <f>+$F$5*$C$33</f>
        <v>36000</v>
      </c>
      <c r="E33" s="7">
        <f>+$F$6*$C$33</f>
        <v>26334.09</v>
      </c>
      <c r="F33" s="7">
        <f>+$F$7*$C$33</f>
        <v>26334.09</v>
      </c>
      <c r="G33" s="7">
        <f>+$F$8*$C$33</f>
        <v>26334.09</v>
      </c>
      <c r="H33" s="7">
        <f>+$F$9*$C$33</f>
        <v>26334.09</v>
      </c>
    </row>
    <row r="34" spans="2:8" ht="15" customHeight="1" x14ac:dyDescent="0.25">
      <c r="B34" s="21" t="s">
        <v>18</v>
      </c>
      <c r="C34" s="23">
        <v>0.02</v>
      </c>
      <c r="D34" s="7">
        <f>+$F$5*$C$34</f>
        <v>24000</v>
      </c>
      <c r="E34" s="7">
        <f>+$F$6*$C$34</f>
        <v>17556.060000000001</v>
      </c>
      <c r="F34" s="7">
        <f>+$F$7*$C$34</f>
        <v>17556.060000000001</v>
      </c>
      <c r="G34" s="7">
        <f>+$F$8*$C$34</f>
        <v>17556.060000000001</v>
      </c>
      <c r="H34" s="7">
        <f>+$F$9*$C$34</f>
        <v>17556.060000000001</v>
      </c>
    </row>
    <row r="35" spans="2:8" x14ac:dyDescent="0.25">
      <c r="B35" s="146" t="s">
        <v>7</v>
      </c>
      <c r="C35" s="146"/>
      <c r="D35" s="20">
        <f>SUM(D32:D34)</f>
        <v>108000</v>
      </c>
      <c r="E35" s="20">
        <f t="shared" ref="E35:H35" si="17">SUM(E32:E34)</f>
        <v>79002.27</v>
      </c>
      <c r="F35" s="20">
        <f t="shared" si="17"/>
        <v>79002.27</v>
      </c>
      <c r="G35" s="20">
        <f t="shared" si="17"/>
        <v>79002.27</v>
      </c>
      <c r="H35" s="20">
        <f t="shared" si="17"/>
        <v>79002.27</v>
      </c>
    </row>
    <row r="36" spans="2:8" x14ac:dyDescent="0.25">
      <c r="B36" s="8"/>
      <c r="C36" s="8"/>
      <c r="D36" s="8"/>
      <c r="E36" s="8"/>
    </row>
    <row r="37" spans="2:8" x14ac:dyDescent="0.25">
      <c r="H37" s="46"/>
    </row>
    <row r="38" spans="2:8" x14ac:dyDescent="0.25">
      <c r="B38" s="134" t="s">
        <v>73</v>
      </c>
      <c r="C38" s="135"/>
      <c r="D38" s="136"/>
      <c r="E38" s="20">
        <f>+D20+E20+D28+E28+D35+E35+F35+G35+H35+F28+G28+H28+F20+G20+H20</f>
        <v>2550165.5537200002</v>
      </c>
    </row>
    <row r="41" spans="2:8" x14ac:dyDescent="0.25">
      <c r="B41" s="137" t="s">
        <v>19</v>
      </c>
      <c r="C41" s="138"/>
      <c r="D41" s="138"/>
      <c r="E41" s="138"/>
      <c r="F41" s="20">
        <f>+E38+H11</f>
        <v>7775642.5537200002</v>
      </c>
    </row>
    <row r="46" spans="2:8" x14ac:dyDescent="0.25">
      <c r="F46" s="46"/>
    </row>
  </sheetData>
  <mergeCells count="22">
    <mergeCell ref="B14:H14"/>
    <mergeCell ref="B23:H23"/>
    <mergeCell ref="B30:H30"/>
    <mergeCell ref="B38:D38"/>
    <mergeCell ref="B41:E41"/>
    <mergeCell ref="B20:C20"/>
    <mergeCell ref="B15:C15"/>
    <mergeCell ref="B28:C28"/>
    <mergeCell ref="B24:C24"/>
    <mergeCell ref="B31:C31"/>
    <mergeCell ref="B35:C35"/>
    <mergeCell ref="H3:H4"/>
    <mergeCell ref="I3:I4"/>
    <mergeCell ref="J3:J4"/>
    <mergeCell ref="K3:K4"/>
    <mergeCell ref="L3:L4"/>
    <mergeCell ref="F3:F4"/>
    <mergeCell ref="G3:G4"/>
    <mergeCell ref="E3:E4"/>
    <mergeCell ref="B3:B4"/>
    <mergeCell ref="C3:C4"/>
    <mergeCell ref="D3:D4"/>
  </mergeCells>
  <phoneticPr fontId="12" type="noConversion"/>
  <pageMargins left="0.7" right="0.7" top="0.75" bottom="0.75" header="0.3" footer="0.3"/>
  <pageSetup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E23"/>
  <sheetViews>
    <sheetView workbookViewId="0">
      <selection activeCell="F18" sqref="F18"/>
    </sheetView>
  </sheetViews>
  <sheetFormatPr baseColWidth="10" defaultRowHeight="15" x14ac:dyDescent="0.25"/>
  <cols>
    <col min="2" max="2" width="56.7109375" bestFit="1" customWidth="1"/>
    <col min="3" max="3" width="15" customWidth="1"/>
    <col min="4" max="4" width="9.140625" style="13" customWidth="1"/>
    <col min="5" max="5" width="18.85546875" customWidth="1"/>
    <col min="8" max="8" width="11.42578125" customWidth="1"/>
  </cols>
  <sheetData>
    <row r="2" spans="2:5" x14ac:dyDescent="0.25">
      <c r="B2" s="147" t="s">
        <v>29</v>
      </c>
      <c r="C2" s="147"/>
      <c r="D2" s="147"/>
      <c r="E2" s="147"/>
    </row>
    <row r="3" spans="2:5" x14ac:dyDescent="0.25">
      <c r="B3" s="44" t="s">
        <v>30</v>
      </c>
      <c r="C3" s="45" t="s">
        <v>31</v>
      </c>
      <c r="D3" s="45" t="s">
        <v>27</v>
      </c>
      <c r="E3" s="45" t="s">
        <v>32</v>
      </c>
    </row>
    <row r="4" spans="2:5" x14ac:dyDescent="0.25">
      <c r="B4" s="150" t="s">
        <v>33</v>
      </c>
      <c r="C4" s="151"/>
      <c r="D4" s="152"/>
      <c r="E4" s="33">
        <f>SUM(E5:E14)</f>
        <v>296800000</v>
      </c>
    </row>
    <row r="5" spans="2:5" x14ac:dyDescent="0.25">
      <c r="B5" s="27" t="s">
        <v>82</v>
      </c>
      <c r="C5" s="28">
        <v>50000000</v>
      </c>
      <c r="D5" s="35">
        <v>1</v>
      </c>
      <c r="E5" s="28">
        <f>+C5*D5</f>
        <v>50000000</v>
      </c>
    </row>
    <row r="6" spans="2:5" s="13" customFormat="1" x14ac:dyDescent="0.25">
      <c r="B6" s="27" t="s">
        <v>74</v>
      </c>
      <c r="C6" s="28">
        <v>25000000</v>
      </c>
      <c r="D6" s="35">
        <v>1</v>
      </c>
      <c r="E6" s="28">
        <f t="shared" ref="E6:E13" si="0">+C6*D6</f>
        <v>25000000</v>
      </c>
    </row>
    <row r="7" spans="2:5" s="13" customFormat="1" x14ac:dyDescent="0.25">
      <c r="B7" s="27" t="s">
        <v>75</v>
      </c>
      <c r="C7" s="28">
        <v>8000000</v>
      </c>
      <c r="D7" s="35">
        <v>1</v>
      </c>
      <c r="E7" s="28">
        <f t="shared" si="0"/>
        <v>8000000</v>
      </c>
    </row>
    <row r="8" spans="2:5" s="13" customFormat="1" x14ac:dyDescent="0.25">
      <c r="B8" s="27" t="s">
        <v>79</v>
      </c>
      <c r="C8" s="28">
        <v>13000000</v>
      </c>
      <c r="D8" s="35">
        <v>1</v>
      </c>
      <c r="E8" s="28">
        <f t="shared" si="0"/>
        <v>13000000</v>
      </c>
    </row>
    <row r="9" spans="2:5" x14ac:dyDescent="0.25">
      <c r="B9" s="27" t="s">
        <v>76</v>
      </c>
      <c r="C9" s="28">
        <v>4000000</v>
      </c>
      <c r="D9" s="35">
        <v>3</v>
      </c>
      <c r="E9" s="28">
        <f t="shared" si="0"/>
        <v>12000000</v>
      </c>
    </row>
    <row r="10" spans="2:5" x14ac:dyDescent="0.25">
      <c r="B10" s="43" t="s">
        <v>77</v>
      </c>
      <c r="C10" s="28">
        <v>800000</v>
      </c>
      <c r="D10" s="35">
        <v>2</v>
      </c>
      <c r="E10" s="28">
        <f t="shared" si="0"/>
        <v>1600000</v>
      </c>
    </row>
    <row r="11" spans="2:5" x14ac:dyDescent="0.25">
      <c r="B11" s="43" t="s">
        <v>78</v>
      </c>
      <c r="C11" s="28">
        <v>12000000</v>
      </c>
      <c r="D11" s="35">
        <v>2</v>
      </c>
      <c r="E11" s="28">
        <f t="shared" si="0"/>
        <v>24000000</v>
      </c>
    </row>
    <row r="12" spans="2:5" x14ac:dyDescent="0.25">
      <c r="B12" s="43" t="s">
        <v>80</v>
      </c>
      <c r="C12" s="28">
        <v>1200000</v>
      </c>
      <c r="D12" s="35">
        <v>2</v>
      </c>
      <c r="E12" s="28">
        <f t="shared" si="0"/>
        <v>2400000</v>
      </c>
    </row>
    <row r="13" spans="2:5" x14ac:dyDescent="0.25">
      <c r="B13" s="43" t="s">
        <v>81</v>
      </c>
      <c r="C13" s="28">
        <v>1400000</v>
      </c>
      <c r="D13" s="35">
        <v>2</v>
      </c>
      <c r="E13" s="28">
        <f t="shared" si="0"/>
        <v>2800000</v>
      </c>
    </row>
    <row r="14" spans="2:5" s="13" customFormat="1" x14ac:dyDescent="0.25">
      <c r="B14" s="43" t="s">
        <v>83</v>
      </c>
      <c r="C14" s="28">
        <v>79000000</v>
      </c>
      <c r="D14" s="35">
        <v>2</v>
      </c>
      <c r="E14" s="28">
        <f t="shared" ref="E14" si="1">+C14*D14</f>
        <v>158000000</v>
      </c>
    </row>
    <row r="15" spans="2:5" x14ac:dyDescent="0.25">
      <c r="B15" s="153" t="s">
        <v>34</v>
      </c>
      <c r="C15" s="154"/>
      <c r="D15" s="155"/>
      <c r="E15" s="30">
        <f>SUM(E16:E18)</f>
        <v>795000</v>
      </c>
    </row>
    <row r="16" spans="2:5" x14ac:dyDescent="0.25">
      <c r="B16" s="27" t="s">
        <v>35</v>
      </c>
      <c r="C16" s="29">
        <v>249000</v>
      </c>
      <c r="D16" s="36">
        <v>1</v>
      </c>
      <c r="E16" s="28">
        <f>+C16</f>
        <v>249000</v>
      </c>
    </row>
    <row r="17" spans="2:5" x14ac:dyDescent="0.25">
      <c r="B17" s="27" t="s">
        <v>36</v>
      </c>
      <c r="C17" s="29">
        <f>149000</f>
        <v>149000</v>
      </c>
      <c r="D17" s="36">
        <v>3</v>
      </c>
      <c r="E17" s="28">
        <f>+C17*D17</f>
        <v>447000</v>
      </c>
    </row>
    <row r="18" spans="2:5" x14ac:dyDescent="0.25">
      <c r="B18" s="27" t="s">
        <v>37</v>
      </c>
      <c r="C18" s="29">
        <v>99000</v>
      </c>
      <c r="D18" s="36">
        <v>1</v>
      </c>
      <c r="E18" s="28">
        <f>+C18</f>
        <v>99000</v>
      </c>
    </row>
    <row r="19" spans="2:5" x14ac:dyDescent="0.25">
      <c r="B19" s="156" t="s">
        <v>38</v>
      </c>
      <c r="C19" s="157"/>
      <c r="D19" s="158"/>
      <c r="E19" s="31">
        <f>SUM(E20:E22)</f>
        <v>2478000</v>
      </c>
    </row>
    <row r="20" spans="2:5" x14ac:dyDescent="0.25">
      <c r="B20" s="27" t="s">
        <v>41</v>
      </c>
      <c r="C20" s="29">
        <v>1800000</v>
      </c>
      <c r="D20" s="36">
        <v>1</v>
      </c>
      <c r="E20" s="28">
        <f>+C20</f>
        <v>1800000</v>
      </c>
    </row>
    <row r="21" spans="2:5" x14ac:dyDescent="0.25">
      <c r="B21" s="27" t="s">
        <v>40</v>
      </c>
      <c r="C21" s="29">
        <v>69000</v>
      </c>
      <c r="D21" s="36">
        <v>1</v>
      </c>
      <c r="E21" s="28">
        <f>+C21</f>
        <v>69000</v>
      </c>
    </row>
    <row r="22" spans="2:5" x14ac:dyDescent="0.25">
      <c r="B22" s="27" t="s">
        <v>39</v>
      </c>
      <c r="C22" s="29">
        <v>609000</v>
      </c>
      <c r="D22" s="36">
        <v>1</v>
      </c>
      <c r="E22" s="28">
        <f>+C22</f>
        <v>609000</v>
      </c>
    </row>
    <row r="23" spans="2:5" x14ac:dyDescent="0.25">
      <c r="B23" s="148" t="s">
        <v>7</v>
      </c>
      <c r="C23" s="149"/>
      <c r="D23" s="34"/>
      <c r="E23" s="32">
        <f>SUM(E4+E15+E19)</f>
        <v>300073000</v>
      </c>
    </row>
  </sheetData>
  <mergeCells count="5">
    <mergeCell ref="B2:E2"/>
    <mergeCell ref="B23:C23"/>
    <mergeCell ref="B4:D4"/>
    <mergeCell ref="B15:D15"/>
    <mergeCell ref="B19:D19"/>
  </mergeCells>
  <pageMargins left="0.7" right="0.7" top="0.75" bottom="0.75" header="0.3" footer="0.3"/>
  <ignoredErrors>
    <ignoredError sqref="E17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Q14"/>
  <sheetViews>
    <sheetView workbookViewId="0">
      <selection activeCell="D11" sqref="D11"/>
    </sheetView>
  </sheetViews>
  <sheetFormatPr baseColWidth="10" defaultRowHeight="15" x14ac:dyDescent="0.25"/>
  <cols>
    <col min="1" max="1" width="4.5703125" style="8" customWidth="1"/>
    <col min="2" max="2" width="30.42578125" style="8" customWidth="1"/>
    <col min="3" max="3" width="14.28515625" style="8" customWidth="1"/>
    <col min="4" max="4" width="16.42578125" style="8" customWidth="1"/>
    <col min="5" max="5" width="15.42578125" style="8" customWidth="1"/>
    <col min="6" max="6" width="14.140625" style="8" customWidth="1"/>
    <col min="7" max="7" width="13.7109375" style="8" customWidth="1"/>
    <col min="8" max="8" width="13.5703125" style="8" customWidth="1"/>
    <col min="9" max="9" width="13.42578125" style="8" customWidth="1"/>
    <col min="10" max="10" width="14" style="8" customWidth="1"/>
    <col min="11" max="11" width="13.5703125" style="8" customWidth="1"/>
    <col min="12" max="12" width="13.28515625" style="8" customWidth="1"/>
    <col min="13" max="13" width="13" style="8" customWidth="1"/>
    <col min="14" max="14" width="14.7109375" style="8" customWidth="1"/>
    <col min="15" max="15" width="15.42578125" style="8" customWidth="1"/>
    <col min="16" max="16384" width="11.42578125" style="8"/>
  </cols>
  <sheetData>
    <row r="2" spans="2:17" x14ac:dyDescent="0.25">
      <c r="B2" s="159" t="s">
        <v>21</v>
      </c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</row>
    <row r="3" spans="2:17" x14ac:dyDescent="0.25">
      <c r="B3" s="12" t="s">
        <v>20</v>
      </c>
      <c r="C3" s="12" t="s">
        <v>55</v>
      </c>
      <c r="D3" s="12" t="s">
        <v>43</v>
      </c>
      <c r="E3" s="50" t="s">
        <v>52</v>
      </c>
      <c r="F3" s="50" t="s">
        <v>62</v>
      </c>
      <c r="G3" s="50" t="s">
        <v>44</v>
      </c>
      <c r="H3" s="50" t="s">
        <v>45</v>
      </c>
      <c r="I3" s="50" t="s">
        <v>46</v>
      </c>
      <c r="J3" s="50" t="s">
        <v>53</v>
      </c>
      <c r="K3" s="50" t="s">
        <v>47</v>
      </c>
      <c r="L3" s="50" t="s">
        <v>48</v>
      </c>
      <c r="M3" s="50" t="s">
        <v>49</v>
      </c>
      <c r="N3" s="50" t="s">
        <v>50</v>
      </c>
      <c r="O3" s="12" t="s">
        <v>22</v>
      </c>
    </row>
    <row r="4" spans="2:17" x14ac:dyDescent="0.25">
      <c r="B4" s="9" t="s">
        <v>23</v>
      </c>
      <c r="C4" s="10"/>
      <c r="D4" s="10">
        <v>81025</v>
      </c>
      <c r="F4" s="10">
        <v>81025.5</v>
      </c>
      <c r="H4" s="10">
        <v>81025.5</v>
      </c>
      <c r="J4" s="10">
        <v>81025.5</v>
      </c>
      <c r="L4" s="10">
        <v>81025.5</v>
      </c>
      <c r="N4" s="10">
        <v>81025.5</v>
      </c>
      <c r="O4" s="11">
        <f>SUM(C4:N4)</f>
        <v>486152.5</v>
      </c>
    </row>
    <row r="5" spans="2:17" x14ac:dyDescent="0.25">
      <c r="B5" s="9" t="s">
        <v>24</v>
      </c>
      <c r="C5" s="10">
        <v>95000</v>
      </c>
      <c r="D5" s="10">
        <v>95000</v>
      </c>
      <c r="E5" s="10">
        <v>95000</v>
      </c>
      <c r="F5" s="10">
        <v>95000</v>
      </c>
      <c r="G5" s="10">
        <v>95000</v>
      </c>
      <c r="H5" s="10">
        <v>95000</v>
      </c>
      <c r="I5" s="10">
        <v>95000</v>
      </c>
      <c r="J5" s="10">
        <v>95000</v>
      </c>
      <c r="K5" s="10">
        <v>95000</v>
      </c>
      <c r="L5" s="10">
        <v>95000</v>
      </c>
      <c r="M5" s="10">
        <v>95000</v>
      </c>
      <c r="N5" s="10">
        <v>95000</v>
      </c>
      <c r="O5" s="11">
        <v>1140000</v>
      </c>
      <c r="Q5" s="46"/>
    </row>
    <row r="6" spans="2:17" x14ac:dyDescent="0.25">
      <c r="B6" s="9" t="s">
        <v>26</v>
      </c>
      <c r="C6" s="10">
        <f>+Nomina!F41</f>
        <v>7775642.5537200002</v>
      </c>
      <c r="D6" s="10">
        <f>+Nomina!F41</f>
        <v>7775642.5537200002</v>
      </c>
      <c r="E6" s="10">
        <f>+Nomina!F41</f>
        <v>7775642.5537200002</v>
      </c>
      <c r="F6" s="10">
        <f>+Nomina!F41</f>
        <v>7775642.5537200002</v>
      </c>
      <c r="G6" s="10">
        <f>+Nomina!F41</f>
        <v>7775642.5537200002</v>
      </c>
      <c r="H6" s="10">
        <f>+Nomina!F41</f>
        <v>7775642.5537200002</v>
      </c>
      <c r="I6" s="10">
        <f>+Nomina!F41</f>
        <v>7775642.5537200002</v>
      </c>
      <c r="J6" s="10">
        <f>+Nomina!F41</f>
        <v>7775642.5537200002</v>
      </c>
      <c r="K6" s="10">
        <f>+Nomina!F41</f>
        <v>7775642.5537200002</v>
      </c>
      <c r="L6" s="10">
        <f>+Nomina!F41</f>
        <v>7775642.5537200002</v>
      </c>
      <c r="M6" s="10">
        <f>+Nomina!F41</f>
        <v>7775642.5537200002</v>
      </c>
      <c r="N6" s="10">
        <f>+Nomina!F41</f>
        <v>7775642.5537200002</v>
      </c>
      <c r="O6" s="11">
        <f t="shared" ref="O6" si="0">SUM(C6:N6)</f>
        <v>93307710.644639984</v>
      </c>
    </row>
    <row r="7" spans="2:17" x14ac:dyDescent="0.25">
      <c r="B7" s="14" t="s">
        <v>25</v>
      </c>
      <c r="C7" s="15">
        <f t="shared" ref="C7:O7" si="1">SUM(C4:C6)</f>
        <v>7870642.5537200002</v>
      </c>
      <c r="D7" s="15">
        <f t="shared" si="1"/>
        <v>7951667.5537200002</v>
      </c>
      <c r="E7" s="15">
        <f t="shared" si="1"/>
        <v>7870642.5537200002</v>
      </c>
      <c r="F7" s="15">
        <f t="shared" si="1"/>
        <v>7951668.0537200002</v>
      </c>
      <c r="G7" s="15">
        <f t="shared" si="1"/>
        <v>7870642.5537200002</v>
      </c>
      <c r="H7" s="15">
        <f t="shared" si="1"/>
        <v>7951668.0537200002</v>
      </c>
      <c r="I7" s="15">
        <f t="shared" si="1"/>
        <v>7870642.5537200002</v>
      </c>
      <c r="J7" s="15">
        <f t="shared" si="1"/>
        <v>7951668.0537200002</v>
      </c>
      <c r="K7" s="15">
        <f t="shared" si="1"/>
        <v>7870642.5537200002</v>
      </c>
      <c r="L7" s="15">
        <f t="shared" si="1"/>
        <v>7951668.0537200002</v>
      </c>
      <c r="M7" s="15">
        <f t="shared" si="1"/>
        <v>7870642.5537200002</v>
      </c>
      <c r="N7" s="15">
        <f t="shared" si="1"/>
        <v>7951668.0537200002</v>
      </c>
      <c r="O7" s="15">
        <f t="shared" si="1"/>
        <v>94933863.144639984</v>
      </c>
    </row>
    <row r="14" spans="2:17" x14ac:dyDescent="0.25">
      <c r="C14" s="46"/>
    </row>
  </sheetData>
  <mergeCells count="1">
    <mergeCell ref="B2:O2"/>
  </mergeCells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Flujo de caja</vt:lpstr>
      <vt:lpstr>Gastos Generales</vt:lpstr>
      <vt:lpstr>Nomina</vt:lpstr>
      <vt:lpstr>Activos Fijos</vt:lpstr>
      <vt:lpstr>Costos Fijos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Luffi</dc:creator>
  <cp:lastModifiedBy>Fabian Esteban Mendez Montañez</cp:lastModifiedBy>
  <dcterms:created xsi:type="dcterms:W3CDTF">2018-05-08T23:43:48Z</dcterms:created>
  <dcterms:modified xsi:type="dcterms:W3CDTF">2020-06-01T17:08:55Z</dcterms:modified>
</cp:coreProperties>
</file>